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I:\Dept\FRU\SHARED\MATRIX\FORMS\2023\"/>
    </mc:Choice>
  </mc:AlternateContent>
  <xr:revisionPtr revIDLastSave="0" documentId="13_ncr:1_{14CF921C-6A92-4DF5-A190-9D5B0E6388BA}" xr6:coauthVersionLast="47" xr6:coauthVersionMax="47" xr10:uidLastSave="{00000000-0000-0000-0000-000000000000}"/>
  <bookViews>
    <workbookView xWindow="900" yWindow="510" windowWidth="23340" windowHeight="14640" tabRatio="684" activeTab="1" xr2:uid="{00000000-000D-0000-FFFF-FFFF00000000}"/>
  </bookViews>
  <sheets>
    <sheet name="Process Flow" sheetId="12" r:id="rId1"/>
    <sheet name="Agency Cover" sheetId="5" r:id="rId2"/>
    <sheet name="Instructions" sheetId="14" r:id="rId3"/>
    <sheet name="Multi-Record Entries" sheetId="15" r:id="rId4"/>
    <sheet name="Base Information" sheetId="6" r:id="rId5"/>
    <sheet name="Excluded Leases" sheetId="18" r:id="rId6"/>
    <sheet name="Examples" sheetId="17" r:id="rId7"/>
    <sheet name="Ref-Entity" sheetId="2" state="hidden" r:id="rId8"/>
    <sheet name="Ref-AgrmtType" sheetId="3" state="hidden" r:id="rId9"/>
    <sheet name="Ref-ProvType" sheetId="4" state="hidden" r:id="rId10"/>
    <sheet name="Ref-Status" sheetId="7" state="hidden" r:id="rId11"/>
    <sheet name="Ref-RptType" sheetId="8" state="hidden" r:id="rId12"/>
    <sheet name="Ref-RptCategory" sheetId="9" state="hidden" r:id="rId13"/>
    <sheet name="Ref-AmortMethod" sheetId="10" state="hidden" r:id="rId14"/>
    <sheet name="Ref_GLAccounts" sheetId="11" state="hidden" r:id="rId15"/>
  </sheets>
  <definedNames>
    <definedName name="_xlnm._FilterDatabase" localSheetId="2" hidden="1">Instructions!$A$2:$E$78</definedName>
    <definedName name="AgrmtStatusLU" localSheetId="6">StatusRef[Description (50)]</definedName>
    <definedName name="AgrmtStatusLU">StatusRef[Description (50)]</definedName>
    <definedName name="AgrmtTypeLU" localSheetId="6">AgrmtTypeRef[Description (50)]</definedName>
    <definedName name="AgrmtTypeLU">AgrmtTypeRef[Description (50)]</definedName>
    <definedName name="GLAccountLU" localSheetId="6">GLAccountRef[CodeDescr]</definedName>
    <definedName name="GLAccountLU">GLAccountRef[CodeDescr]</definedName>
    <definedName name="ProvTypeLU" localSheetId="6">ProvTypeRef[Description (50)]</definedName>
    <definedName name="ProvTypeLU">ProvTypeRef[Description (50)]</definedName>
    <definedName name="RptCatLU" localSheetId="6">RptCategoryRef[FSNoteCategory (50)]</definedName>
    <definedName name="RptCatLU">RptCategoryRef[FSNoteCategory (50)]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81" i="2" l="1"/>
  <c r="D81" i="2"/>
  <c r="C18" i="2"/>
  <c r="D18" i="2"/>
  <c r="G3" i="17"/>
  <c r="E3" i="17"/>
  <c r="A100" i="18" l="1"/>
  <c r="A99" i="18"/>
  <c r="A98" i="18"/>
  <c r="A97" i="18"/>
  <c r="A96" i="18"/>
  <c r="A95" i="18"/>
  <c r="A94" i="18"/>
  <c r="A93" i="18"/>
  <c r="A92" i="18"/>
  <c r="A91" i="18"/>
  <c r="A90" i="18"/>
  <c r="A89" i="18"/>
  <c r="A88" i="18"/>
  <c r="A87" i="18"/>
  <c r="A86" i="18"/>
  <c r="A85" i="18"/>
  <c r="A84" i="18"/>
  <c r="A83" i="18"/>
  <c r="A82" i="18"/>
  <c r="A81" i="18"/>
  <c r="A80" i="18"/>
  <c r="A79" i="18"/>
  <c r="A78" i="18"/>
  <c r="A77" i="18"/>
  <c r="A76" i="18"/>
  <c r="A75" i="18"/>
  <c r="A74" i="18"/>
  <c r="A73" i="18"/>
  <c r="A72" i="18"/>
  <c r="A71" i="18"/>
  <c r="A70" i="18"/>
  <c r="A69" i="18"/>
  <c r="A68" i="18"/>
  <c r="A67" i="18"/>
  <c r="A66" i="18"/>
  <c r="A65" i="18"/>
  <c r="A64" i="18"/>
  <c r="A63" i="18"/>
  <c r="A62" i="18"/>
  <c r="A61" i="18"/>
  <c r="A60" i="18"/>
  <c r="A59" i="18"/>
  <c r="A58" i="18"/>
  <c r="A57" i="18"/>
  <c r="A56" i="18"/>
  <c r="A55" i="18"/>
  <c r="A54" i="18"/>
  <c r="A53" i="18"/>
  <c r="A52" i="18"/>
  <c r="A51" i="18"/>
  <c r="A50" i="18"/>
  <c r="A49" i="18"/>
  <c r="A48" i="18"/>
  <c r="A47" i="18"/>
  <c r="A46" i="18"/>
  <c r="A45" i="18"/>
  <c r="A44" i="18"/>
  <c r="A43" i="18"/>
  <c r="A42" i="18"/>
  <c r="A41" i="18"/>
  <c r="A40" i="18"/>
  <c r="A39" i="18"/>
  <c r="A38" i="18"/>
  <c r="A37" i="18"/>
  <c r="A36" i="18"/>
  <c r="A35" i="18"/>
  <c r="A34" i="18"/>
  <c r="A33" i="18"/>
  <c r="A32" i="18"/>
  <c r="A31" i="18"/>
  <c r="A30" i="18"/>
  <c r="A29" i="18"/>
  <c r="A28" i="18"/>
  <c r="A27" i="18"/>
  <c r="A26" i="18"/>
  <c r="A25" i="18"/>
  <c r="A24" i="18"/>
  <c r="A23" i="18"/>
  <c r="A22" i="18"/>
  <c r="A21" i="18"/>
  <c r="A20" i="18"/>
  <c r="A19" i="18"/>
  <c r="A18" i="18"/>
  <c r="A17" i="18"/>
  <c r="A16" i="18"/>
  <c r="A15" i="18"/>
  <c r="A14" i="18"/>
  <c r="A13" i="18"/>
  <c r="A12" i="18"/>
  <c r="A11" i="18"/>
  <c r="A10" i="18"/>
  <c r="A9" i="18"/>
  <c r="A8" i="18"/>
  <c r="A7" i="18"/>
  <c r="A6" i="18"/>
  <c r="A5" i="18"/>
  <c r="A4" i="18"/>
  <c r="AV16" i="6"/>
  <c r="AX16" i="6" s="1" a="1"/>
  <c r="AX16" i="6" s="1"/>
  <c r="AT16" i="6"/>
  <c r="AS16" i="6"/>
  <c r="AR16" i="6"/>
  <c r="AI16" i="6" a="1"/>
  <c r="AI16" i="6" s="1"/>
  <c r="AJ16" i="6" s="1"/>
  <c r="AB16" i="6"/>
  <c r="Z16" i="6"/>
  <c r="Y16" i="6"/>
  <c r="W16" i="6"/>
  <c r="V16" i="6"/>
  <c r="U16" i="6"/>
  <c r="T16" i="6"/>
  <c r="S16" i="6"/>
  <c r="G16" i="6"/>
  <c r="E16" i="6"/>
  <c r="B16" i="6"/>
  <c r="AV15" i="6"/>
  <c r="AX15" i="6" s="1" a="1"/>
  <c r="AX15" i="6" s="1"/>
  <c r="AT15" i="6"/>
  <c r="AS15" i="6"/>
  <c r="AR15" i="6"/>
  <c r="AI15" i="6" a="1"/>
  <c r="AI15" i="6" s="1"/>
  <c r="AB15" i="6"/>
  <c r="Y15" i="6"/>
  <c r="W15" i="6"/>
  <c r="Z15" i="6" s="1"/>
  <c r="V15" i="6"/>
  <c r="U15" i="6"/>
  <c r="T15" i="6"/>
  <c r="S15" i="6"/>
  <c r="G15" i="6"/>
  <c r="E15" i="6"/>
  <c r="B15" i="6"/>
  <c r="AX14" i="6" a="1"/>
  <c r="AX14" i="6" s="1"/>
  <c r="AV14" i="6"/>
  <c r="AT14" i="6"/>
  <c r="AS14" i="6"/>
  <c r="AR14" i="6"/>
  <c r="AI14" i="6" a="1"/>
  <c r="AI14" i="6" s="1"/>
  <c r="AJ14" i="6" s="1"/>
  <c r="AB14" i="6"/>
  <c r="Y14" i="6"/>
  <c r="W14" i="6"/>
  <c r="Z14" i="6" s="1"/>
  <c r="V14" i="6"/>
  <c r="U14" i="6"/>
  <c r="T14" i="6"/>
  <c r="AK14" i="6" s="1"/>
  <c r="AM14" i="6" s="1"/>
  <c r="S14" i="6"/>
  <c r="G14" i="6"/>
  <c r="E14" i="6"/>
  <c r="B14" i="6"/>
  <c r="AX13" i="6"/>
  <c r="AX13" i="6" a="1"/>
  <c r="AV13" i="6"/>
  <c r="AT13" i="6"/>
  <c r="AS13" i="6"/>
  <c r="AR13" i="6"/>
  <c r="AI13" i="6"/>
  <c r="AJ13" i="6" s="1"/>
  <c r="AI13" i="6" a="1"/>
  <c r="AB13" i="6"/>
  <c r="Y13" i="6"/>
  <c r="W13" i="6"/>
  <c r="Z13" i="6" s="1"/>
  <c r="V13" i="6"/>
  <c r="U13" i="6"/>
  <c r="T13" i="6"/>
  <c r="S13" i="6"/>
  <c r="G13" i="6"/>
  <c r="E13" i="6"/>
  <c r="B13" i="6"/>
  <c r="AV12" i="6"/>
  <c r="AX12" i="6" s="1" a="1"/>
  <c r="AX12" i="6" s="1"/>
  <c r="AT12" i="6"/>
  <c r="AS12" i="6"/>
  <c r="AR12" i="6"/>
  <c r="AJ12" i="6"/>
  <c r="AI12" i="6"/>
  <c r="AI12" i="6" a="1"/>
  <c r="AB12" i="6"/>
  <c r="Z12" i="6"/>
  <c r="Y12" i="6"/>
  <c r="W12" i="6"/>
  <c r="V12" i="6"/>
  <c r="U12" i="6"/>
  <c r="T12" i="6"/>
  <c r="S12" i="6"/>
  <c r="G12" i="6"/>
  <c r="E12" i="6"/>
  <c r="B12" i="6"/>
  <c r="AV11" i="6"/>
  <c r="AX11" i="6" s="1" a="1"/>
  <c r="AX11" i="6" s="1"/>
  <c r="AT11" i="6"/>
  <c r="AS11" i="6"/>
  <c r="AR11" i="6"/>
  <c r="AI11" i="6" a="1"/>
  <c r="AI11" i="6" s="1"/>
  <c r="AB11" i="6"/>
  <c r="Z11" i="6"/>
  <c r="Y11" i="6"/>
  <c r="W11" i="6"/>
  <c r="V11" i="6"/>
  <c r="U11" i="6"/>
  <c r="T11" i="6"/>
  <c r="S11" i="6"/>
  <c r="G11" i="6"/>
  <c r="E11" i="6"/>
  <c r="B11" i="6"/>
  <c r="AX10" i="6" a="1"/>
  <c r="AX10" i="6" s="1"/>
  <c r="AV10" i="6"/>
  <c r="AT10" i="6"/>
  <c r="AS10" i="6"/>
  <c r="AR10" i="6"/>
  <c r="AI10" i="6" a="1"/>
  <c r="AI10" i="6" s="1"/>
  <c r="AB10" i="6"/>
  <c r="Y10" i="6"/>
  <c r="W10" i="6"/>
  <c r="Z10" i="6" s="1"/>
  <c r="V10" i="6"/>
  <c r="U10" i="6"/>
  <c r="T10" i="6"/>
  <c r="S10" i="6"/>
  <c r="G10" i="6"/>
  <c r="E10" i="6"/>
  <c r="B10" i="6"/>
  <c r="AX9" i="6"/>
  <c r="AX9" i="6" a="1"/>
  <c r="AV9" i="6"/>
  <c r="AT9" i="6"/>
  <c r="AS9" i="6"/>
  <c r="AR9" i="6"/>
  <c r="AI9" i="6"/>
  <c r="AJ9" i="6" s="1"/>
  <c r="AI9" i="6" a="1"/>
  <c r="AB9" i="6"/>
  <c r="Y9" i="6"/>
  <c r="W9" i="6"/>
  <c r="Z9" i="6" s="1"/>
  <c r="V9" i="6"/>
  <c r="U9" i="6"/>
  <c r="T9" i="6"/>
  <c r="S9" i="6"/>
  <c r="G9" i="6"/>
  <c r="E9" i="6"/>
  <c r="B9" i="6"/>
  <c r="AV8" i="6"/>
  <c r="AX8" i="6" s="1" a="1"/>
  <c r="AX8" i="6" s="1"/>
  <c r="AT8" i="6"/>
  <c r="AS8" i="6"/>
  <c r="AR8" i="6"/>
  <c r="AJ8" i="6"/>
  <c r="AI8" i="6"/>
  <c r="AI8" i="6" a="1"/>
  <c r="AB8" i="6"/>
  <c r="Z8" i="6"/>
  <c r="Y8" i="6"/>
  <c r="W8" i="6"/>
  <c r="V8" i="6"/>
  <c r="U8" i="6"/>
  <c r="T8" i="6"/>
  <c r="S8" i="6"/>
  <c r="G8" i="6"/>
  <c r="E8" i="6"/>
  <c r="B8" i="6"/>
  <c r="AV7" i="6"/>
  <c r="AX7" i="6" s="1" a="1"/>
  <c r="AX7" i="6" s="1"/>
  <c r="AT7" i="6"/>
  <c r="AS7" i="6"/>
  <c r="AR7" i="6"/>
  <c r="AI7" i="6" a="1"/>
  <c r="AI7" i="6" s="1"/>
  <c r="AB7" i="6"/>
  <c r="Z7" i="6"/>
  <c r="Y7" i="6"/>
  <c r="W7" i="6"/>
  <c r="V7" i="6"/>
  <c r="U7" i="6"/>
  <c r="T7" i="6"/>
  <c r="S7" i="6"/>
  <c r="G7" i="6"/>
  <c r="E7" i="6"/>
  <c r="B7" i="6"/>
  <c r="AX6" i="6" a="1"/>
  <c r="AX6" i="6" s="1"/>
  <c r="AV6" i="6"/>
  <c r="AT6" i="6"/>
  <c r="AS6" i="6"/>
  <c r="AR6" i="6"/>
  <c r="AI6" i="6" a="1"/>
  <c r="AI6" i="6" s="1"/>
  <c r="AB6" i="6"/>
  <c r="Y6" i="6"/>
  <c r="W6" i="6"/>
  <c r="Z6" i="6" s="1"/>
  <c r="V6" i="6"/>
  <c r="U6" i="6"/>
  <c r="T6" i="6"/>
  <c r="S6" i="6"/>
  <c r="G6" i="6"/>
  <c r="E6" i="6"/>
  <c r="B6" i="6"/>
  <c r="AJ7" i="6" l="1"/>
  <c r="AK7" i="6"/>
  <c r="AM7" i="6" s="1"/>
  <c r="AO7" i="6" s="1"/>
  <c r="AP7" i="6" s="1"/>
  <c r="AJ11" i="6"/>
  <c r="AL11" i="6" s="1"/>
  <c r="AK11" i="6"/>
  <c r="AM11" i="6" s="1"/>
  <c r="AO11" i="6" s="1"/>
  <c r="AP11" i="6" s="1"/>
  <c r="AK6" i="6"/>
  <c r="AM6" i="6" s="1"/>
  <c r="AO6" i="6" s="1"/>
  <c r="AP6" i="6" s="1"/>
  <c r="AJ6" i="6"/>
  <c r="AL6" i="6" s="1"/>
  <c r="AK10" i="6"/>
  <c r="AM10" i="6" s="1"/>
  <c r="AO10" i="6" s="1"/>
  <c r="AP10" i="6" s="1"/>
  <c r="AJ10" i="6"/>
  <c r="AL10" i="6" s="1"/>
  <c r="AL13" i="6"/>
  <c r="AL14" i="6"/>
  <c r="AJ15" i="6"/>
  <c r="AK15" i="6"/>
  <c r="AM15" i="6" s="1"/>
  <c r="AO15" i="6" s="1"/>
  <c r="AP15" i="6" s="1"/>
  <c r="AK8" i="6"/>
  <c r="AM8" i="6" s="1"/>
  <c r="AO8" i="6" s="1"/>
  <c r="AP8" i="6" s="1"/>
  <c r="AK12" i="6"/>
  <c r="AM12" i="6" s="1"/>
  <c r="AO12" i="6" s="1"/>
  <c r="AP12" i="6" s="1"/>
  <c r="AO13" i="6"/>
  <c r="AP13" i="6" s="1"/>
  <c r="AK16" i="6"/>
  <c r="AM16" i="6" s="1"/>
  <c r="AO16" i="6" s="1"/>
  <c r="AP16" i="6" s="1"/>
  <c r="AK9" i="6"/>
  <c r="AM9" i="6" s="1"/>
  <c r="AO9" i="6" s="1"/>
  <c r="AP9" i="6" s="1"/>
  <c r="AK13" i="6"/>
  <c r="AM13" i="6" s="1"/>
  <c r="AO14" i="6"/>
  <c r="AP14" i="6" s="1"/>
  <c r="G56" i="6"/>
  <c r="G55" i="6"/>
  <c r="G54" i="6"/>
  <c r="G53" i="6"/>
  <c r="G52" i="6"/>
  <c r="G51" i="6"/>
  <c r="G50" i="6"/>
  <c r="G49" i="6"/>
  <c r="G48" i="6"/>
  <c r="G47" i="6"/>
  <c r="G46" i="6"/>
  <c r="G45" i="6"/>
  <c r="G44" i="6"/>
  <c r="G43" i="6"/>
  <c r="G42" i="6"/>
  <c r="G41" i="6"/>
  <c r="G40" i="6"/>
  <c r="G39" i="6"/>
  <c r="G38" i="6"/>
  <c r="G37" i="6"/>
  <c r="G36" i="6"/>
  <c r="G35" i="6"/>
  <c r="G34" i="6"/>
  <c r="G33" i="6"/>
  <c r="G32" i="6"/>
  <c r="G31" i="6"/>
  <c r="G30" i="6"/>
  <c r="G29" i="6"/>
  <c r="G28" i="6"/>
  <c r="G27" i="6"/>
  <c r="G26" i="6"/>
  <c r="G25" i="6"/>
  <c r="G24" i="6"/>
  <c r="G23" i="6"/>
  <c r="G22" i="6"/>
  <c r="G21" i="6"/>
  <c r="G20" i="6"/>
  <c r="G19" i="6"/>
  <c r="G18" i="6"/>
  <c r="G17" i="6"/>
  <c r="AL8" i="6" l="1"/>
  <c r="AL15" i="6"/>
  <c r="AL12" i="6"/>
  <c r="AL16" i="6"/>
  <c r="AL9" i="6"/>
  <c r="AL7" i="6"/>
  <c r="B29" i="17"/>
  <c r="B30" i="17"/>
  <c r="E29" i="17"/>
  <c r="E30" i="17"/>
  <c r="G29" i="17"/>
  <c r="G30" i="17"/>
  <c r="S29" i="17"/>
  <c r="S30" i="17"/>
  <c r="T29" i="17"/>
  <c r="T30" i="17"/>
  <c r="W29" i="17"/>
  <c r="W30" i="17"/>
  <c r="Y29" i="17"/>
  <c r="Y30" i="17"/>
  <c r="Z29" i="17"/>
  <c r="Z30" i="17"/>
  <c r="AB29" i="17"/>
  <c r="AB30" i="17"/>
  <c r="AI29" i="17" a="1"/>
  <c r="AI29" i="17" s="1"/>
  <c r="AI30" i="17" a="1"/>
  <c r="AI30" i="17" s="1"/>
  <c r="AR29" i="17"/>
  <c r="AR30" i="17"/>
  <c r="AS29" i="17"/>
  <c r="AS30" i="17"/>
  <c r="AT29" i="17"/>
  <c r="AT30" i="17"/>
  <c r="AV29" i="17"/>
  <c r="AX29" i="17" s="1" a="1"/>
  <c r="AX29" i="17" s="1"/>
  <c r="AV30" i="17"/>
  <c r="AX30" i="17" s="1" a="1"/>
  <c r="AX30" i="17" s="1"/>
  <c r="AJ30" i="17" l="1"/>
  <c r="AK30" i="17"/>
  <c r="AM30" i="17" s="1"/>
  <c r="AO30" i="17" s="1"/>
  <c r="AP30" i="17" s="1"/>
  <c r="AJ29" i="17"/>
  <c r="AK29" i="17"/>
  <c r="AM29" i="17" s="1"/>
  <c r="AO29" i="17" s="1"/>
  <c r="AP29" i="17" s="1"/>
  <c r="Z31" i="17"/>
  <c r="AV15" i="17"/>
  <c r="AX15" i="17" s="1" a="1"/>
  <c r="AX15" i="17" s="1"/>
  <c r="AT15" i="17"/>
  <c r="AS15" i="17"/>
  <c r="AR15" i="17"/>
  <c r="AI15" i="17" a="1"/>
  <c r="AI15" i="17" s="1"/>
  <c r="AV14" i="17"/>
  <c r="AX14" i="17" s="1" a="1"/>
  <c r="AX14" i="17" s="1"/>
  <c r="AT14" i="17"/>
  <c r="AS14" i="17"/>
  <c r="AR14" i="17"/>
  <c r="AI14" i="17" a="1"/>
  <c r="AI14" i="17" s="1"/>
  <c r="AV13" i="17"/>
  <c r="AX13" i="17" s="1" a="1"/>
  <c r="AX13" i="17" s="1"/>
  <c r="AT13" i="17"/>
  <c r="AS13" i="17"/>
  <c r="AR13" i="17"/>
  <c r="AI13" i="17" a="1"/>
  <c r="AI13" i="17" s="1"/>
  <c r="AV12" i="17"/>
  <c r="AX12" i="17" s="1" a="1"/>
  <c r="AX12" i="17" s="1"/>
  <c r="AT12" i="17"/>
  <c r="AS12" i="17"/>
  <c r="AR12" i="17"/>
  <c r="AI12" i="17" a="1"/>
  <c r="AI12" i="17" s="1"/>
  <c r="AV11" i="17"/>
  <c r="AX11" i="17" s="1" a="1"/>
  <c r="AX11" i="17" s="1"/>
  <c r="AT11" i="17"/>
  <c r="AS11" i="17"/>
  <c r="AR11" i="17"/>
  <c r="AI11" i="17" a="1"/>
  <c r="AI11" i="17" s="1"/>
  <c r="W8" i="17"/>
  <c r="V8" i="17"/>
  <c r="U8" i="17"/>
  <c r="T8" i="17"/>
  <c r="W7" i="17"/>
  <c r="V7" i="17"/>
  <c r="U7" i="17"/>
  <c r="T7" i="17"/>
  <c r="W15" i="17"/>
  <c r="Z15" i="17" s="1"/>
  <c r="W14" i="17"/>
  <c r="Z14" i="17" s="1"/>
  <c r="W12" i="17"/>
  <c r="Z11" i="17"/>
  <c r="E8" i="17"/>
  <c r="E7" i="17"/>
  <c r="E19" i="17"/>
  <c r="E18" i="17"/>
  <c r="E15" i="17"/>
  <c r="E14" i="17"/>
  <c r="E13" i="17"/>
  <c r="E12" i="17"/>
  <c r="E11" i="17"/>
  <c r="S8" i="17"/>
  <c r="S7" i="17"/>
  <c r="S15" i="17"/>
  <c r="S14" i="17"/>
  <c r="S13" i="17"/>
  <c r="S12" i="17"/>
  <c r="S11" i="17"/>
  <c r="V20" i="17"/>
  <c r="V19" i="17"/>
  <c r="V18" i="17"/>
  <c r="T15" i="17"/>
  <c r="T14" i="17"/>
  <c r="T13" i="17"/>
  <c r="T12" i="17"/>
  <c r="T11" i="17"/>
  <c r="G8" i="17"/>
  <c r="G7" i="17"/>
  <c r="G15" i="17"/>
  <c r="G14" i="17"/>
  <c r="G13" i="17"/>
  <c r="G12" i="17"/>
  <c r="G11" i="17"/>
  <c r="B15" i="17"/>
  <c r="B14" i="17"/>
  <c r="B13" i="17"/>
  <c r="B12" i="17"/>
  <c r="B11" i="17"/>
  <c r="B8" i="17"/>
  <c r="B7" i="17"/>
  <c r="AX32" i="17" a="1"/>
  <c r="AX32" i="17" s="1"/>
  <c r="AV32" i="17"/>
  <c r="AT32" i="17"/>
  <c r="AS32" i="17"/>
  <c r="AR32" i="17"/>
  <c r="AI32" i="17" a="1"/>
  <c r="AI32" i="17" s="1"/>
  <c r="AJ32" i="17" s="1"/>
  <c r="AB32" i="17"/>
  <c r="Y32" i="17"/>
  <c r="W32" i="17"/>
  <c r="Z32" i="17" s="1"/>
  <c r="V32" i="17"/>
  <c r="U32" i="17"/>
  <c r="T32" i="17"/>
  <c r="S32" i="17"/>
  <c r="G32" i="17"/>
  <c r="E32" i="17"/>
  <c r="B32" i="17"/>
  <c r="AV31" i="17"/>
  <c r="AX31" i="17" s="1" a="1"/>
  <c r="AX31" i="17" s="1"/>
  <c r="AT31" i="17"/>
  <c r="AS31" i="17"/>
  <c r="AR31" i="17"/>
  <c r="AI31" i="17" a="1"/>
  <c r="AI31" i="17" s="1"/>
  <c r="AJ31" i="17" s="1"/>
  <c r="AB31" i="17"/>
  <c r="T31" i="17"/>
  <c r="S31" i="17"/>
  <c r="G31" i="17"/>
  <c r="E31" i="17"/>
  <c r="B31" i="17"/>
  <c r="AV28" i="17"/>
  <c r="AX28" i="17" s="1" a="1"/>
  <c r="AX28" i="17" s="1"/>
  <c r="AT28" i="17"/>
  <c r="AS28" i="17"/>
  <c r="AR28" i="17"/>
  <c r="AI28" i="17" a="1"/>
  <c r="AI28" i="17" s="1"/>
  <c r="AJ28" i="17" s="1"/>
  <c r="AB28" i="17"/>
  <c r="Y28" i="17"/>
  <c r="Z28" i="17"/>
  <c r="T28" i="17"/>
  <c r="S28" i="17"/>
  <c r="G28" i="17"/>
  <c r="E28" i="17"/>
  <c r="B28" i="17"/>
  <c r="AV27" i="17"/>
  <c r="AX27" i="17" s="1" a="1"/>
  <c r="AX27" i="17" s="1"/>
  <c r="AT27" i="17"/>
  <c r="AS27" i="17"/>
  <c r="AR27" i="17"/>
  <c r="AI27" i="17" a="1"/>
  <c r="AI27" i="17" s="1"/>
  <c r="AB27" i="17"/>
  <c r="Y27" i="17"/>
  <c r="Z27" i="17"/>
  <c r="T27" i="17"/>
  <c r="S27" i="17"/>
  <c r="G27" i="17"/>
  <c r="E27" i="17"/>
  <c r="B27" i="17"/>
  <c r="AV26" i="17"/>
  <c r="AX26" i="17" s="1" a="1"/>
  <c r="AX26" i="17" s="1"/>
  <c r="AT26" i="17"/>
  <c r="AS26" i="17"/>
  <c r="AR26" i="17"/>
  <c r="AI26" i="17" a="1"/>
  <c r="AI26" i="17" s="1"/>
  <c r="AJ26" i="17" s="1"/>
  <c r="AB26" i="17"/>
  <c r="Y26" i="17"/>
  <c r="Z26" i="17"/>
  <c r="T26" i="17"/>
  <c r="S26" i="17"/>
  <c r="G26" i="17"/>
  <c r="E26" i="17"/>
  <c r="B26" i="17"/>
  <c r="AV25" i="17"/>
  <c r="AX25" i="17" s="1" a="1"/>
  <c r="AX25" i="17" s="1"/>
  <c r="AT25" i="17"/>
  <c r="AS25" i="17"/>
  <c r="AR25" i="17"/>
  <c r="AI25" i="17" a="1"/>
  <c r="AI25" i="17" s="1"/>
  <c r="AJ25" i="17" s="1"/>
  <c r="AB25" i="17"/>
  <c r="Y25" i="17"/>
  <c r="W25" i="17"/>
  <c r="Z25" i="17" s="1"/>
  <c r="T25" i="17"/>
  <c r="S25" i="17"/>
  <c r="G25" i="17"/>
  <c r="E25" i="17"/>
  <c r="B25" i="17"/>
  <c r="AV24" i="17"/>
  <c r="AX24" i="17" s="1" a="1"/>
  <c r="AX24" i="17" s="1"/>
  <c r="AT24" i="17"/>
  <c r="AS24" i="17"/>
  <c r="AR24" i="17"/>
  <c r="AI24" i="17" a="1"/>
  <c r="AI24" i="17" s="1"/>
  <c r="AJ24" i="17" s="1"/>
  <c r="AB24" i="17"/>
  <c r="Y24" i="17"/>
  <c r="W24" i="17"/>
  <c r="Z24" i="17" s="1"/>
  <c r="T24" i="17"/>
  <c r="S24" i="17"/>
  <c r="G24" i="17"/>
  <c r="E24" i="17"/>
  <c r="B24" i="17"/>
  <c r="AV23" i="17"/>
  <c r="AX23" i="17" s="1" a="1"/>
  <c r="AX23" i="17" s="1"/>
  <c r="AT23" i="17"/>
  <c r="AS23" i="17"/>
  <c r="AR23" i="17"/>
  <c r="AI23" i="17" a="1"/>
  <c r="AI23" i="17" s="1"/>
  <c r="AB23" i="17"/>
  <c r="Y23" i="17"/>
  <c r="W23" i="17"/>
  <c r="Z23" i="17" s="1"/>
  <c r="T23" i="17"/>
  <c r="S23" i="17"/>
  <c r="G23" i="17"/>
  <c r="E23" i="17"/>
  <c r="B23" i="17"/>
  <c r="AV22" i="17"/>
  <c r="AX22" i="17" s="1" a="1"/>
  <c r="AX22" i="17" s="1"/>
  <c r="AT22" i="17"/>
  <c r="AS22" i="17"/>
  <c r="AR22" i="17"/>
  <c r="AI22" i="17" a="1"/>
  <c r="AI22" i="17" s="1"/>
  <c r="AJ22" i="17" s="1"/>
  <c r="AB22" i="17"/>
  <c r="Y22" i="17"/>
  <c r="Z22" i="17"/>
  <c r="AV21" i="17"/>
  <c r="AX21" i="17" s="1" a="1"/>
  <c r="AX21" i="17" s="1"/>
  <c r="AT21" i="17"/>
  <c r="AS21" i="17"/>
  <c r="AR21" i="17"/>
  <c r="AI21" i="17" a="1"/>
  <c r="AI21" i="17" s="1"/>
  <c r="AJ21" i="17" s="1"/>
  <c r="AB21" i="17"/>
  <c r="Z21" i="17"/>
  <c r="Y21" i="17"/>
  <c r="AV20" i="17"/>
  <c r="AX20" i="17" s="1" a="1"/>
  <c r="AX20" i="17" s="1"/>
  <c r="AT20" i="17"/>
  <c r="AS20" i="17"/>
  <c r="AR20" i="17"/>
  <c r="AI20" i="17" a="1"/>
  <c r="AI20" i="17" s="1"/>
  <c r="AJ20" i="17" s="1"/>
  <c r="AB20" i="17"/>
  <c r="Y20" i="17"/>
  <c r="W20" i="17"/>
  <c r="Z20" i="17" s="1"/>
  <c r="U20" i="17"/>
  <c r="T20" i="17"/>
  <c r="S20" i="17"/>
  <c r="G20" i="17"/>
  <c r="E20" i="17"/>
  <c r="B20" i="17"/>
  <c r="AV19" i="17"/>
  <c r="AX19" i="17" s="1" a="1"/>
  <c r="AX19" i="17" s="1"/>
  <c r="AT19" i="17"/>
  <c r="AS19" i="17"/>
  <c r="AR19" i="17"/>
  <c r="AI19" i="17" a="1"/>
  <c r="AI19" i="17" s="1"/>
  <c r="AB19" i="17"/>
  <c r="Y19" i="17"/>
  <c r="W19" i="17"/>
  <c r="Z19" i="17" s="1"/>
  <c r="U19" i="17"/>
  <c r="T19" i="17"/>
  <c r="S19" i="17"/>
  <c r="G19" i="17"/>
  <c r="B19" i="17"/>
  <c r="AV18" i="17"/>
  <c r="AX18" i="17" s="1" a="1"/>
  <c r="AX18" i="17" s="1"/>
  <c r="AT18" i="17"/>
  <c r="AS18" i="17"/>
  <c r="AR18" i="17"/>
  <c r="AI18" i="17" a="1"/>
  <c r="AI18" i="17" s="1"/>
  <c r="AJ18" i="17" s="1"/>
  <c r="AB18" i="17"/>
  <c r="Y18" i="17"/>
  <c r="W18" i="17"/>
  <c r="Z18" i="17" s="1"/>
  <c r="U18" i="17"/>
  <c r="T18" i="17"/>
  <c r="S18" i="17"/>
  <c r="G18" i="17"/>
  <c r="B18" i="17"/>
  <c r="AV17" i="17"/>
  <c r="AX17" i="17" s="1" a="1"/>
  <c r="AX17" i="17" s="1"/>
  <c r="AT17" i="17"/>
  <c r="AS17" i="17"/>
  <c r="AR17" i="17"/>
  <c r="AI17" i="17" a="1"/>
  <c r="AI17" i="17" s="1"/>
  <c r="AJ17" i="17" s="1"/>
  <c r="AB17" i="17"/>
  <c r="Z17" i="17"/>
  <c r="Y17" i="17"/>
  <c r="AV16" i="17"/>
  <c r="AX16" i="17" s="1" a="1"/>
  <c r="AX16" i="17" s="1"/>
  <c r="AT16" i="17"/>
  <c r="AS16" i="17"/>
  <c r="AR16" i="17"/>
  <c r="AI16" i="17" a="1"/>
  <c r="AI16" i="17" s="1"/>
  <c r="AB16" i="17"/>
  <c r="Z16" i="17"/>
  <c r="Y16" i="17"/>
  <c r="AB15" i="17"/>
  <c r="Y15" i="17"/>
  <c r="AB14" i="17"/>
  <c r="Y14" i="17"/>
  <c r="AB13" i="17"/>
  <c r="Z13" i="17"/>
  <c r="AB12" i="17"/>
  <c r="Z12" i="17"/>
  <c r="Y12" i="17"/>
  <c r="AB11" i="17"/>
  <c r="Y11" i="17"/>
  <c r="AV10" i="17"/>
  <c r="AX10" i="17" s="1" a="1"/>
  <c r="AX10" i="17" s="1"/>
  <c r="AT10" i="17"/>
  <c r="AS10" i="17"/>
  <c r="AR10" i="17"/>
  <c r="AI10" i="17" a="1"/>
  <c r="AI10" i="17" s="1"/>
  <c r="AJ10" i="17" s="1"/>
  <c r="AB10" i="17"/>
  <c r="Y10" i="17"/>
  <c r="Z10" i="17"/>
  <c r="AV9" i="17"/>
  <c r="AX9" i="17" s="1" a="1"/>
  <c r="AX9" i="17" s="1"/>
  <c r="AT9" i="17"/>
  <c r="AS9" i="17"/>
  <c r="AH9" i="17"/>
  <c r="AI9" i="17" s="1" a="1"/>
  <c r="AI9" i="17" s="1"/>
  <c r="AB9" i="17"/>
  <c r="Y9" i="17"/>
  <c r="Z9" i="17"/>
  <c r="AV8" i="17"/>
  <c r="AX8" i="17" s="1" a="1"/>
  <c r="AX8" i="17" s="1"/>
  <c r="AT8" i="17"/>
  <c r="AS8" i="17"/>
  <c r="AR8" i="17"/>
  <c r="AH8" i="17"/>
  <c r="AI8" i="17" s="1" a="1"/>
  <c r="AI8" i="17" s="1"/>
  <c r="AB8" i="17"/>
  <c r="Y8" i="17"/>
  <c r="Z8" i="17"/>
  <c r="AV7" i="17"/>
  <c r="AX7" i="17" s="1" a="1"/>
  <c r="AX7" i="17" s="1"/>
  <c r="AT7" i="17"/>
  <c r="AS7" i="17"/>
  <c r="AR7" i="17"/>
  <c r="AH7" i="17"/>
  <c r="AI7" i="17" s="1" a="1"/>
  <c r="AI7" i="17" s="1"/>
  <c r="AJ7" i="17" s="1"/>
  <c r="AB7" i="17"/>
  <c r="Z7" i="17"/>
  <c r="Y7" i="17"/>
  <c r="AV6" i="17"/>
  <c r="AT6" i="17"/>
  <c r="AS6" i="17"/>
  <c r="AR6" i="17"/>
  <c r="AH6" i="17"/>
  <c r="AI6" i="17" s="1" a="1"/>
  <c r="AI6" i="17" s="1"/>
  <c r="AJ6" i="17" s="1"/>
  <c r="AB6" i="17"/>
  <c r="Y6" i="17"/>
  <c r="Z6" i="17"/>
  <c r="AW3" i="17"/>
  <c r="AU3" i="17"/>
  <c r="AQ3" i="17"/>
  <c r="AN3" i="17"/>
  <c r="AG3" i="17"/>
  <c r="AF3" i="17"/>
  <c r="AE3" i="17"/>
  <c r="AD3" i="17"/>
  <c r="AC3" i="17"/>
  <c r="AA3" i="17"/>
  <c r="M3" i="17"/>
  <c r="L3" i="17"/>
  <c r="K3" i="17"/>
  <c r="J3" i="17"/>
  <c r="I3" i="17"/>
  <c r="F3" i="17"/>
  <c r="D3" i="17"/>
  <c r="C3" i="17"/>
  <c r="BH2" i="17"/>
  <c r="BG2" i="17"/>
  <c r="BF2" i="17"/>
  <c r="BE2" i="17"/>
  <c r="BD2" i="17"/>
  <c r="BC2" i="17"/>
  <c r="BB2" i="17"/>
  <c r="S3" i="17" l="1"/>
  <c r="AL29" i="17"/>
  <c r="AL30" i="17"/>
  <c r="AK19" i="17"/>
  <c r="AM19" i="17" s="1"/>
  <c r="AR3" i="17"/>
  <c r="AK23" i="17"/>
  <c r="AM23" i="17" s="1"/>
  <c r="AO23" i="17" s="1"/>
  <c r="AP23" i="17" s="1"/>
  <c r="AH3" i="17"/>
  <c r="U3" i="17"/>
  <c r="AK6" i="17"/>
  <c r="AM6" i="17" s="1"/>
  <c r="AO6" i="17" s="1"/>
  <c r="AP6" i="17" s="1"/>
  <c r="AK17" i="17"/>
  <c r="AM17" i="17" s="1"/>
  <c r="AO17" i="17" s="1"/>
  <c r="AP17" i="17" s="1"/>
  <c r="AK13" i="17"/>
  <c r="AM13" i="17" s="1"/>
  <c r="AO13" i="17" s="1"/>
  <c r="AP13" i="17" s="1"/>
  <c r="AJ13" i="17"/>
  <c r="AK11" i="17"/>
  <c r="AM11" i="17" s="1"/>
  <c r="AO11" i="17" s="1"/>
  <c r="AP11" i="17" s="1"/>
  <c r="AJ11" i="17"/>
  <c r="AK14" i="17"/>
  <c r="AM14" i="17" s="1"/>
  <c r="AO14" i="17" s="1"/>
  <c r="AP14" i="17" s="1"/>
  <c r="AJ14" i="17"/>
  <c r="AK12" i="17"/>
  <c r="AM12" i="17" s="1"/>
  <c r="AO12" i="17" s="1"/>
  <c r="AP12" i="17" s="1"/>
  <c r="AJ12" i="17"/>
  <c r="AK15" i="17"/>
  <c r="AM15" i="17" s="1"/>
  <c r="AO15" i="17" s="1"/>
  <c r="AP15" i="17" s="1"/>
  <c r="AJ15" i="17"/>
  <c r="AS3" i="17"/>
  <c r="V3" i="17"/>
  <c r="AL6" i="17"/>
  <c r="AK28" i="17"/>
  <c r="AM28" i="17" s="1"/>
  <c r="AO19" i="17"/>
  <c r="AP19" i="17" s="1"/>
  <c r="AJ19" i="17"/>
  <c r="AL19" i="17" s="1"/>
  <c r="AJ16" i="17"/>
  <c r="AK16" i="17"/>
  <c r="AM16" i="17" s="1"/>
  <c r="AO16" i="17" s="1"/>
  <c r="AP16" i="17" s="1"/>
  <c r="AB3" i="17"/>
  <c r="AK18" i="17"/>
  <c r="AM18" i="17" s="1"/>
  <c r="AO18" i="17" s="1"/>
  <c r="AP18" i="17" s="1"/>
  <c r="AK20" i="17"/>
  <c r="AM20" i="17" s="1"/>
  <c r="AO20" i="17" s="1"/>
  <c r="AP20" i="17" s="1"/>
  <c r="AJ23" i="17"/>
  <c r="AL23" i="17" s="1"/>
  <c r="AK31" i="17"/>
  <c r="AM31" i="17" s="1"/>
  <c r="AO31" i="17" s="1"/>
  <c r="AP31" i="17" s="1"/>
  <c r="AK32" i="17"/>
  <c r="AM32" i="17" s="1"/>
  <c r="AO32" i="17" s="1"/>
  <c r="AP32" i="17" s="1"/>
  <c r="AJ9" i="17"/>
  <c r="AK9" i="17"/>
  <c r="AM9" i="17" s="1"/>
  <c r="AO9" i="17" s="1"/>
  <c r="AP9" i="17" s="1"/>
  <c r="Z3" i="17"/>
  <c r="AJ8" i="17"/>
  <c r="AK8" i="17"/>
  <c r="AM8" i="17" s="1"/>
  <c r="AO8" i="17" s="1"/>
  <c r="AP8" i="17" s="1"/>
  <c r="AK27" i="17"/>
  <c r="AM27" i="17" s="1"/>
  <c r="AO27" i="17" s="1"/>
  <c r="AP27" i="17" s="1"/>
  <c r="AJ27" i="17"/>
  <c r="AL27" i="17" s="1"/>
  <c r="AK7" i="17"/>
  <c r="AM7" i="17" s="1"/>
  <c r="AO7" i="17" s="1"/>
  <c r="AP7" i="17" s="1"/>
  <c r="AX6" i="17" a="1"/>
  <c r="AX6" i="17" s="1"/>
  <c r="AV3" i="17"/>
  <c r="T3" i="17"/>
  <c r="Y3" i="17"/>
  <c r="AK10" i="17"/>
  <c r="AM10" i="17" s="1"/>
  <c r="AO10" i="17" s="1"/>
  <c r="AP10" i="17" s="1"/>
  <c r="AK22" i="17"/>
  <c r="AM22" i="17" s="1"/>
  <c r="AO22" i="17" s="1"/>
  <c r="AP22" i="17" s="1"/>
  <c r="W3" i="17"/>
  <c r="AT3" i="17"/>
  <c r="AK24" i="17"/>
  <c r="AM24" i="17" s="1"/>
  <c r="AO24" i="17" s="1"/>
  <c r="AP24" i="17" s="1"/>
  <c r="AK21" i="17"/>
  <c r="AM21" i="17" s="1"/>
  <c r="AO21" i="17" s="1"/>
  <c r="AP21" i="17" s="1"/>
  <c r="AK25" i="17"/>
  <c r="AM25" i="17" s="1"/>
  <c r="AO25" i="17" s="1"/>
  <c r="AP25" i="17" s="1"/>
  <c r="AK26" i="17"/>
  <c r="AM26" i="17" s="1"/>
  <c r="AO26" i="17" s="1"/>
  <c r="AP26" i="17" s="1"/>
  <c r="AO28" i="17"/>
  <c r="AP28" i="17" s="1"/>
  <c r="T57" i="6"/>
  <c r="T56" i="6"/>
  <c r="T55" i="6"/>
  <c r="T54" i="6"/>
  <c r="T53" i="6"/>
  <c r="T52" i="6"/>
  <c r="T51" i="6"/>
  <c r="T50" i="6"/>
  <c r="T49" i="6"/>
  <c r="T48" i="6"/>
  <c r="T47" i="6"/>
  <c r="T46" i="6"/>
  <c r="T45" i="6"/>
  <c r="T44" i="6"/>
  <c r="T43" i="6"/>
  <c r="T42" i="6"/>
  <c r="T41" i="6"/>
  <c r="T40" i="6"/>
  <c r="T39" i="6"/>
  <c r="T38" i="6"/>
  <c r="T37" i="6"/>
  <c r="T36" i="6"/>
  <c r="T35" i="6"/>
  <c r="T34" i="6"/>
  <c r="T33" i="6"/>
  <c r="T32" i="6"/>
  <c r="T31" i="6"/>
  <c r="T30" i="6"/>
  <c r="T29" i="6"/>
  <c r="T28" i="6"/>
  <c r="T27" i="6"/>
  <c r="T26" i="6"/>
  <c r="T25" i="6"/>
  <c r="T24" i="6"/>
  <c r="T23" i="6"/>
  <c r="T22" i="6"/>
  <c r="T21" i="6"/>
  <c r="T20" i="6"/>
  <c r="T19" i="6"/>
  <c r="T18" i="6"/>
  <c r="T17" i="6"/>
  <c r="AL17" i="17" l="1"/>
  <c r="AL9" i="17"/>
  <c r="AL31" i="17"/>
  <c r="AL12" i="17"/>
  <c r="AL11" i="17"/>
  <c r="AL15" i="17"/>
  <c r="AL14" i="17"/>
  <c r="AL13" i="17"/>
  <c r="AL21" i="17"/>
  <c r="AL28" i="17"/>
  <c r="AL7" i="17"/>
  <c r="AL20" i="17"/>
  <c r="AL22" i="17"/>
  <c r="AL18" i="17"/>
  <c r="AL32" i="17"/>
  <c r="AL24" i="17"/>
  <c r="AL16" i="17"/>
  <c r="AL8" i="17"/>
  <c r="AL26" i="17"/>
  <c r="AL10" i="17"/>
  <c r="AL25" i="17"/>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9" i="6"/>
  <c r="U18" i="6"/>
  <c r="U17" i="6"/>
  <c r="D3" i="6"/>
  <c r="U3" i="6" l="1"/>
  <c r="AP3" i="17"/>
  <c r="AM3" i="17"/>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AV57" i="6" l="1"/>
  <c r="AX57" i="6" s="1" a="1"/>
  <c r="AX57" i="6" s="1"/>
  <c r="AT57" i="6"/>
  <c r="AS57" i="6"/>
  <c r="AR57" i="6"/>
  <c r="AI57" i="6" a="1"/>
  <c r="AI57" i="6" s="1"/>
  <c r="AK57" i="6" s="1"/>
  <c r="AB57" i="6"/>
  <c r="Y57" i="6"/>
  <c r="W57" i="6"/>
  <c r="Z57" i="6" s="1"/>
  <c r="V57" i="6"/>
  <c r="S57" i="6"/>
  <c r="G57" i="6"/>
  <c r="E57" i="6"/>
  <c r="AV56" i="6"/>
  <c r="AX56" i="6" s="1" a="1"/>
  <c r="AX56" i="6" s="1"/>
  <c r="AT56" i="6"/>
  <c r="AS56" i="6"/>
  <c r="AR56" i="6"/>
  <c r="AI56" i="6" a="1"/>
  <c r="AI56" i="6" s="1"/>
  <c r="AB56" i="6"/>
  <c r="Z56" i="6"/>
  <c r="Y56" i="6"/>
  <c r="W56" i="6"/>
  <c r="V56" i="6"/>
  <c r="S56" i="6"/>
  <c r="E56" i="6"/>
  <c r="AV55" i="6"/>
  <c r="AX55" i="6" s="1" a="1"/>
  <c r="AX55" i="6" s="1"/>
  <c r="AT55" i="6"/>
  <c r="AS55" i="6"/>
  <c r="AR55" i="6"/>
  <c r="AI55" i="6" a="1"/>
  <c r="AI55" i="6" s="1"/>
  <c r="AB55" i="6"/>
  <c r="Y55" i="6"/>
  <c r="W55" i="6"/>
  <c r="Z55" i="6" s="1"/>
  <c r="V55" i="6"/>
  <c r="S55" i="6"/>
  <c r="E55" i="6"/>
  <c r="AV54" i="6"/>
  <c r="AX54" i="6" s="1" a="1"/>
  <c r="AX54" i="6" s="1"/>
  <c r="AT54" i="6"/>
  <c r="AS54" i="6"/>
  <c r="AR54" i="6"/>
  <c r="AI54" i="6" a="1"/>
  <c r="AI54" i="6" s="1"/>
  <c r="AK54" i="6" s="1"/>
  <c r="AB54" i="6"/>
  <c r="Y54" i="6"/>
  <c r="W54" i="6"/>
  <c r="Z54" i="6" s="1"/>
  <c r="V54" i="6"/>
  <c r="S54" i="6"/>
  <c r="E54" i="6"/>
  <c r="AV53" i="6"/>
  <c r="AX53" i="6" s="1" a="1"/>
  <c r="AX53" i="6" s="1"/>
  <c r="AT53" i="6"/>
  <c r="AS53" i="6"/>
  <c r="AR53" i="6"/>
  <c r="AI53" i="6" a="1"/>
  <c r="AI53" i="6" s="1"/>
  <c r="AB53" i="6"/>
  <c r="Y53" i="6"/>
  <c r="W53" i="6"/>
  <c r="Z53" i="6" s="1"/>
  <c r="V53" i="6"/>
  <c r="S53" i="6"/>
  <c r="E53" i="6"/>
  <c r="AV52" i="6"/>
  <c r="AX52" i="6" s="1" a="1"/>
  <c r="AX52" i="6" s="1"/>
  <c r="AT52" i="6"/>
  <c r="AS52" i="6"/>
  <c r="AR52" i="6"/>
  <c r="AI52" i="6" a="1"/>
  <c r="AI52" i="6" s="1"/>
  <c r="AK52" i="6" s="1"/>
  <c r="AB52" i="6"/>
  <c r="Y52" i="6"/>
  <c r="W52" i="6"/>
  <c r="Z52" i="6" s="1"/>
  <c r="V52" i="6"/>
  <c r="S52" i="6"/>
  <c r="E52" i="6"/>
  <c r="AV51" i="6"/>
  <c r="AX51" i="6" s="1" a="1"/>
  <c r="AX51" i="6" s="1"/>
  <c r="AT51" i="6"/>
  <c r="AS51" i="6"/>
  <c r="AR51" i="6"/>
  <c r="AI51" i="6" a="1"/>
  <c r="AI51" i="6" s="1"/>
  <c r="AK51" i="6" s="1"/>
  <c r="AB51" i="6"/>
  <c r="Y51" i="6"/>
  <c r="W51" i="6"/>
  <c r="Z51" i="6" s="1"/>
  <c r="V51" i="6"/>
  <c r="S51" i="6"/>
  <c r="E51" i="6"/>
  <c r="AV50" i="6"/>
  <c r="AX50" i="6" s="1" a="1"/>
  <c r="AX50" i="6" s="1"/>
  <c r="AT50" i="6"/>
  <c r="AS50" i="6"/>
  <c r="AR50" i="6"/>
  <c r="AI50" i="6" a="1"/>
  <c r="AI50" i="6" s="1"/>
  <c r="AK50" i="6" s="1"/>
  <c r="AB50" i="6"/>
  <c r="Y50" i="6"/>
  <c r="W50" i="6"/>
  <c r="Z50" i="6" s="1"/>
  <c r="V50" i="6"/>
  <c r="S50" i="6"/>
  <c r="E50" i="6"/>
  <c r="AV49" i="6"/>
  <c r="AX49" i="6" s="1" a="1"/>
  <c r="AX49" i="6" s="1"/>
  <c r="AT49" i="6"/>
  <c r="AS49" i="6"/>
  <c r="AR49" i="6"/>
  <c r="AI49" i="6" a="1"/>
  <c r="AI49" i="6" s="1"/>
  <c r="AK49" i="6" s="1"/>
  <c r="AB49" i="6"/>
  <c r="Y49" i="6"/>
  <c r="W49" i="6"/>
  <c r="Z49" i="6" s="1"/>
  <c r="V49" i="6"/>
  <c r="S49" i="6"/>
  <c r="E49" i="6"/>
  <c r="AV48" i="6"/>
  <c r="AX48" i="6" s="1" a="1"/>
  <c r="AX48" i="6" s="1"/>
  <c r="AT48" i="6"/>
  <c r="AS48" i="6"/>
  <c r="AR48" i="6"/>
  <c r="AI48" i="6" a="1"/>
  <c r="AI48" i="6" s="1"/>
  <c r="AK48" i="6" s="1"/>
  <c r="AB48" i="6"/>
  <c r="Y48" i="6"/>
  <c r="W48" i="6"/>
  <c r="Z48" i="6" s="1"/>
  <c r="V48" i="6"/>
  <c r="S48" i="6"/>
  <c r="E48" i="6"/>
  <c r="AV47" i="6"/>
  <c r="AX47" i="6" s="1" a="1"/>
  <c r="AX47" i="6" s="1"/>
  <c r="AT47" i="6"/>
  <c r="AS47" i="6"/>
  <c r="AR47" i="6"/>
  <c r="AI47" i="6" a="1"/>
  <c r="AI47" i="6" s="1"/>
  <c r="AB47" i="6"/>
  <c r="Y47" i="6"/>
  <c r="W47" i="6"/>
  <c r="Z47" i="6" s="1"/>
  <c r="V47" i="6"/>
  <c r="S47" i="6"/>
  <c r="E47" i="6"/>
  <c r="AV46" i="6"/>
  <c r="AX46" i="6" s="1" a="1"/>
  <c r="AX46" i="6" s="1"/>
  <c r="AT46" i="6"/>
  <c r="AS46" i="6"/>
  <c r="AR46" i="6"/>
  <c r="AI46" i="6" a="1"/>
  <c r="AI46" i="6" s="1"/>
  <c r="AK46" i="6" s="1"/>
  <c r="AB46" i="6"/>
  <c r="Y46" i="6"/>
  <c r="W46" i="6"/>
  <c r="Z46" i="6" s="1"/>
  <c r="V46" i="6"/>
  <c r="S46" i="6"/>
  <c r="E46" i="6"/>
  <c r="AV45" i="6"/>
  <c r="AX45" i="6" s="1" a="1"/>
  <c r="AX45" i="6" s="1"/>
  <c r="AT45" i="6"/>
  <c r="AS45" i="6"/>
  <c r="AR45" i="6"/>
  <c r="AI45" i="6" a="1"/>
  <c r="AI45" i="6" s="1"/>
  <c r="AB45" i="6"/>
  <c r="Y45" i="6"/>
  <c r="W45" i="6"/>
  <c r="Z45" i="6" s="1"/>
  <c r="V45" i="6"/>
  <c r="S45" i="6"/>
  <c r="E45" i="6"/>
  <c r="AV44" i="6"/>
  <c r="AX44" i="6" s="1" a="1"/>
  <c r="AX44" i="6" s="1"/>
  <c r="AT44" i="6"/>
  <c r="AS44" i="6"/>
  <c r="AR44" i="6"/>
  <c r="AI44" i="6" a="1"/>
  <c r="AI44" i="6" s="1"/>
  <c r="AK44" i="6" s="1"/>
  <c r="AB44" i="6"/>
  <c r="Y44" i="6"/>
  <c r="W44" i="6"/>
  <c r="Z44" i="6" s="1"/>
  <c r="V44" i="6"/>
  <c r="S44" i="6"/>
  <c r="E44" i="6"/>
  <c r="AV43" i="6"/>
  <c r="AX43" i="6" s="1" a="1"/>
  <c r="AX43" i="6" s="1"/>
  <c r="AT43" i="6"/>
  <c r="AS43" i="6"/>
  <c r="AR43" i="6"/>
  <c r="AI43" i="6" a="1"/>
  <c r="AI43" i="6" s="1"/>
  <c r="AK43" i="6" s="1"/>
  <c r="AB43" i="6"/>
  <c r="Y43" i="6"/>
  <c r="W43" i="6"/>
  <c r="Z43" i="6" s="1"/>
  <c r="V43" i="6"/>
  <c r="S43" i="6"/>
  <c r="E43" i="6"/>
  <c r="AV42" i="6"/>
  <c r="AX42" i="6" s="1" a="1"/>
  <c r="AX42" i="6" s="1"/>
  <c r="AT42" i="6"/>
  <c r="AS42" i="6"/>
  <c r="AR42" i="6"/>
  <c r="AI42" i="6" a="1"/>
  <c r="AI42" i="6" s="1"/>
  <c r="AK42" i="6" s="1"/>
  <c r="AB42" i="6"/>
  <c r="Y42" i="6"/>
  <c r="W42" i="6"/>
  <c r="Z42" i="6" s="1"/>
  <c r="V42" i="6"/>
  <c r="S42" i="6"/>
  <c r="E42" i="6"/>
  <c r="AV41" i="6"/>
  <c r="AX41" i="6" s="1" a="1"/>
  <c r="AX41" i="6" s="1"/>
  <c r="AT41" i="6"/>
  <c r="AS41" i="6"/>
  <c r="AR41" i="6"/>
  <c r="AI41" i="6" a="1"/>
  <c r="AI41" i="6" s="1"/>
  <c r="AK41" i="6" s="1"/>
  <c r="AB41" i="6"/>
  <c r="Y41" i="6"/>
  <c r="W41" i="6"/>
  <c r="Z41" i="6" s="1"/>
  <c r="V41" i="6"/>
  <c r="S41" i="6"/>
  <c r="E41" i="6"/>
  <c r="AV40" i="6"/>
  <c r="AX40" i="6" s="1" a="1"/>
  <c r="AX40" i="6" s="1"/>
  <c r="AT40" i="6"/>
  <c r="AS40" i="6"/>
  <c r="AR40" i="6"/>
  <c r="AI40" i="6" a="1"/>
  <c r="AI40" i="6" s="1"/>
  <c r="AK40" i="6" s="1"/>
  <c r="AB40" i="6"/>
  <c r="Y40" i="6"/>
  <c r="W40" i="6"/>
  <c r="Z40" i="6" s="1"/>
  <c r="V40" i="6"/>
  <c r="S40" i="6"/>
  <c r="E40" i="6"/>
  <c r="AV39" i="6"/>
  <c r="AX39" i="6" s="1" a="1"/>
  <c r="AX39" i="6" s="1"/>
  <c r="AT39" i="6"/>
  <c r="AS39" i="6"/>
  <c r="AR39" i="6"/>
  <c r="AI39" i="6" a="1"/>
  <c r="AI39" i="6" s="1"/>
  <c r="AB39" i="6"/>
  <c r="Y39" i="6"/>
  <c r="W39" i="6"/>
  <c r="Z39" i="6" s="1"/>
  <c r="V39" i="6"/>
  <c r="S39" i="6"/>
  <c r="E39" i="6"/>
  <c r="AV38" i="6"/>
  <c r="AX38" i="6" s="1" a="1"/>
  <c r="AX38" i="6" s="1"/>
  <c r="AT38" i="6"/>
  <c r="AS38" i="6"/>
  <c r="AR38" i="6"/>
  <c r="AI38" i="6" a="1"/>
  <c r="AI38" i="6" s="1"/>
  <c r="AK38" i="6" s="1"/>
  <c r="AB38" i="6"/>
  <c r="Y38" i="6"/>
  <c r="W38" i="6"/>
  <c r="Z38" i="6" s="1"/>
  <c r="V38" i="6"/>
  <c r="S38" i="6"/>
  <c r="E38" i="6"/>
  <c r="AV37" i="6"/>
  <c r="AX37" i="6" s="1" a="1"/>
  <c r="AX37" i="6" s="1"/>
  <c r="AT37" i="6"/>
  <c r="AS37" i="6"/>
  <c r="AR37" i="6"/>
  <c r="AI37" i="6" a="1"/>
  <c r="AI37" i="6" s="1"/>
  <c r="AB37" i="6"/>
  <c r="Y37" i="6"/>
  <c r="W37" i="6"/>
  <c r="Z37" i="6" s="1"/>
  <c r="V37" i="6"/>
  <c r="S37" i="6"/>
  <c r="E37" i="6"/>
  <c r="AV36" i="6"/>
  <c r="AX36" i="6" s="1" a="1"/>
  <c r="AX36" i="6" s="1"/>
  <c r="AT36" i="6"/>
  <c r="AS36" i="6"/>
  <c r="AR36" i="6"/>
  <c r="AI36" i="6" a="1"/>
  <c r="AI36" i="6" s="1"/>
  <c r="AK36" i="6" s="1"/>
  <c r="AB36" i="6"/>
  <c r="Y36" i="6"/>
  <c r="W36" i="6"/>
  <c r="Z36" i="6" s="1"/>
  <c r="V36" i="6"/>
  <c r="S36" i="6"/>
  <c r="E36" i="6"/>
  <c r="AV35" i="6"/>
  <c r="AX35" i="6" s="1" a="1"/>
  <c r="AX35" i="6" s="1"/>
  <c r="AT35" i="6"/>
  <c r="AS35" i="6"/>
  <c r="AR35" i="6"/>
  <c r="AI35" i="6" a="1"/>
  <c r="AI35" i="6" s="1"/>
  <c r="AK35" i="6" s="1"/>
  <c r="AB35" i="6"/>
  <c r="Y35" i="6"/>
  <c r="W35" i="6"/>
  <c r="Z35" i="6" s="1"/>
  <c r="V35" i="6"/>
  <c r="S35" i="6"/>
  <c r="E35" i="6"/>
  <c r="AV34" i="6"/>
  <c r="AX34" i="6" s="1" a="1"/>
  <c r="AX34" i="6" s="1"/>
  <c r="AT34" i="6"/>
  <c r="AS34" i="6"/>
  <c r="AR34" i="6"/>
  <c r="AI34" i="6" a="1"/>
  <c r="AI34" i="6" s="1"/>
  <c r="AK34" i="6" s="1"/>
  <c r="AB34" i="6"/>
  <c r="Y34" i="6"/>
  <c r="W34" i="6"/>
  <c r="Z34" i="6" s="1"/>
  <c r="V34" i="6"/>
  <c r="S34" i="6"/>
  <c r="E34" i="6"/>
  <c r="AV33" i="6"/>
  <c r="AX33" i="6" s="1" a="1"/>
  <c r="AX33" i="6" s="1"/>
  <c r="AT33" i="6"/>
  <c r="AS33" i="6"/>
  <c r="AR33" i="6"/>
  <c r="AI33" i="6" a="1"/>
  <c r="AI33" i="6" s="1"/>
  <c r="AK33" i="6" s="1"/>
  <c r="AB33" i="6"/>
  <c r="Y33" i="6"/>
  <c r="W33" i="6"/>
  <c r="Z33" i="6" s="1"/>
  <c r="V33" i="6"/>
  <c r="S33" i="6"/>
  <c r="E33" i="6"/>
  <c r="AV32" i="6"/>
  <c r="AX32" i="6" s="1" a="1"/>
  <c r="AX32" i="6" s="1"/>
  <c r="AT32" i="6"/>
  <c r="AS32" i="6"/>
  <c r="AR32" i="6"/>
  <c r="AI32" i="6" a="1"/>
  <c r="AI32" i="6" s="1"/>
  <c r="AK32" i="6" s="1"/>
  <c r="AB32" i="6"/>
  <c r="Y32" i="6"/>
  <c r="W32" i="6"/>
  <c r="Z32" i="6" s="1"/>
  <c r="V32" i="6"/>
  <c r="S32" i="6"/>
  <c r="E32" i="6"/>
  <c r="AV31" i="6"/>
  <c r="AX31" i="6" s="1" a="1"/>
  <c r="AX31" i="6" s="1"/>
  <c r="AT31" i="6"/>
  <c r="AS31" i="6"/>
  <c r="AR31" i="6"/>
  <c r="AI31" i="6" a="1"/>
  <c r="AI31" i="6" s="1"/>
  <c r="AB31" i="6"/>
  <c r="Y31" i="6"/>
  <c r="W31" i="6"/>
  <c r="Z31" i="6" s="1"/>
  <c r="V31" i="6"/>
  <c r="S31" i="6"/>
  <c r="E31" i="6"/>
  <c r="AV30" i="6"/>
  <c r="AX30" i="6" s="1" a="1"/>
  <c r="AX30" i="6" s="1"/>
  <c r="AT30" i="6"/>
  <c r="AS30" i="6"/>
  <c r="AR30" i="6"/>
  <c r="AI30" i="6" a="1"/>
  <c r="AI30" i="6" s="1"/>
  <c r="AK30" i="6" s="1"/>
  <c r="AB30" i="6"/>
  <c r="Y30" i="6"/>
  <c r="W30" i="6"/>
  <c r="Z30" i="6" s="1"/>
  <c r="V30" i="6"/>
  <c r="S30" i="6"/>
  <c r="E30" i="6"/>
  <c r="AV29" i="6"/>
  <c r="AX29" i="6" s="1" a="1"/>
  <c r="AX29" i="6" s="1"/>
  <c r="AT29" i="6"/>
  <c r="AS29" i="6"/>
  <c r="AR29" i="6"/>
  <c r="AI29" i="6" a="1"/>
  <c r="AI29" i="6" s="1"/>
  <c r="AB29" i="6"/>
  <c r="W29" i="6"/>
  <c r="Z29" i="6" s="1"/>
  <c r="V29" i="6"/>
  <c r="S29" i="6"/>
  <c r="E29" i="6"/>
  <c r="AV28" i="6"/>
  <c r="AX28" i="6" s="1" a="1"/>
  <c r="AX28" i="6" s="1"/>
  <c r="AT28" i="6"/>
  <c r="AS28" i="6"/>
  <c r="AR28" i="6"/>
  <c r="AI28" i="6" a="1"/>
  <c r="AI28" i="6" s="1"/>
  <c r="AK28" i="6" s="1"/>
  <c r="AB28" i="6"/>
  <c r="Y28" i="6"/>
  <c r="W28" i="6"/>
  <c r="Z28" i="6" s="1"/>
  <c r="V28" i="6"/>
  <c r="S28" i="6"/>
  <c r="E28" i="6"/>
  <c r="AV27" i="6"/>
  <c r="AX27" i="6" s="1" a="1"/>
  <c r="AX27" i="6" s="1"/>
  <c r="AT27" i="6"/>
  <c r="AS27" i="6"/>
  <c r="AR27" i="6"/>
  <c r="AI27" i="6" a="1"/>
  <c r="AI27" i="6" s="1"/>
  <c r="AK27" i="6" s="1"/>
  <c r="AB27" i="6"/>
  <c r="Y27" i="6"/>
  <c r="W27" i="6"/>
  <c r="Z27" i="6" s="1"/>
  <c r="V27" i="6"/>
  <c r="S27" i="6"/>
  <c r="E27" i="6"/>
  <c r="AV26" i="6"/>
  <c r="AX26" i="6" s="1" a="1"/>
  <c r="AX26" i="6" s="1"/>
  <c r="AT26" i="6"/>
  <c r="AS26" i="6"/>
  <c r="AR26" i="6"/>
  <c r="AI26" i="6" a="1"/>
  <c r="AI26" i="6" s="1"/>
  <c r="AK26" i="6" s="1"/>
  <c r="AB26" i="6"/>
  <c r="Y26" i="6"/>
  <c r="W26" i="6"/>
  <c r="Z26" i="6" s="1"/>
  <c r="V26" i="6"/>
  <c r="S26" i="6"/>
  <c r="E26" i="6"/>
  <c r="AV25" i="6"/>
  <c r="AX25" i="6" s="1" a="1"/>
  <c r="AX25" i="6" s="1"/>
  <c r="AT25" i="6"/>
  <c r="AS25" i="6"/>
  <c r="AR25" i="6"/>
  <c r="AI25" i="6" a="1"/>
  <c r="AI25" i="6" s="1"/>
  <c r="AB25" i="6"/>
  <c r="Y25" i="6"/>
  <c r="W25" i="6"/>
  <c r="Z25" i="6" s="1"/>
  <c r="V25" i="6"/>
  <c r="S25" i="6"/>
  <c r="E25" i="6"/>
  <c r="AV24" i="6"/>
  <c r="AX24" i="6" s="1" a="1"/>
  <c r="AX24" i="6" s="1"/>
  <c r="AT24" i="6"/>
  <c r="AS24" i="6"/>
  <c r="AR24" i="6"/>
  <c r="AI24" i="6" a="1"/>
  <c r="AI24" i="6" s="1"/>
  <c r="AB24" i="6"/>
  <c r="Y24" i="6"/>
  <c r="W24" i="6"/>
  <c r="Z24" i="6" s="1"/>
  <c r="V24" i="6"/>
  <c r="S24" i="6"/>
  <c r="E24" i="6"/>
  <c r="AV23" i="6"/>
  <c r="AX23" i="6" s="1" a="1"/>
  <c r="AX23" i="6" s="1"/>
  <c r="AT23" i="6"/>
  <c r="AS23" i="6"/>
  <c r="AR23" i="6"/>
  <c r="AI23" i="6" a="1"/>
  <c r="AI23" i="6" s="1"/>
  <c r="AK23" i="6" s="1"/>
  <c r="AB23" i="6"/>
  <c r="Y23" i="6"/>
  <c r="W23" i="6"/>
  <c r="Z23" i="6" s="1"/>
  <c r="V23" i="6"/>
  <c r="S23" i="6"/>
  <c r="E23" i="6"/>
  <c r="AV22" i="6"/>
  <c r="AX22" i="6" s="1" a="1"/>
  <c r="AX22" i="6" s="1"/>
  <c r="AT22" i="6"/>
  <c r="AS22" i="6"/>
  <c r="AR22" i="6"/>
  <c r="AI22" i="6" a="1"/>
  <c r="AI22" i="6" s="1"/>
  <c r="AB22" i="6"/>
  <c r="Y22" i="6"/>
  <c r="W22" i="6"/>
  <c r="Z22" i="6" s="1"/>
  <c r="V22" i="6"/>
  <c r="S22" i="6"/>
  <c r="E22" i="6"/>
  <c r="AV21" i="6"/>
  <c r="AX21" i="6" s="1" a="1"/>
  <c r="AX21" i="6" s="1"/>
  <c r="AT21" i="6"/>
  <c r="AS21" i="6"/>
  <c r="AR21" i="6"/>
  <c r="AI21" i="6" a="1"/>
  <c r="AI21" i="6" s="1"/>
  <c r="AB21" i="6"/>
  <c r="Y21" i="6"/>
  <c r="W21" i="6"/>
  <c r="Z21" i="6" s="1"/>
  <c r="V21" i="6"/>
  <c r="S21" i="6"/>
  <c r="E21" i="6"/>
  <c r="AV20" i="6"/>
  <c r="AX20" i="6" s="1" a="1"/>
  <c r="AX20" i="6" s="1"/>
  <c r="AT20" i="6"/>
  <c r="AS20" i="6"/>
  <c r="AR20" i="6"/>
  <c r="AI20" i="6" a="1"/>
  <c r="AI20" i="6" s="1"/>
  <c r="AB20" i="6"/>
  <c r="Y20" i="6"/>
  <c r="W20" i="6"/>
  <c r="Z20" i="6" s="1"/>
  <c r="V20" i="6"/>
  <c r="S20" i="6"/>
  <c r="E20" i="6"/>
  <c r="AV19" i="6"/>
  <c r="AX19" i="6" s="1" a="1"/>
  <c r="AX19" i="6" s="1"/>
  <c r="AT19" i="6"/>
  <c r="AS19" i="6"/>
  <c r="AR19" i="6"/>
  <c r="AI19" i="6" a="1"/>
  <c r="AI19" i="6" s="1"/>
  <c r="AK19" i="6" s="1"/>
  <c r="AB19" i="6"/>
  <c r="Y19" i="6"/>
  <c r="W19" i="6"/>
  <c r="Z19" i="6" s="1"/>
  <c r="V19" i="6"/>
  <c r="S19" i="6"/>
  <c r="E19" i="6"/>
  <c r="AV18" i="6"/>
  <c r="AX18" i="6" s="1" a="1"/>
  <c r="AX18" i="6" s="1"/>
  <c r="AT18" i="6"/>
  <c r="AS18" i="6"/>
  <c r="AR18" i="6"/>
  <c r="AI18" i="6" a="1"/>
  <c r="AI18" i="6" s="1"/>
  <c r="AB18" i="6"/>
  <c r="Y18" i="6"/>
  <c r="W18" i="6"/>
  <c r="Z18" i="6" s="1"/>
  <c r="V18" i="6"/>
  <c r="S18" i="6"/>
  <c r="E18" i="6"/>
  <c r="AV17" i="6"/>
  <c r="AX17" i="6" s="1" a="1"/>
  <c r="AX17" i="6" s="1"/>
  <c r="AT17" i="6"/>
  <c r="AS17" i="6"/>
  <c r="AR17" i="6"/>
  <c r="AI17" i="6" a="1"/>
  <c r="AI17" i="6" s="1"/>
  <c r="AB17" i="6"/>
  <c r="Y17" i="6"/>
  <c r="W17" i="6"/>
  <c r="Z17" i="6" s="1"/>
  <c r="V17" i="6"/>
  <c r="S17" i="6"/>
  <c r="E17" i="6"/>
  <c r="G3" i="6"/>
  <c r="E3" i="6" l="1"/>
  <c r="AK20" i="6"/>
  <c r="AM20" i="6" s="1"/>
  <c r="AK24" i="6"/>
  <c r="AM24" i="6" s="1"/>
  <c r="AK25" i="6"/>
  <c r="AM25" i="6" s="1"/>
  <c r="AK31" i="6"/>
  <c r="AM31" i="6" s="1"/>
  <c r="AJ37" i="6"/>
  <c r="AK37" i="6"/>
  <c r="AM37" i="6" s="1"/>
  <c r="AK39" i="6"/>
  <c r="AM39" i="6" s="1"/>
  <c r="AJ45" i="6"/>
  <c r="AK45" i="6"/>
  <c r="AM45" i="6" s="1"/>
  <c r="AK47" i="6"/>
  <c r="AM47" i="6" s="1"/>
  <c r="AJ53" i="6"/>
  <c r="AK53" i="6"/>
  <c r="AM53" i="6" s="1"/>
  <c r="AK55" i="6"/>
  <c r="AM55" i="6" s="1"/>
  <c r="AJ17" i="6"/>
  <c r="AK17" i="6"/>
  <c r="AM17" i="6" s="1"/>
  <c r="AJ18" i="6"/>
  <c r="AK18" i="6"/>
  <c r="AM18" i="6" s="1"/>
  <c r="AJ21" i="6"/>
  <c r="AK21" i="6"/>
  <c r="AM21" i="6" s="1"/>
  <c r="AJ22" i="6"/>
  <c r="AK22" i="6"/>
  <c r="AM22" i="6" s="1"/>
  <c r="AJ29" i="6"/>
  <c r="AK29" i="6"/>
  <c r="AM29" i="6" s="1"/>
  <c r="AJ56" i="6"/>
  <c r="AK56" i="6"/>
  <c r="AM56" i="6" s="1"/>
  <c r="AJ44" i="6"/>
  <c r="AL44" i="6" s="1"/>
  <c r="AM44" i="6"/>
  <c r="AJ52" i="6"/>
  <c r="AL52" i="6" s="1"/>
  <c r="AM52" i="6"/>
  <c r="AJ28" i="6"/>
  <c r="AL28" i="6" s="1"/>
  <c r="AM28" i="6"/>
  <c r="AJ36" i="6"/>
  <c r="AL36" i="6" s="1"/>
  <c r="AM36" i="6"/>
  <c r="AJ39" i="6"/>
  <c r="AJ55" i="6"/>
  <c r="AJ31" i="6"/>
  <c r="AL31" i="6" s="1"/>
  <c r="AJ47" i="6"/>
  <c r="AM19" i="6"/>
  <c r="AJ19" i="6"/>
  <c r="AL19" i="6" s="1"/>
  <c r="AM23" i="6"/>
  <c r="AJ23" i="6"/>
  <c r="AL23" i="6" s="1"/>
  <c r="AM32" i="6"/>
  <c r="AJ32" i="6"/>
  <c r="AL32" i="6" s="1"/>
  <c r="AJ40" i="6"/>
  <c r="AL40" i="6" s="1"/>
  <c r="AM40" i="6"/>
  <c r="AJ24" i="6"/>
  <c r="AJ25" i="6"/>
  <c r="AJ26" i="6"/>
  <c r="AL26" i="6" s="1"/>
  <c r="AM26" i="6"/>
  <c r="AJ34" i="6"/>
  <c r="AL34" i="6" s="1"/>
  <c r="AM34" i="6"/>
  <c r="AJ42" i="6"/>
  <c r="AL42" i="6" s="1"/>
  <c r="AM42" i="6"/>
  <c r="AJ50" i="6"/>
  <c r="AL50" i="6" s="1"/>
  <c r="AM50" i="6"/>
  <c r="AM48" i="6"/>
  <c r="AJ48" i="6"/>
  <c r="AL48" i="6" s="1"/>
  <c r="AJ20" i="6"/>
  <c r="AL20" i="6" s="1"/>
  <c r="AM33" i="6"/>
  <c r="AJ33" i="6"/>
  <c r="AL33" i="6" s="1"/>
  <c r="AM41" i="6"/>
  <c r="AJ41" i="6"/>
  <c r="AL41" i="6" s="1"/>
  <c r="AM49" i="6"/>
  <c r="AJ49" i="6"/>
  <c r="AL49" i="6" s="1"/>
  <c r="AM27" i="6"/>
  <c r="AJ27" i="6"/>
  <c r="AL27" i="6" s="1"/>
  <c r="AJ30" i="6"/>
  <c r="AL30" i="6" s="1"/>
  <c r="AM30" i="6"/>
  <c r="AM35" i="6"/>
  <c r="AJ35" i="6"/>
  <c r="AL35" i="6" s="1"/>
  <c r="AJ38" i="6"/>
  <c r="AL38" i="6" s="1"/>
  <c r="AM38" i="6"/>
  <c r="AM43" i="6"/>
  <c r="AJ43" i="6"/>
  <c r="AL43" i="6" s="1"/>
  <c r="AJ46" i="6"/>
  <c r="AL46" i="6" s="1"/>
  <c r="AM46" i="6"/>
  <c r="AM51" i="6"/>
  <c r="AJ51" i="6"/>
  <c r="AL51" i="6" s="1"/>
  <c r="AJ54" i="6"/>
  <c r="AL54" i="6" s="1"/>
  <c r="AM54" i="6"/>
  <c r="AJ57" i="6"/>
  <c r="AL57" i="6" s="1"/>
  <c r="AM57" i="6"/>
  <c r="AL39" i="6" l="1"/>
  <c r="AL55" i="6"/>
  <c r="AL47" i="6"/>
  <c r="AL25" i="6"/>
  <c r="AO17" i="6"/>
  <c r="AP17" i="6" s="1"/>
  <c r="AO47" i="6"/>
  <c r="AP47" i="6" s="1"/>
  <c r="AO37" i="6"/>
  <c r="AP37" i="6" s="1"/>
  <c r="AO25" i="6"/>
  <c r="AP25" i="6" s="1"/>
  <c r="AO21" i="6"/>
  <c r="AP21" i="6" s="1"/>
  <c r="AO56" i="6"/>
  <c r="AP56" i="6" s="1"/>
  <c r="AO18" i="6"/>
  <c r="AP18" i="6" s="1"/>
  <c r="AO55" i="6"/>
  <c r="AP55" i="6" s="1"/>
  <c r="AO45" i="6"/>
  <c r="AP45" i="6" s="1"/>
  <c r="AO24" i="6"/>
  <c r="AP24" i="6" s="1"/>
  <c r="AO29" i="6"/>
  <c r="AP29" i="6" s="1"/>
  <c r="AO39" i="6"/>
  <c r="AP39" i="6" s="1"/>
  <c r="AO53" i="6"/>
  <c r="AP53" i="6" s="1"/>
  <c r="AO31" i="6"/>
  <c r="AP31" i="6" s="1"/>
  <c r="AO20" i="6"/>
  <c r="AP20" i="6" s="1"/>
  <c r="AO33" i="6"/>
  <c r="AP33" i="6" s="1"/>
  <c r="AL24" i="6"/>
  <c r="AL29" i="6"/>
  <c r="AL21" i="6"/>
  <c r="AL17" i="6"/>
  <c r="AL53" i="6"/>
  <c r="AL45" i="6"/>
  <c r="AL37" i="6"/>
  <c r="AO49" i="6"/>
  <c r="AP49" i="6" s="1"/>
  <c r="AO19" i="6"/>
  <c r="AP19" i="6" s="1"/>
  <c r="AO57" i="6"/>
  <c r="AP57" i="6" s="1"/>
  <c r="AO51" i="6"/>
  <c r="AP51" i="6" s="1"/>
  <c r="AO35" i="6"/>
  <c r="AP35" i="6" s="1"/>
  <c r="AO27" i="6"/>
  <c r="AP27" i="6" s="1"/>
  <c r="AO41" i="6"/>
  <c r="AP41" i="6" s="1"/>
  <c r="AO32" i="6"/>
  <c r="AP32" i="6" s="1"/>
  <c r="AO23" i="6"/>
  <c r="AP23" i="6" s="1"/>
  <c r="AO50" i="6"/>
  <c r="AP50" i="6" s="1"/>
  <c r="AO34" i="6"/>
  <c r="AP34" i="6" s="1"/>
  <c r="AO28" i="6"/>
  <c r="AP28" i="6" s="1"/>
  <c r="AO44" i="6"/>
  <c r="AP44" i="6" s="1"/>
  <c r="AO22" i="6"/>
  <c r="AP22" i="6" s="1"/>
  <c r="AO43" i="6"/>
  <c r="AP43" i="6" s="1"/>
  <c r="AO42" i="6"/>
  <c r="AP42" i="6" s="1"/>
  <c r="AO26" i="6"/>
  <c r="AP26" i="6" s="1"/>
  <c r="AO36" i="6"/>
  <c r="AP36" i="6" s="1"/>
  <c r="AO52" i="6"/>
  <c r="AP52" i="6" s="1"/>
  <c r="AO54" i="6"/>
  <c r="AP54" i="6" s="1"/>
  <c r="AO46" i="6"/>
  <c r="AP46" i="6" s="1"/>
  <c r="AO38" i="6"/>
  <c r="AP38" i="6" s="1"/>
  <c r="AO30" i="6"/>
  <c r="AP30" i="6" s="1"/>
  <c r="AO48" i="6"/>
  <c r="AP48" i="6" s="1"/>
  <c r="AO40" i="6"/>
  <c r="AP40" i="6" s="1"/>
  <c r="AL56" i="6"/>
  <c r="AL22" i="6"/>
  <c r="AL18" i="6"/>
  <c r="S3" i="6"/>
  <c r="AB3" i="6" l="1"/>
  <c r="AU3" i="6"/>
  <c r="M3" i="6"/>
  <c r="L3" i="6"/>
  <c r="E2" i="11"/>
  <c r="C2" i="11"/>
  <c r="C3" i="11"/>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BH2" i="6"/>
  <c r="BG2" i="6"/>
  <c r="BF2" i="6"/>
  <c r="BE2" i="6"/>
  <c r="BD2" i="6"/>
  <c r="BC2" i="6"/>
  <c r="BB2" i="6"/>
  <c r="AW3" i="6"/>
  <c r="AT3" i="6" l="1"/>
  <c r="AV3" i="6"/>
  <c r="AH3" i="6"/>
  <c r="AS3" i="6"/>
  <c r="AQ3" i="6"/>
  <c r="AN3" i="6"/>
  <c r="AG3" i="6"/>
  <c r="AF3" i="6"/>
  <c r="AE3" i="6"/>
  <c r="AD3" i="6"/>
  <c r="AC3" i="6"/>
  <c r="AA3" i="6"/>
  <c r="Y3" i="6"/>
  <c r="V3" i="6"/>
  <c r="T3" i="6"/>
  <c r="K3" i="6"/>
  <c r="J3" i="6"/>
  <c r="I3" i="6"/>
  <c r="F3" i="6"/>
  <c r="C3" i="6"/>
  <c r="AR3" i="6" l="1"/>
  <c r="W3" i="6"/>
  <c r="Z3" i="6"/>
  <c r="AP3" i="6" l="1"/>
  <c r="AM3" i="6"/>
  <c r="C2" i="3" l="1"/>
  <c r="C3" i="3"/>
  <c r="C4" i="3"/>
  <c r="C5" i="3"/>
  <c r="C6" i="3"/>
  <c r="C7" i="3"/>
  <c r="C8" i="3"/>
  <c r="C9" i="3"/>
  <c r="C10" i="3"/>
  <c r="C11" i="3"/>
  <c r="C12" i="3"/>
  <c r="C2" i="4"/>
  <c r="C3" i="4"/>
  <c r="C4" i="4"/>
  <c r="C5" i="4"/>
  <c r="C6" i="4"/>
  <c r="C7" i="4"/>
  <c r="C8" i="4"/>
  <c r="C9" i="4"/>
  <c r="C10" i="4"/>
  <c r="C11" i="4"/>
  <c r="C12" i="4"/>
  <c r="D4" i="2" l="1"/>
  <c r="D5" i="2"/>
  <c r="D6" i="2"/>
  <c r="D7" i="2"/>
  <c r="D8" i="2"/>
  <c r="D9" i="2"/>
  <c r="D10" i="2"/>
  <c r="D11" i="2"/>
  <c r="D12" i="2"/>
  <c r="D13" i="2"/>
  <c r="D14" i="2"/>
  <c r="D15" i="2"/>
  <c r="D16" i="2"/>
  <c r="D17"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C4" i="2"/>
  <c r="C5" i="2"/>
  <c r="C6" i="2"/>
  <c r="C7" i="2"/>
  <c r="C8" i="2"/>
  <c r="C9" i="2"/>
  <c r="C10" i="2"/>
  <c r="C11" i="2"/>
  <c r="C12" i="2"/>
  <c r="C13" i="2"/>
  <c r="C14" i="2"/>
  <c r="C15" i="2"/>
  <c r="C16" i="2"/>
  <c r="C17"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 Clarkson</author>
  </authors>
  <commentList>
    <comment ref="B7" authorId="0" shapeId="0" xr:uid="{00000000-0006-0000-0100-000001000000}">
      <text>
        <r>
          <rPr>
            <b/>
            <sz val="9"/>
            <color indexed="81"/>
            <rFont val="Tahoma"/>
            <family val="2"/>
          </rPr>
          <t>OMES:</t>
        </r>
        <r>
          <rPr>
            <sz val="9"/>
            <color indexed="81"/>
            <rFont val="Tahoma"/>
            <family val="2"/>
          </rPr>
          <t xml:space="preserve">
Enter numbers (including area code) with no spaces or punctuation; data will be automatically formatted
</t>
        </r>
      </text>
    </comment>
    <comment ref="B8" authorId="0" shapeId="0" xr:uid="{00000000-0006-0000-0100-000002000000}">
      <text>
        <r>
          <rPr>
            <b/>
            <sz val="9"/>
            <color indexed="81"/>
            <rFont val="Tahoma"/>
            <family val="2"/>
          </rPr>
          <t>OMES:</t>
        </r>
        <r>
          <rPr>
            <sz val="9"/>
            <color indexed="81"/>
            <rFont val="Tahoma"/>
            <family val="2"/>
          </rPr>
          <t xml:space="preserve">
Enter numbers (including area code) with no spaces or punctuation; data will be automatically formatted
</t>
        </r>
      </text>
    </comment>
    <comment ref="B12" authorId="0" shapeId="0" xr:uid="{00000000-0006-0000-0100-000003000000}">
      <text>
        <r>
          <rPr>
            <b/>
            <sz val="9"/>
            <color indexed="81"/>
            <rFont val="Tahoma"/>
            <family val="2"/>
          </rPr>
          <t>OMES:</t>
        </r>
        <r>
          <rPr>
            <sz val="9"/>
            <color indexed="81"/>
            <rFont val="Tahoma"/>
            <family val="2"/>
          </rPr>
          <t xml:space="preserve">
Enter numbers (including area code) with no spaces or punctuation; data will be automatically formatted
</t>
        </r>
      </text>
    </comment>
    <comment ref="B13" authorId="0" shapeId="0" xr:uid="{00000000-0006-0000-0100-000004000000}">
      <text>
        <r>
          <rPr>
            <b/>
            <sz val="9"/>
            <color indexed="81"/>
            <rFont val="Tahoma"/>
            <family val="2"/>
          </rPr>
          <t>OMES:</t>
        </r>
        <r>
          <rPr>
            <sz val="9"/>
            <color indexed="81"/>
            <rFont val="Tahoma"/>
            <family val="2"/>
          </rPr>
          <t xml:space="preserve">
Enter numbers (including area code) with no spaces or punctuation; data will be automatically formatted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Ray Ceasar</author>
  </authors>
  <commentList>
    <comment ref="C5" authorId="0" shapeId="0" xr:uid="{00000000-0006-0000-0400-000001000000}">
      <text>
        <r>
          <rPr>
            <b/>
            <sz val="9"/>
            <color indexed="81"/>
            <rFont val="Tahoma"/>
            <family val="2"/>
          </rPr>
          <t>Required; Must be Unique</t>
        </r>
        <r>
          <rPr>
            <sz val="9"/>
            <color indexed="81"/>
            <rFont val="Tahoma"/>
            <family val="2"/>
          </rPr>
          <t xml:space="preserve">
</t>
        </r>
        <r>
          <rPr>
            <b/>
            <sz val="9"/>
            <color indexed="81"/>
            <rFont val="Tahoma"/>
            <family val="2"/>
          </rPr>
          <t>12 character code</t>
        </r>
        <r>
          <rPr>
            <sz val="9"/>
            <color indexed="81"/>
            <rFont val="Tahoma"/>
            <family val="2"/>
          </rPr>
          <t xml:space="preserve">
3 digit agency-YYYY-###
Example: 020-2019-003</t>
        </r>
      </text>
    </comment>
    <comment ref="D5" authorId="0" shapeId="0" xr:uid="{00000000-0006-0000-0400-000002000000}">
      <text>
        <r>
          <rPr>
            <b/>
            <sz val="9"/>
            <color indexed="81"/>
            <rFont val="Tahoma"/>
            <family val="2"/>
          </rPr>
          <t>Required;
Select value from list</t>
        </r>
      </text>
    </comment>
    <comment ref="F5" authorId="0" shapeId="0" xr:uid="{00000000-0006-0000-0400-000003000000}">
      <text>
        <r>
          <rPr>
            <b/>
            <sz val="9"/>
            <color indexed="81"/>
            <rFont val="Tahoma"/>
            <family val="2"/>
          </rPr>
          <t>Required;
Must be unique;
75 character maximum; include agency number to ensure uniqueness across all agencies</t>
        </r>
      </text>
    </comment>
    <comment ref="H5" authorId="0" shapeId="0" xr:uid="{00000000-0006-0000-0400-000004000000}">
      <text>
        <r>
          <rPr>
            <b/>
            <sz val="9"/>
            <color indexed="81"/>
            <rFont val="Tahoma"/>
            <family val="2"/>
          </rPr>
          <t>Optional Field;
12 character maximum</t>
        </r>
        <r>
          <rPr>
            <sz val="9"/>
            <color indexed="81"/>
            <rFont val="Tahoma"/>
            <family val="2"/>
          </rPr>
          <t xml:space="preserve">
</t>
        </r>
      </text>
    </comment>
    <comment ref="I5" authorId="0" shapeId="0" xr:uid="{00000000-0006-0000-0400-000005000000}">
      <text>
        <r>
          <rPr>
            <b/>
            <sz val="9"/>
            <color indexed="81"/>
            <rFont val="Tahoma"/>
            <family val="2"/>
          </rPr>
          <t>Required;
Select value from list</t>
        </r>
      </text>
    </comment>
    <comment ref="J5" authorId="0" shapeId="0" xr:uid="{00000000-0006-0000-0400-000006000000}">
      <text>
        <r>
          <rPr>
            <b/>
            <sz val="9"/>
            <color indexed="81"/>
            <rFont val="Tahoma"/>
            <family val="2"/>
          </rPr>
          <t>Required;
Select value from list.</t>
        </r>
      </text>
    </comment>
    <comment ref="K5" authorId="0" shapeId="0" xr:uid="{00000000-0006-0000-0400-000007000000}">
      <text>
        <r>
          <rPr>
            <b/>
            <sz val="9"/>
            <color indexed="81"/>
            <rFont val="Tahoma"/>
            <family val="2"/>
          </rPr>
          <t>Free form text;
consider including vendor / tenant name</t>
        </r>
      </text>
    </comment>
    <comment ref="L5" authorId="0" shapeId="0" xr:uid="{00000000-0006-0000-0400-000008000000}">
      <text>
        <r>
          <rPr>
            <b/>
            <sz val="9"/>
            <color indexed="81"/>
            <rFont val="Tahoma"/>
            <family val="2"/>
          </rPr>
          <t>Date is informational</t>
        </r>
        <r>
          <rPr>
            <sz val="9"/>
            <color indexed="81"/>
            <rFont val="Tahoma"/>
            <family val="2"/>
          </rPr>
          <t xml:space="preserve">
</t>
        </r>
      </text>
    </comment>
    <comment ref="M5" authorId="0" shapeId="0" xr:uid="{00000000-0006-0000-0400-000009000000}">
      <text>
        <r>
          <rPr>
            <b/>
            <sz val="9"/>
            <color indexed="81"/>
            <rFont val="Tahoma"/>
            <family val="2"/>
          </rPr>
          <t>Date is informational</t>
        </r>
      </text>
    </comment>
    <comment ref="N5" authorId="0" shapeId="0" xr:uid="{00000000-0006-0000-0400-00000A000000}">
      <text>
        <r>
          <rPr>
            <b/>
            <sz val="9"/>
            <color indexed="81"/>
            <rFont val="Tahoma"/>
            <family val="2"/>
          </rPr>
          <t>Date is informational</t>
        </r>
        <r>
          <rPr>
            <sz val="9"/>
            <color indexed="81"/>
            <rFont val="Tahoma"/>
            <family val="2"/>
          </rPr>
          <t xml:space="preserve">
</t>
        </r>
      </text>
    </comment>
    <comment ref="O5" authorId="0" shapeId="0" xr:uid="{00000000-0006-0000-0400-00000B000000}">
      <text>
        <r>
          <rPr>
            <b/>
            <sz val="9"/>
            <color indexed="81"/>
            <rFont val="Tahoma"/>
            <family val="2"/>
          </rPr>
          <t>Date is informational</t>
        </r>
        <r>
          <rPr>
            <sz val="9"/>
            <color indexed="81"/>
            <rFont val="Tahoma"/>
            <family val="2"/>
          </rPr>
          <t xml:space="preserve">
</t>
        </r>
      </text>
    </comment>
    <comment ref="P5" authorId="0" shapeId="0" xr:uid="{00000000-0006-0000-0400-00000C000000}">
      <text>
        <r>
          <rPr>
            <b/>
            <sz val="9"/>
            <color indexed="81"/>
            <rFont val="Tahoma"/>
            <family val="2"/>
          </rPr>
          <t>Date is informational</t>
        </r>
        <r>
          <rPr>
            <sz val="9"/>
            <color indexed="81"/>
            <rFont val="Tahoma"/>
            <family val="2"/>
          </rPr>
          <t xml:space="preserve">
</t>
        </r>
      </text>
    </comment>
    <comment ref="Q5" authorId="0" shapeId="0" xr:uid="{00000000-0006-0000-0400-00000D000000}">
      <text>
        <r>
          <rPr>
            <b/>
            <sz val="9"/>
            <color indexed="81"/>
            <rFont val="Tahoma"/>
            <family val="2"/>
          </rPr>
          <t>Date is informational</t>
        </r>
        <r>
          <rPr>
            <sz val="9"/>
            <color indexed="81"/>
            <rFont val="Tahoma"/>
            <family val="2"/>
          </rPr>
          <t xml:space="preserve">
</t>
        </r>
      </text>
    </comment>
    <comment ref="R5" authorId="0" shapeId="0" xr:uid="{00000000-0006-0000-0400-00000E000000}">
      <text>
        <r>
          <rPr>
            <b/>
            <sz val="9"/>
            <color indexed="81"/>
            <rFont val="Tahoma"/>
            <family val="2"/>
          </rPr>
          <t>Optional;
Free form text</t>
        </r>
      </text>
    </comment>
    <comment ref="T5" authorId="0" shapeId="0" xr:uid="{00000000-0006-0000-0400-00000F000000}">
      <text>
        <r>
          <rPr>
            <b/>
            <sz val="9"/>
            <color indexed="81"/>
            <rFont val="Tahoma"/>
            <family val="2"/>
          </rPr>
          <t>Same as Column D</t>
        </r>
      </text>
    </comment>
    <comment ref="U5" authorId="0" shapeId="0" xr:uid="{00000000-0006-0000-0400-000010000000}">
      <text>
        <r>
          <rPr>
            <b/>
            <sz val="9"/>
            <color indexed="81"/>
            <rFont val="Tahoma"/>
            <family val="2"/>
          </rPr>
          <t>Required;
12-character maximum</t>
        </r>
        <r>
          <rPr>
            <sz val="9"/>
            <color indexed="81"/>
            <rFont val="Tahoma"/>
            <family val="2"/>
          </rPr>
          <t xml:space="preserve">
</t>
        </r>
      </text>
    </comment>
    <comment ref="V5" authorId="0" shapeId="0" xr:uid="{00000000-0006-0000-0400-000011000000}">
      <text>
        <r>
          <rPr>
            <b/>
            <sz val="9"/>
            <color indexed="81"/>
            <rFont val="Tahoma"/>
            <family val="2"/>
          </rPr>
          <t>Required;
50-character maximum</t>
        </r>
      </text>
    </comment>
    <comment ref="W5" authorId="0" shapeId="0" xr:uid="{00000000-0006-0000-0400-000012000000}">
      <text>
        <r>
          <rPr>
            <b/>
            <sz val="9"/>
            <color indexed="81"/>
            <rFont val="Tahoma"/>
            <family val="2"/>
          </rPr>
          <t>Required;
Select value from list</t>
        </r>
      </text>
    </comment>
    <comment ref="X5" authorId="0" shapeId="0" xr:uid="{00000000-0006-0000-0400-000013000000}">
      <text>
        <r>
          <rPr>
            <b/>
            <sz val="9"/>
            <color indexed="81"/>
            <rFont val="Tahoma"/>
            <family val="2"/>
          </rPr>
          <t>Optional;
Free form text</t>
        </r>
      </text>
    </comment>
    <comment ref="Y5" authorId="0" shapeId="0" xr:uid="{00000000-0006-0000-0400-000014000000}">
      <text>
        <r>
          <rPr>
            <b/>
            <sz val="9"/>
            <color indexed="81"/>
            <rFont val="Tahoma"/>
            <family val="2"/>
          </rPr>
          <t>Required;
Select value from list</t>
        </r>
      </text>
    </comment>
    <comment ref="Z5" authorId="0" shapeId="0" xr:uid="{00000000-0006-0000-0400-000015000000}">
      <text>
        <r>
          <rPr>
            <b/>
            <sz val="9"/>
            <color indexed="81"/>
            <rFont val="Tahoma"/>
            <family val="2"/>
          </rPr>
          <t>Required;
Select value from list</t>
        </r>
      </text>
    </comment>
    <comment ref="AA5" authorId="0" shapeId="0" xr:uid="{00000000-0006-0000-0400-000016000000}">
      <text>
        <r>
          <rPr>
            <b/>
            <sz val="9"/>
            <color indexed="81"/>
            <rFont val="Tahoma"/>
            <family val="2"/>
          </rPr>
          <t>Required;
Start Date of agreement or Implementation Date, whichever is later</t>
        </r>
      </text>
    </comment>
    <comment ref="AB5" authorId="0" shapeId="0" xr:uid="{00000000-0006-0000-0400-000017000000}">
      <text>
        <r>
          <rPr>
            <b/>
            <sz val="9"/>
            <color indexed="81"/>
            <rFont val="Tahoma"/>
            <family val="2"/>
          </rPr>
          <t>Required;
End Date of agreement inclduing extenstion periods</t>
        </r>
      </text>
    </comment>
    <comment ref="AC5" authorId="0" shapeId="0" xr:uid="{00000000-0006-0000-0400-000018000000}">
      <text>
        <r>
          <rPr>
            <b/>
            <sz val="9"/>
            <color indexed="81"/>
            <rFont val="Tahoma"/>
            <family val="2"/>
          </rPr>
          <t>Enter the periodic routine fixed payment amount.</t>
        </r>
        <r>
          <rPr>
            <sz val="9"/>
            <color indexed="81"/>
            <rFont val="Tahoma"/>
            <family val="2"/>
          </rPr>
          <t xml:space="preserve">
</t>
        </r>
      </text>
    </comment>
    <comment ref="AD5" authorId="0" shapeId="0" xr:uid="{00000000-0006-0000-0400-000019000000}">
      <text>
        <r>
          <rPr>
            <b/>
            <sz val="9"/>
            <color indexed="81"/>
            <rFont val="Tahoma"/>
            <family val="2"/>
          </rPr>
          <t>Required;
Select value from list</t>
        </r>
      </text>
    </comment>
    <comment ref="AE5" authorId="0" shapeId="0" xr:uid="{00000000-0006-0000-0400-00001A000000}">
      <text>
        <r>
          <rPr>
            <b/>
            <sz val="9"/>
            <color indexed="81"/>
            <rFont val="Tahoma"/>
            <family val="2"/>
          </rPr>
          <t>Required;
Select value from list</t>
        </r>
      </text>
    </comment>
    <comment ref="AF5" authorId="0" shapeId="0" xr:uid="{00000000-0006-0000-0400-00001B000000}">
      <text>
        <r>
          <rPr>
            <b/>
            <sz val="9"/>
            <color indexed="81"/>
            <rFont val="Tahoma"/>
            <family val="2"/>
          </rPr>
          <t>Enter only if rate is specified in the agreement.</t>
        </r>
      </text>
    </comment>
    <comment ref="AG5" authorId="0" shapeId="0" xr:uid="{00000000-0006-0000-0400-00001C000000}">
      <text>
        <r>
          <rPr>
            <b/>
            <sz val="9"/>
            <color indexed="81"/>
            <rFont val="Tahoma"/>
            <family val="2"/>
          </rPr>
          <t>Enter Date to start the payment for the record.</t>
        </r>
      </text>
    </comment>
    <comment ref="AH5" authorId="0" shapeId="0" xr:uid="{00000000-0006-0000-0400-00001D000000}">
      <text>
        <r>
          <rPr>
            <b/>
            <sz val="9"/>
            <color indexed="81"/>
            <rFont val="Tahoma"/>
            <family val="2"/>
          </rPr>
          <t>Enter Date to end the payment for the record.
Date must be after the Start Date.</t>
        </r>
      </text>
    </comment>
    <comment ref="AM5" authorId="0" shapeId="0" xr:uid="{00000000-0006-0000-0400-00001E000000}">
      <text>
        <r>
          <rPr>
            <b/>
            <sz val="9"/>
            <color indexed="81"/>
            <rFont val="Tahoma"/>
            <family val="2"/>
          </rPr>
          <t>Enter total RoU Amount to be capitalized, including any Residual Value.</t>
        </r>
        <r>
          <rPr>
            <sz val="9"/>
            <color indexed="81"/>
            <rFont val="Tahoma"/>
            <family val="2"/>
          </rPr>
          <t xml:space="preserve">
</t>
        </r>
      </text>
    </comment>
    <comment ref="AN5" authorId="0" shapeId="0" xr:uid="{00000000-0006-0000-0400-00001F000000}">
      <text>
        <r>
          <rPr>
            <b/>
            <sz val="9"/>
            <color indexed="81"/>
            <rFont val="Tahoma"/>
            <family val="2"/>
          </rPr>
          <t>Enter Residual Value, if any.</t>
        </r>
        <r>
          <rPr>
            <sz val="9"/>
            <color indexed="81"/>
            <rFont val="Tahoma"/>
            <family val="2"/>
          </rPr>
          <t xml:space="preserve">
</t>
        </r>
      </text>
    </comment>
    <comment ref="AP5" authorId="0" shapeId="0" xr:uid="{00000000-0006-0000-0400-000020000000}">
      <text>
        <r>
          <rPr>
            <b/>
            <sz val="9"/>
            <color indexed="81"/>
            <rFont val="Tahoma"/>
            <family val="2"/>
          </rPr>
          <t>Validate Amount to be Amortized</t>
        </r>
      </text>
    </comment>
    <comment ref="AQ5" authorId="0" shapeId="0" xr:uid="{00000000-0006-0000-0400-000021000000}">
      <text>
        <r>
          <rPr>
            <b/>
            <sz val="9"/>
            <color indexed="81"/>
            <rFont val="Tahoma"/>
            <family val="2"/>
          </rPr>
          <t>Select value from list</t>
        </r>
        <r>
          <rPr>
            <sz val="9"/>
            <color indexed="81"/>
            <rFont val="Tahoma"/>
            <family val="2"/>
          </rPr>
          <t xml:space="preserve">
</t>
        </r>
      </text>
    </comment>
    <comment ref="AR5" authorId="0" shapeId="0" xr:uid="{00000000-0006-0000-0400-000022000000}">
      <text>
        <r>
          <rPr>
            <b/>
            <sz val="9"/>
            <color indexed="81"/>
            <rFont val="Tahoma"/>
            <family val="2"/>
          </rPr>
          <t>Enter the appropriate declining balance percentage for Declining Balance method.</t>
        </r>
      </text>
    </comment>
    <comment ref="AS5" authorId="0" shapeId="0" xr:uid="{00000000-0006-0000-0400-000023000000}">
      <text>
        <r>
          <rPr>
            <b/>
            <sz val="9"/>
            <color indexed="81"/>
            <rFont val="Tahoma"/>
            <family val="2"/>
          </rPr>
          <t>Enter a usage base if Usaged Based method is selected.</t>
        </r>
      </text>
    </comment>
    <comment ref="AT5" authorId="0" shapeId="0" xr:uid="{00000000-0006-0000-0400-000024000000}">
      <text>
        <r>
          <rPr>
            <b/>
            <sz val="9"/>
            <color indexed="81"/>
            <rFont val="Tahoma"/>
            <family val="2"/>
          </rPr>
          <t>Enter a usage Unit of Measure (UoM) if Usaged Based method is selected.</t>
        </r>
      </text>
    </comment>
    <comment ref="AU5" authorId="0" shapeId="0" xr:uid="{00000000-0006-0000-0400-000025000000}">
      <text>
        <r>
          <rPr>
            <b/>
            <sz val="9"/>
            <color indexed="81"/>
            <rFont val="Tahoma"/>
            <family val="2"/>
          </rPr>
          <t>Enter Date to start the RoU amortization calculation for the item.</t>
        </r>
        <r>
          <rPr>
            <sz val="9"/>
            <color indexed="81"/>
            <rFont val="Tahoma"/>
            <family val="2"/>
          </rPr>
          <t xml:space="preserve">
</t>
        </r>
      </text>
    </comment>
    <comment ref="AV5" authorId="0" shapeId="0" xr:uid="{00000000-0006-0000-0400-000026000000}">
      <text>
        <r>
          <rPr>
            <b/>
            <sz val="9"/>
            <color indexed="81"/>
            <rFont val="Tahoma"/>
            <family val="2"/>
          </rPr>
          <t>Enter Date to end RoU Amortization calculation for the item.
Date must be after the Start Date.</t>
        </r>
      </text>
    </comment>
    <comment ref="AW5" authorId="0" shapeId="0" xr:uid="{00000000-0006-0000-0400-000027000000}">
      <text>
        <r>
          <rPr>
            <b/>
            <sz val="9"/>
            <color indexed="81"/>
            <rFont val="Tahoma"/>
            <family val="2"/>
          </rPr>
          <t>Select value from list</t>
        </r>
      </text>
    </comment>
    <comment ref="AY5" authorId="0" shapeId="0" xr:uid="{00000000-0006-0000-0400-000028000000}">
      <text>
        <r>
          <rPr>
            <b/>
            <sz val="9"/>
            <color indexed="81"/>
            <rFont val="Tahoma"/>
            <family val="2"/>
          </rPr>
          <t>If a Related Party lease, enter the name of the related party.</t>
        </r>
        <r>
          <rPr>
            <sz val="9"/>
            <color indexed="81"/>
            <rFont val="Tahoma"/>
            <family val="2"/>
          </rPr>
          <t xml:space="preserve">
</t>
        </r>
      </text>
    </comment>
    <comment ref="AZ5" authorId="0" shapeId="0" xr:uid="{00000000-0006-0000-0400-000029000000}">
      <text>
        <r>
          <rPr>
            <b/>
            <sz val="9"/>
            <color indexed="81"/>
            <rFont val="Tahoma"/>
            <family val="2"/>
          </rPr>
          <t>Inidcate Sale/Leaseback with a "Y"</t>
        </r>
        <r>
          <rPr>
            <sz val="9"/>
            <color indexed="81"/>
            <rFont val="Tahoma"/>
            <family val="2"/>
          </rPr>
          <t xml:space="preserve">
</t>
        </r>
      </text>
    </comment>
    <comment ref="BA5" authorId="0" shapeId="0" xr:uid="{00000000-0006-0000-0400-00002A000000}">
      <text>
        <r>
          <rPr>
            <b/>
            <sz val="9"/>
            <color indexed="81"/>
            <rFont val="Tahoma"/>
            <family val="2"/>
          </rPr>
          <t>Indicate a Lease/Leaseback with the Agreement Code of the related lease.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Ray Ceasar</author>
  </authors>
  <commentList>
    <comment ref="C5" authorId="0" shapeId="0" xr:uid="{00000000-0006-0000-0600-000001000000}">
      <text>
        <r>
          <rPr>
            <b/>
            <sz val="9"/>
            <color indexed="81"/>
            <rFont val="Tahoma"/>
            <family val="2"/>
          </rPr>
          <t>Required; Must be Unique</t>
        </r>
        <r>
          <rPr>
            <sz val="9"/>
            <color indexed="81"/>
            <rFont val="Tahoma"/>
            <family val="2"/>
          </rPr>
          <t xml:space="preserve">
</t>
        </r>
        <r>
          <rPr>
            <b/>
            <sz val="9"/>
            <color indexed="81"/>
            <rFont val="Tahoma"/>
            <family val="2"/>
          </rPr>
          <t>12 character code</t>
        </r>
        <r>
          <rPr>
            <sz val="9"/>
            <color indexed="81"/>
            <rFont val="Tahoma"/>
            <family val="2"/>
          </rPr>
          <t xml:space="preserve">
3 digit agency-YYYY-###
Example: 020-2019-003</t>
        </r>
      </text>
    </comment>
    <comment ref="D5" authorId="0" shapeId="0" xr:uid="{00000000-0006-0000-0600-000002000000}">
      <text>
        <r>
          <rPr>
            <b/>
            <sz val="9"/>
            <color indexed="81"/>
            <rFont val="Tahoma"/>
            <family val="2"/>
          </rPr>
          <t>Required;
Select value from list</t>
        </r>
      </text>
    </comment>
    <comment ref="F5" authorId="0" shapeId="0" xr:uid="{00000000-0006-0000-0600-000003000000}">
      <text>
        <r>
          <rPr>
            <b/>
            <sz val="9"/>
            <color indexed="81"/>
            <rFont val="Tahoma"/>
            <family val="2"/>
          </rPr>
          <t>Required;
Must be unique;
75 character maximum; include agency number to ensure uniqueness across all agencies</t>
        </r>
      </text>
    </comment>
    <comment ref="H5" authorId="0" shapeId="0" xr:uid="{00000000-0006-0000-0600-000004000000}">
      <text>
        <r>
          <rPr>
            <b/>
            <sz val="9"/>
            <color indexed="81"/>
            <rFont val="Tahoma"/>
            <family val="2"/>
          </rPr>
          <t>Optional Field;
12 character maximum</t>
        </r>
        <r>
          <rPr>
            <sz val="9"/>
            <color indexed="81"/>
            <rFont val="Tahoma"/>
            <family val="2"/>
          </rPr>
          <t xml:space="preserve">
</t>
        </r>
      </text>
    </comment>
    <comment ref="I5" authorId="0" shapeId="0" xr:uid="{00000000-0006-0000-0600-000005000000}">
      <text>
        <r>
          <rPr>
            <b/>
            <sz val="9"/>
            <color indexed="81"/>
            <rFont val="Tahoma"/>
            <family val="2"/>
          </rPr>
          <t>Required;
Select value from list</t>
        </r>
      </text>
    </comment>
    <comment ref="J5" authorId="0" shapeId="0" xr:uid="{00000000-0006-0000-0600-000006000000}">
      <text>
        <r>
          <rPr>
            <b/>
            <sz val="9"/>
            <color indexed="81"/>
            <rFont val="Tahoma"/>
            <family val="2"/>
          </rPr>
          <t>Required;
Select value from list.</t>
        </r>
      </text>
    </comment>
    <comment ref="K5" authorId="0" shapeId="0" xr:uid="{00000000-0006-0000-0600-000007000000}">
      <text>
        <r>
          <rPr>
            <b/>
            <sz val="9"/>
            <color indexed="81"/>
            <rFont val="Tahoma"/>
            <family val="2"/>
          </rPr>
          <t>Free form text;
consider including vendor / tenant name</t>
        </r>
      </text>
    </comment>
    <comment ref="L5" authorId="0" shapeId="0" xr:uid="{00000000-0006-0000-0600-000008000000}">
      <text>
        <r>
          <rPr>
            <b/>
            <sz val="9"/>
            <color indexed="81"/>
            <rFont val="Tahoma"/>
            <family val="2"/>
          </rPr>
          <t>Date is informational</t>
        </r>
        <r>
          <rPr>
            <sz val="9"/>
            <color indexed="81"/>
            <rFont val="Tahoma"/>
            <family val="2"/>
          </rPr>
          <t xml:space="preserve">
</t>
        </r>
      </text>
    </comment>
    <comment ref="M5" authorId="0" shapeId="0" xr:uid="{00000000-0006-0000-0600-000009000000}">
      <text>
        <r>
          <rPr>
            <b/>
            <sz val="9"/>
            <color indexed="81"/>
            <rFont val="Tahoma"/>
            <family val="2"/>
          </rPr>
          <t>Date is informational</t>
        </r>
      </text>
    </comment>
    <comment ref="N5" authorId="0" shapeId="0" xr:uid="{00000000-0006-0000-0600-00000A000000}">
      <text>
        <r>
          <rPr>
            <b/>
            <sz val="9"/>
            <color indexed="81"/>
            <rFont val="Tahoma"/>
            <family val="2"/>
          </rPr>
          <t>Date is informational</t>
        </r>
        <r>
          <rPr>
            <sz val="9"/>
            <color indexed="81"/>
            <rFont val="Tahoma"/>
            <family val="2"/>
          </rPr>
          <t xml:space="preserve">
</t>
        </r>
      </text>
    </comment>
    <comment ref="O5" authorId="0" shapeId="0" xr:uid="{00000000-0006-0000-0600-00000B000000}">
      <text>
        <r>
          <rPr>
            <b/>
            <sz val="9"/>
            <color indexed="81"/>
            <rFont val="Tahoma"/>
            <family val="2"/>
          </rPr>
          <t>Date is informational</t>
        </r>
        <r>
          <rPr>
            <sz val="9"/>
            <color indexed="81"/>
            <rFont val="Tahoma"/>
            <family val="2"/>
          </rPr>
          <t xml:space="preserve">
</t>
        </r>
      </text>
    </comment>
    <comment ref="P5" authorId="0" shapeId="0" xr:uid="{00000000-0006-0000-0600-00000C000000}">
      <text>
        <r>
          <rPr>
            <b/>
            <sz val="9"/>
            <color indexed="81"/>
            <rFont val="Tahoma"/>
            <family val="2"/>
          </rPr>
          <t>Date is informational</t>
        </r>
        <r>
          <rPr>
            <sz val="9"/>
            <color indexed="81"/>
            <rFont val="Tahoma"/>
            <family val="2"/>
          </rPr>
          <t xml:space="preserve">
</t>
        </r>
      </text>
    </comment>
    <comment ref="Q5" authorId="0" shapeId="0" xr:uid="{00000000-0006-0000-0600-00000D000000}">
      <text>
        <r>
          <rPr>
            <b/>
            <sz val="9"/>
            <color indexed="81"/>
            <rFont val="Tahoma"/>
            <family val="2"/>
          </rPr>
          <t>Date is informational</t>
        </r>
        <r>
          <rPr>
            <sz val="9"/>
            <color indexed="81"/>
            <rFont val="Tahoma"/>
            <family val="2"/>
          </rPr>
          <t xml:space="preserve">
</t>
        </r>
      </text>
    </comment>
    <comment ref="R5" authorId="0" shapeId="0" xr:uid="{00000000-0006-0000-0600-00000E000000}">
      <text>
        <r>
          <rPr>
            <b/>
            <sz val="9"/>
            <color indexed="81"/>
            <rFont val="Tahoma"/>
            <family val="2"/>
          </rPr>
          <t>Optional;
Free form text</t>
        </r>
      </text>
    </comment>
    <comment ref="T5" authorId="0" shapeId="0" xr:uid="{00000000-0006-0000-0600-00000F000000}">
      <text>
        <r>
          <rPr>
            <b/>
            <sz val="9"/>
            <color indexed="81"/>
            <rFont val="Tahoma"/>
            <family val="2"/>
          </rPr>
          <t>Same as Column D</t>
        </r>
      </text>
    </comment>
    <comment ref="U5" authorId="0" shapeId="0" xr:uid="{00000000-0006-0000-0600-000010000000}">
      <text>
        <r>
          <rPr>
            <b/>
            <sz val="9"/>
            <color indexed="81"/>
            <rFont val="Tahoma"/>
            <family val="2"/>
          </rPr>
          <t>Required;
12-character maximum</t>
        </r>
        <r>
          <rPr>
            <sz val="9"/>
            <color indexed="81"/>
            <rFont val="Tahoma"/>
            <family val="2"/>
          </rPr>
          <t xml:space="preserve">
</t>
        </r>
      </text>
    </comment>
    <comment ref="V5" authorId="0" shapeId="0" xr:uid="{00000000-0006-0000-0600-000011000000}">
      <text>
        <r>
          <rPr>
            <b/>
            <sz val="9"/>
            <color indexed="81"/>
            <rFont val="Tahoma"/>
            <family val="2"/>
          </rPr>
          <t>Required;
50-character maximum</t>
        </r>
      </text>
    </comment>
    <comment ref="W5" authorId="0" shapeId="0" xr:uid="{00000000-0006-0000-0600-000012000000}">
      <text>
        <r>
          <rPr>
            <b/>
            <sz val="9"/>
            <color indexed="81"/>
            <rFont val="Tahoma"/>
            <family val="2"/>
          </rPr>
          <t>Required;
Select value from list</t>
        </r>
      </text>
    </comment>
    <comment ref="X5" authorId="0" shapeId="0" xr:uid="{00000000-0006-0000-0600-000013000000}">
      <text>
        <r>
          <rPr>
            <b/>
            <sz val="9"/>
            <color indexed="81"/>
            <rFont val="Tahoma"/>
            <family val="2"/>
          </rPr>
          <t>Optional;
Free form text</t>
        </r>
      </text>
    </comment>
    <comment ref="Y5" authorId="0" shapeId="0" xr:uid="{00000000-0006-0000-0600-000014000000}">
      <text>
        <r>
          <rPr>
            <b/>
            <sz val="9"/>
            <color indexed="81"/>
            <rFont val="Tahoma"/>
            <family val="2"/>
          </rPr>
          <t>Required;
Select value from list</t>
        </r>
      </text>
    </comment>
    <comment ref="Z5" authorId="0" shapeId="0" xr:uid="{00000000-0006-0000-0600-000015000000}">
      <text>
        <r>
          <rPr>
            <b/>
            <sz val="9"/>
            <color indexed="81"/>
            <rFont val="Tahoma"/>
            <family val="2"/>
          </rPr>
          <t>Required;
Select value from list</t>
        </r>
      </text>
    </comment>
    <comment ref="AA5" authorId="0" shapeId="0" xr:uid="{00000000-0006-0000-0600-000016000000}">
      <text>
        <r>
          <rPr>
            <b/>
            <sz val="9"/>
            <color indexed="81"/>
            <rFont val="Tahoma"/>
            <family val="2"/>
          </rPr>
          <t>Required;
Start Date of agreement or Implementation Date, whichever is later</t>
        </r>
      </text>
    </comment>
    <comment ref="AB5" authorId="0" shapeId="0" xr:uid="{00000000-0006-0000-0600-000017000000}">
      <text>
        <r>
          <rPr>
            <b/>
            <sz val="9"/>
            <color indexed="81"/>
            <rFont val="Tahoma"/>
            <family val="2"/>
          </rPr>
          <t>Required;
End Date of agreement inclduing extenstion periods</t>
        </r>
      </text>
    </comment>
    <comment ref="AC5" authorId="0" shapeId="0" xr:uid="{00000000-0006-0000-0600-000018000000}">
      <text>
        <r>
          <rPr>
            <b/>
            <sz val="9"/>
            <color indexed="81"/>
            <rFont val="Tahoma"/>
            <family val="2"/>
          </rPr>
          <t>Enter the periodic routine fixed payment amount.</t>
        </r>
        <r>
          <rPr>
            <sz val="9"/>
            <color indexed="81"/>
            <rFont val="Tahoma"/>
            <family val="2"/>
          </rPr>
          <t xml:space="preserve">
</t>
        </r>
      </text>
    </comment>
    <comment ref="AD5" authorId="0" shapeId="0" xr:uid="{00000000-0006-0000-0600-000019000000}">
      <text>
        <r>
          <rPr>
            <b/>
            <sz val="9"/>
            <color indexed="81"/>
            <rFont val="Tahoma"/>
            <family val="2"/>
          </rPr>
          <t>Required;
Select value from list</t>
        </r>
      </text>
    </comment>
    <comment ref="AE5" authorId="0" shapeId="0" xr:uid="{00000000-0006-0000-0600-00001A000000}">
      <text>
        <r>
          <rPr>
            <b/>
            <sz val="9"/>
            <color indexed="81"/>
            <rFont val="Tahoma"/>
            <family val="2"/>
          </rPr>
          <t>Required;
Select value from list</t>
        </r>
      </text>
    </comment>
    <comment ref="AF5" authorId="0" shapeId="0" xr:uid="{00000000-0006-0000-0600-00001B000000}">
      <text>
        <r>
          <rPr>
            <b/>
            <sz val="9"/>
            <color indexed="81"/>
            <rFont val="Tahoma"/>
            <family val="2"/>
          </rPr>
          <t>Enter only if rate is specified in the agreement.</t>
        </r>
      </text>
    </comment>
    <comment ref="AG5" authorId="0" shapeId="0" xr:uid="{00000000-0006-0000-0600-00001C000000}">
      <text>
        <r>
          <rPr>
            <b/>
            <sz val="9"/>
            <color indexed="81"/>
            <rFont val="Tahoma"/>
            <family val="2"/>
          </rPr>
          <t>Enter Date to start the payment for the record.</t>
        </r>
      </text>
    </comment>
    <comment ref="AH5" authorId="0" shapeId="0" xr:uid="{00000000-0006-0000-0600-00001D000000}">
      <text>
        <r>
          <rPr>
            <b/>
            <sz val="9"/>
            <color indexed="81"/>
            <rFont val="Tahoma"/>
            <family val="2"/>
          </rPr>
          <t>Enter Date to end the payment for the record.
Date must be after the Start Date.</t>
        </r>
      </text>
    </comment>
    <comment ref="AM5" authorId="0" shapeId="0" xr:uid="{00000000-0006-0000-0600-00001E000000}">
      <text>
        <r>
          <rPr>
            <b/>
            <sz val="9"/>
            <color indexed="81"/>
            <rFont val="Tahoma"/>
            <family val="2"/>
          </rPr>
          <t>Enter total RoU Amount to be capitalized, including any Residual Value.</t>
        </r>
        <r>
          <rPr>
            <sz val="9"/>
            <color indexed="81"/>
            <rFont val="Tahoma"/>
            <family val="2"/>
          </rPr>
          <t xml:space="preserve">
</t>
        </r>
      </text>
    </comment>
    <comment ref="AN5" authorId="0" shapeId="0" xr:uid="{00000000-0006-0000-0600-00001F000000}">
      <text>
        <r>
          <rPr>
            <b/>
            <sz val="9"/>
            <color indexed="81"/>
            <rFont val="Tahoma"/>
            <family val="2"/>
          </rPr>
          <t>Enter Residual Value, if any.</t>
        </r>
        <r>
          <rPr>
            <sz val="9"/>
            <color indexed="81"/>
            <rFont val="Tahoma"/>
            <family val="2"/>
          </rPr>
          <t xml:space="preserve">
</t>
        </r>
      </text>
    </comment>
    <comment ref="AP5" authorId="0" shapeId="0" xr:uid="{00000000-0006-0000-0600-000020000000}">
      <text>
        <r>
          <rPr>
            <b/>
            <sz val="9"/>
            <color indexed="81"/>
            <rFont val="Tahoma"/>
            <family val="2"/>
          </rPr>
          <t>Validate Amount to be Amortized</t>
        </r>
      </text>
    </comment>
    <comment ref="AQ5" authorId="0" shapeId="0" xr:uid="{00000000-0006-0000-0600-000021000000}">
      <text>
        <r>
          <rPr>
            <b/>
            <sz val="9"/>
            <color indexed="81"/>
            <rFont val="Tahoma"/>
            <family val="2"/>
          </rPr>
          <t>Select value from list</t>
        </r>
        <r>
          <rPr>
            <sz val="9"/>
            <color indexed="81"/>
            <rFont val="Tahoma"/>
            <family val="2"/>
          </rPr>
          <t xml:space="preserve">
</t>
        </r>
      </text>
    </comment>
    <comment ref="AR5" authorId="0" shapeId="0" xr:uid="{00000000-0006-0000-0600-000022000000}">
      <text>
        <r>
          <rPr>
            <b/>
            <sz val="9"/>
            <color indexed="81"/>
            <rFont val="Tahoma"/>
            <family val="2"/>
          </rPr>
          <t>Enter the appropriate declining balance percentage for Declining Balance method.</t>
        </r>
      </text>
    </comment>
    <comment ref="AS5" authorId="0" shapeId="0" xr:uid="{00000000-0006-0000-0600-000023000000}">
      <text>
        <r>
          <rPr>
            <b/>
            <sz val="9"/>
            <color indexed="81"/>
            <rFont val="Tahoma"/>
            <family val="2"/>
          </rPr>
          <t>Enter a usage base if Usaged Based method is selected.</t>
        </r>
      </text>
    </comment>
    <comment ref="AT5" authorId="0" shapeId="0" xr:uid="{00000000-0006-0000-0600-000024000000}">
      <text>
        <r>
          <rPr>
            <b/>
            <sz val="9"/>
            <color indexed="81"/>
            <rFont val="Tahoma"/>
            <family val="2"/>
          </rPr>
          <t>Enter a usage Unit of Measure (UoM) if Usaged Based method is selected.</t>
        </r>
      </text>
    </comment>
    <comment ref="AU5" authorId="0" shapeId="0" xr:uid="{00000000-0006-0000-0600-000025000000}">
      <text>
        <r>
          <rPr>
            <b/>
            <sz val="9"/>
            <color indexed="81"/>
            <rFont val="Tahoma"/>
            <family val="2"/>
          </rPr>
          <t>Enter Date to start the RoU amortization calculation for the item.</t>
        </r>
        <r>
          <rPr>
            <sz val="9"/>
            <color indexed="81"/>
            <rFont val="Tahoma"/>
            <family val="2"/>
          </rPr>
          <t xml:space="preserve">
</t>
        </r>
      </text>
    </comment>
    <comment ref="AV5" authorId="0" shapeId="0" xr:uid="{00000000-0006-0000-0600-000026000000}">
      <text>
        <r>
          <rPr>
            <b/>
            <sz val="9"/>
            <color indexed="81"/>
            <rFont val="Tahoma"/>
            <family val="2"/>
          </rPr>
          <t>Enter Date to end RoU Amortization calculation for the item.
Date must be after the Start Date.</t>
        </r>
      </text>
    </comment>
    <comment ref="AW5" authorId="0" shapeId="0" xr:uid="{00000000-0006-0000-0600-000027000000}">
      <text>
        <r>
          <rPr>
            <b/>
            <sz val="9"/>
            <color indexed="81"/>
            <rFont val="Tahoma"/>
            <family val="2"/>
          </rPr>
          <t>Select value from list</t>
        </r>
      </text>
    </comment>
    <comment ref="AY5" authorId="0" shapeId="0" xr:uid="{00000000-0006-0000-0600-000028000000}">
      <text>
        <r>
          <rPr>
            <b/>
            <sz val="9"/>
            <color indexed="81"/>
            <rFont val="Tahoma"/>
            <family val="2"/>
          </rPr>
          <t>If a Related Party lease, enter the name of the related party.</t>
        </r>
        <r>
          <rPr>
            <sz val="9"/>
            <color indexed="81"/>
            <rFont val="Tahoma"/>
            <family val="2"/>
          </rPr>
          <t xml:space="preserve">
</t>
        </r>
      </text>
    </comment>
    <comment ref="AZ5" authorId="0" shapeId="0" xr:uid="{00000000-0006-0000-0600-000029000000}">
      <text>
        <r>
          <rPr>
            <b/>
            <sz val="9"/>
            <color indexed="81"/>
            <rFont val="Tahoma"/>
            <family val="2"/>
          </rPr>
          <t>Inidcate Sale/Leaseback with a "Y"</t>
        </r>
        <r>
          <rPr>
            <sz val="9"/>
            <color indexed="81"/>
            <rFont val="Tahoma"/>
            <family val="2"/>
          </rPr>
          <t xml:space="preserve">
</t>
        </r>
      </text>
    </comment>
    <comment ref="BA5" authorId="0" shapeId="0" xr:uid="{00000000-0006-0000-0600-00002A000000}">
      <text>
        <r>
          <rPr>
            <b/>
            <sz val="9"/>
            <color indexed="81"/>
            <rFont val="Tahoma"/>
            <family val="2"/>
          </rPr>
          <t>Indicate a Lease/Leaseback with the Agreement Code of the related lease.</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<sst xmlns="http://schemas.openxmlformats.org/spreadsheetml/2006/main" count="1724" uniqueCount="735">
  <si>
    <t>AgreementDescription</t>
  </si>
  <si>
    <t>Active</t>
  </si>
  <si>
    <t>Description</t>
  </si>
  <si>
    <t>FullDescription</t>
  </si>
  <si>
    <t>ReportingType</t>
  </si>
  <si>
    <t>ReportingCategory</t>
  </si>
  <si>
    <t>UsageBase</t>
  </si>
  <si>
    <t>UsageUnitMeasure</t>
  </si>
  <si>
    <t>N</t>
  </si>
  <si>
    <t>Y</t>
  </si>
  <si>
    <t>O</t>
  </si>
  <si>
    <t>C</t>
  </si>
  <si>
    <t>Agency:</t>
  </si>
  <si>
    <t>Primary Contact:</t>
  </si>
  <si>
    <t>Phone 1:</t>
  </si>
  <si>
    <t>Phone 2:</t>
  </si>
  <si>
    <t>Secondary Contact:</t>
  </si>
  <si>
    <t>Alpha Numeric (5)</t>
  </si>
  <si>
    <t>Alpha Numeric (75)</t>
  </si>
  <si>
    <t>Entity Code</t>
  </si>
  <si>
    <t>Entity Description</t>
  </si>
  <si>
    <t>00000</t>
  </si>
  <si>
    <t>State of Oklahoma</t>
  </si>
  <si>
    <t>02000</t>
  </si>
  <si>
    <t>Public Board of Accountancy</t>
  </si>
  <si>
    <t>02200</t>
  </si>
  <si>
    <t>Oklahoma Abstractors Board</t>
  </si>
  <si>
    <t>02500</t>
  </si>
  <si>
    <t>Military Department</t>
  </si>
  <si>
    <t>03000</t>
  </si>
  <si>
    <t>ABLE Commission</t>
  </si>
  <si>
    <t>03800</t>
  </si>
  <si>
    <t>Sorghum Commission</t>
  </si>
  <si>
    <t>03900</t>
  </si>
  <si>
    <t>Boll Weevil Eradication</t>
  </si>
  <si>
    <t>04000</t>
  </si>
  <si>
    <t>Agriculture Department</t>
  </si>
  <si>
    <t>04500</t>
  </si>
  <si>
    <t>Licensed Architects Board</t>
  </si>
  <si>
    <t>04700</t>
  </si>
  <si>
    <t>Indigent Defense System</t>
  </si>
  <si>
    <t>04900</t>
  </si>
  <si>
    <t>Attorney General</t>
  </si>
  <si>
    <t>05500</t>
  </si>
  <si>
    <t>State Arts Council</t>
  </si>
  <si>
    <t>06000</t>
  </si>
  <si>
    <t>Oklahoma Aeronautics Commission</t>
  </si>
  <si>
    <t>06500</t>
  </si>
  <si>
    <t>State Banking Commission</t>
  </si>
  <si>
    <t>09000</t>
  </si>
  <si>
    <t>Office of Management and Enterprise Services</t>
  </si>
  <si>
    <t>09100</t>
  </si>
  <si>
    <t>Building Bond Commission</t>
  </si>
  <si>
    <t>09200</t>
  </si>
  <si>
    <t>TSET</t>
  </si>
  <si>
    <t>10500</t>
  </si>
  <si>
    <t>Oklahoma Capitol Improvement Authority</t>
  </si>
  <si>
    <t>12500</t>
  </si>
  <si>
    <t>Department of Mines</t>
  </si>
  <si>
    <t>12700</t>
  </si>
  <si>
    <t>Commission on Children and Youth</t>
  </si>
  <si>
    <t>13100</t>
  </si>
  <si>
    <t>Department of Corrections</t>
  </si>
  <si>
    <t>14000</t>
  </si>
  <si>
    <t>Podiatry Board</t>
  </si>
  <si>
    <t>14500</t>
  </si>
  <si>
    <t>Chiropractic Examiners Board</t>
  </si>
  <si>
    <t>14800</t>
  </si>
  <si>
    <t>State Board of Behavioral Health Licensing</t>
  </si>
  <si>
    <t>16000</t>
  </si>
  <si>
    <t>Commerce Department</t>
  </si>
  <si>
    <t>17000</t>
  </si>
  <si>
    <t>Construction Industries Board</t>
  </si>
  <si>
    <t>18500</t>
  </si>
  <si>
    <t>Corporation Commission</t>
  </si>
  <si>
    <t>19000</t>
  </si>
  <si>
    <t>Cosmetology Board</t>
  </si>
  <si>
    <t>19900</t>
  </si>
  <si>
    <t>Court of Criminal Appeals</t>
  </si>
  <si>
    <t>20400</t>
  </si>
  <si>
    <t>JM Davis Memorial Commission</t>
  </si>
  <si>
    <t>21500</t>
  </si>
  <si>
    <t>State Dental Board</t>
  </si>
  <si>
    <t>21900</t>
  </si>
  <si>
    <t>District Courts</t>
  </si>
  <si>
    <t>22000</t>
  </si>
  <si>
    <t>District Attorneys Council</t>
  </si>
  <si>
    <t>26500</t>
  </si>
  <si>
    <t>Department of Education</t>
  </si>
  <si>
    <t>27000</t>
  </si>
  <si>
    <t>Election Board</t>
  </si>
  <si>
    <t>27500</t>
  </si>
  <si>
    <t>28500</t>
  </si>
  <si>
    <t>Oklahoma Funeral Board</t>
  </si>
  <si>
    <t>29000</t>
  </si>
  <si>
    <t>Employment Security Commission</t>
  </si>
  <si>
    <t>29200</t>
  </si>
  <si>
    <t>Environmental Quality Department</t>
  </si>
  <si>
    <t>29600</t>
  </si>
  <si>
    <t>Ethics Commission</t>
  </si>
  <si>
    <t>29800</t>
  </si>
  <si>
    <t>Merit Protection Commission</t>
  </si>
  <si>
    <t>30000</t>
  </si>
  <si>
    <t>State Auditor and Inspector</t>
  </si>
  <si>
    <t>30500</t>
  </si>
  <si>
    <t>Governor's Board</t>
  </si>
  <si>
    <t>30600</t>
  </si>
  <si>
    <t>Pardon and Parole Board</t>
  </si>
  <si>
    <t>30700</t>
  </si>
  <si>
    <t>Interstate Oil Compact Commission</t>
  </si>
  <si>
    <t>30800</t>
  </si>
  <si>
    <t>State Bureau of Investigation</t>
  </si>
  <si>
    <t>30900</t>
  </si>
  <si>
    <t>Civil Emergency Management</t>
  </si>
  <si>
    <t>31000</t>
  </si>
  <si>
    <t>State Fire Marshall</t>
  </si>
  <si>
    <t>32000</t>
  </si>
  <si>
    <t>Wildlife Conservation Commission</t>
  </si>
  <si>
    <t>32600</t>
  </si>
  <si>
    <t>Office of Handicap Concerns</t>
  </si>
  <si>
    <t>34000</t>
  </si>
  <si>
    <t>Department of Health</t>
  </si>
  <si>
    <t>34200</t>
  </si>
  <si>
    <t>Medicolegal Investigation Board</t>
  </si>
  <si>
    <t>34300</t>
  </si>
  <si>
    <t>Board of Examiners of Perfusionists</t>
  </si>
  <si>
    <t>Department of Transportation</t>
  </si>
  <si>
    <t>34600</t>
  </si>
  <si>
    <t>Oklahoma Space Industry Development Authority</t>
  </si>
  <si>
    <t>35000</t>
  </si>
  <si>
    <t>Historical Society</t>
  </si>
  <si>
    <t>35300</t>
  </si>
  <si>
    <t>Horse Racing Commission</t>
  </si>
  <si>
    <t>35900</t>
  </si>
  <si>
    <t>Oklahoma Energy Resources Board</t>
  </si>
  <si>
    <t>Indian Affairs Commission</t>
  </si>
  <si>
    <t>Native American Cultural Center</t>
  </si>
  <si>
    <t>36900</t>
  </si>
  <si>
    <t>38500</t>
  </si>
  <si>
    <t>Insurance Department</t>
  </si>
  <si>
    <t>40000</t>
  </si>
  <si>
    <t>Office of Juvenile Affairs</t>
  </si>
  <si>
    <t>40500</t>
  </si>
  <si>
    <t>Labor Department</t>
  </si>
  <si>
    <t>41000</t>
  </si>
  <si>
    <t>Commissioners of the Land Office</t>
  </si>
  <si>
    <t>41500</t>
  </si>
  <si>
    <t>CLEET</t>
  </si>
  <si>
    <t>42100</t>
  </si>
  <si>
    <t>Senate</t>
  </si>
  <si>
    <t>42200</t>
  </si>
  <si>
    <t>House of Representatives</t>
  </si>
  <si>
    <t>42300</t>
  </si>
  <si>
    <t>Legislative Service Bureau</t>
  </si>
  <si>
    <t>43000</t>
  </si>
  <si>
    <t>Libraries Department</t>
  </si>
  <si>
    <t>Lottery Commission</t>
  </si>
  <si>
    <t>44000</t>
  </si>
  <si>
    <t>Lieutenant Governor</t>
  </si>
  <si>
    <t>44500</t>
  </si>
  <si>
    <t>Liquefied Petroleum Gas Board</t>
  </si>
  <si>
    <t>44800</t>
  </si>
  <si>
    <t>Board of Licensure Alcohol &amp; Drug Counseling</t>
  </si>
  <si>
    <t>45000</t>
  </si>
  <si>
    <t>Medical License/Supervision Board</t>
  </si>
  <si>
    <t>45200</t>
  </si>
  <si>
    <t>DMHSAS</t>
  </si>
  <si>
    <t>46700</t>
  </si>
  <si>
    <t>Statewide Entity</t>
  </si>
  <si>
    <t>47500</t>
  </si>
  <si>
    <t>Motor Vehicle Commission</t>
  </si>
  <si>
    <t>47700</t>
  </si>
  <si>
    <t>Narcotics/Dangerous Drugs Control</t>
  </si>
  <si>
    <t>50900</t>
  </si>
  <si>
    <t>Board of Nursing Homes</t>
  </si>
  <si>
    <t>51000</t>
  </si>
  <si>
    <t>Nurse Registration &amp; Education Board</t>
  </si>
  <si>
    <t>52000</t>
  </si>
  <si>
    <t>Optometry Board</t>
  </si>
  <si>
    <t>52500</t>
  </si>
  <si>
    <t>Osteopathic Examiners Board</t>
  </si>
  <si>
    <t>56000</t>
  </si>
  <si>
    <t>Pharmacy Board</t>
  </si>
  <si>
    <t>56300</t>
  </si>
  <si>
    <t>Private Vocational Schools Board</t>
  </si>
  <si>
    <t>56600</t>
  </si>
  <si>
    <t>Tourism &amp; Recreation Department</t>
  </si>
  <si>
    <t>57000</t>
  </si>
  <si>
    <t>Professional Engineers &amp; Land Surveyors Board</t>
  </si>
  <si>
    <t>57500</t>
  </si>
  <si>
    <t>Psychologists Examiners Board</t>
  </si>
  <si>
    <t>58200</t>
  </si>
  <si>
    <t>State Bond Advisor</t>
  </si>
  <si>
    <t>58500</t>
  </si>
  <si>
    <t>Public Safety Department</t>
  </si>
  <si>
    <t>58800</t>
  </si>
  <si>
    <t>Real Estate Commission</t>
  </si>
  <si>
    <t>61900</t>
  </si>
  <si>
    <t>Physicians Manpower Training Commission</t>
  </si>
  <si>
    <t>62200</t>
  </si>
  <si>
    <t>Licensed Social Workers Board</t>
  </si>
  <si>
    <t>62500</t>
  </si>
  <si>
    <t>Secretary of State</t>
  </si>
  <si>
    <t>62800</t>
  </si>
  <si>
    <t>Center for Advancement of Science/Technology</t>
  </si>
  <si>
    <t>62900</t>
  </si>
  <si>
    <t>Oklahoma School of Science and Math</t>
  </si>
  <si>
    <t>63000</t>
  </si>
  <si>
    <t>Securities Commission</t>
  </si>
  <si>
    <t>63200</t>
  </si>
  <si>
    <t>Speech Pathology and Audiology Board</t>
  </si>
  <si>
    <t>63500</t>
  </si>
  <si>
    <t>Consumer Credit Commission</t>
  </si>
  <si>
    <t>64500</t>
  </si>
  <si>
    <t>Conservation Commission</t>
  </si>
  <si>
    <t>65000</t>
  </si>
  <si>
    <t>Veteran Affairs Department</t>
  </si>
  <si>
    <t>67000</t>
  </si>
  <si>
    <t>JD McCarty Center</t>
  </si>
  <si>
    <t>67500</t>
  </si>
  <si>
    <t>Self-Insurance Guarantee Fund Board</t>
  </si>
  <si>
    <t>67700</t>
  </si>
  <si>
    <t>Supreme Court</t>
  </si>
  <si>
    <t>67800</t>
  </si>
  <si>
    <t>Council on Judicial Complaints</t>
  </si>
  <si>
    <t>69500</t>
  </si>
  <si>
    <t>Oklahoma Tax Commission</t>
  </si>
  <si>
    <t>74000</t>
  </si>
  <si>
    <t>Office of State Treasurer</t>
  </si>
  <si>
    <t>75300</t>
  </si>
  <si>
    <t>Uniform Building Code Commission</t>
  </si>
  <si>
    <t>75500</t>
  </si>
  <si>
    <t>Used Motor Vehicle Commission</t>
  </si>
  <si>
    <t>77200</t>
  </si>
  <si>
    <t>Board of Tests for Alcohol &amp; Drug Influence</t>
  </si>
  <si>
    <t>79000</t>
  </si>
  <si>
    <t>Veterinary Medical Examiners Board</t>
  </si>
  <si>
    <t>80000</t>
  </si>
  <si>
    <t>Department of Career and Technology Education</t>
  </si>
  <si>
    <t>80300</t>
  </si>
  <si>
    <t>Virtual Charter School Board</t>
  </si>
  <si>
    <t>80500</t>
  </si>
  <si>
    <t>Department of Rehabilitation Services</t>
  </si>
  <si>
    <t>80700</t>
  </si>
  <si>
    <t>Oklahoma Health Care Authority</t>
  </si>
  <si>
    <t>83000</t>
  </si>
  <si>
    <t>Department of Human Services</t>
  </si>
  <si>
    <t>83500</t>
  </si>
  <si>
    <t>Water Resources Board</t>
  </si>
  <si>
    <t>86500</t>
  </si>
  <si>
    <t>Workers' Compensation Court</t>
  </si>
  <si>
    <t>88000</t>
  </si>
  <si>
    <t>Will Rogers Museum</t>
  </si>
  <si>
    <t>AGREEMENT ENTITIES (Agencies)</t>
  </si>
  <si>
    <t>LenTest</t>
  </si>
  <si>
    <t>Combined for Look-up</t>
  </si>
  <si>
    <t>optional</t>
  </si>
  <si>
    <t>OMES Lessee GASB 87 Reporting</t>
  </si>
  <si>
    <t>Code</t>
  </si>
  <si>
    <t>Sort</t>
  </si>
  <si>
    <t>SOFTWARE</t>
  </si>
  <si>
    <t>Software</t>
  </si>
  <si>
    <t>SERVICE</t>
  </si>
  <si>
    <t>Services</t>
  </si>
  <si>
    <t>INVESTMENT</t>
  </si>
  <si>
    <t>Investments</t>
  </si>
  <si>
    <t>LAND</t>
  </si>
  <si>
    <t>Land</t>
  </si>
  <si>
    <t>LANDIMPR</t>
  </si>
  <si>
    <t>Land Improvements</t>
  </si>
  <si>
    <t>BUILDING</t>
  </si>
  <si>
    <t>Buildings</t>
  </si>
  <si>
    <t>BLDGIMPR</t>
  </si>
  <si>
    <t>Building Improvements</t>
  </si>
  <si>
    <t>VEHICLES</t>
  </si>
  <si>
    <t>Vehicles</t>
  </si>
  <si>
    <t>HEAVYMACH</t>
  </si>
  <si>
    <t>Heavy Equipment</t>
  </si>
  <si>
    <t>OFFICE</t>
  </si>
  <si>
    <t>Office Equipment</t>
  </si>
  <si>
    <t>INFRASTR</t>
  </si>
  <si>
    <t>Infrastructure</t>
  </si>
  <si>
    <t>Code (10)</t>
  </si>
  <si>
    <t>Description (50)</t>
  </si>
  <si>
    <t>D</t>
  </si>
  <si>
    <t>ACTV</t>
  </si>
  <si>
    <t>COMPL</t>
  </si>
  <si>
    <t>Completed</t>
  </si>
  <si>
    <t>TERM</t>
  </si>
  <si>
    <t>Terminated</t>
  </si>
  <si>
    <t>Code (5)</t>
  </si>
  <si>
    <t>None</t>
  </si>
  <si>
    <t>Transactional</t>
  </si>
  <si>
    <t>F/S Note Only – Fixed</t>
  </si>
  <si>
    <t>F/S Note Only – Variable</t>
  </si>
  <si>
    <t>FSNoteCategory (50)</t>
  </si>
  <si>
    <t>Straight-Line</t>
  </si>
  <si>
    <t>Declining Balance</t>
  </si>
  <si>
    <t>Sum of the Periods</t>
  </si>
  <si>
    <t>Usage Based</t>
  </si>
  <si>
    <t>AgrmtTitle
Uniq Test</t>
  </si>
  <si>
    <t>AgreementType</t>
  </si>
  <si>
    <t>AgreementStatus</t>
  </si>
  <si>
    <t>AdditionalAgreementCode</t>
  </si>
  <si>
    <t>AgrmtCode
Uniq Test</t>
  </si>
  <si>
    <t>ProvisionType</t>
  </si>
  <si>
    <t>ProvisionReference</t>
  </si>
  <si>
    <t>ProvisionDescription (50 characters)</t>
  </si>
  <si>
    <t>Reporting
StartDate</t>
  </si>
  <si>
    <t>Reporting
EndDate</t>
  </si>
  <si>
    <t>Annual
Rate</t>
  </si>
  <si>
    <t>Comments
Length</t>
  </si>
  <si>
    <t>Comments (300 characters maximum)</t>
  </si>
  <si>
    <t>Number of
 Payments</t>
  </si>
  <si>
    <t>Total Amount
of Payments</t>
  </si>
  <si>
    <t>Total
Interest</t>
  </si>
  <si>
    <t>Present
Value</t>
  </si>
  <si>
    <t>Payment
Timing</t>
  </si>
  <si>
    <t>Payment
Frequency</t>
  </si>
  <si>
    <t>Payment
Amount</t>
  </si>
  <si>
    <t>Advance</t>
  </si>
  <si>
    <t>MO</t>
  </si>
  <si>
    <t>AN</t>
  </si>
  <si>
    <t>GASB 87 Reporting Information by Provision &gt;&gt;&gt;</t>
  </si>
  <si>
    <t>&lt;&lt;&lt;&lt;&lt;  Base Provision Information  &gt;&gt;&gt;&gt;&gt;</t>
  </si>
  <si>
    <t>&lt;&lt;&lt;&lt;&lt;     Core Agreement (Lease) Information     &gt;&gt;&gt;&gt;&gt;</t>
  </si>
  <si>
    <t>calculated</t>
  </si>
  <si>
    <t>Total
CapitalizedValue</t>
  </si>
  <si>
    <t>Capitalized
ResidualValue</t>
  </si>
  <si>
    <t>Calc Amount
to Amortize</t>
  </si>
  <si>
    <t>Amount to be
Amortized</t>
  </si>
  <si>
    <t>RoU Asset
AmortizationMethod</t>
  </si>
  <si>
    <t>DecliningBalance
Percentage</t>
  </si>
  <si>
    <t>RoU Amortization
StartDate</t>
  </si>
  <si>
    <t>RoU Amortization
EndDate</t>
  </si>
  <si>
    <t>RoU Amortization
Frequency</t>
  </si>
  <si>
    <t>RoU Amortization
Periods</t>
  </si>
  <si>
    <t>Related Party
Lease</t>
  </si>
  <si>
    <t>Sale - 
Leaseback</t>
  </si>
  <si>
    <t>Lease - 
Leaseback</t>
  </si>
  <si>
    <t>RoU Assets
G/L Account</t>
  </si>
  <si>
    <t>Accum Amortiz
G/L Account</t>
  </si>
  <si>
    <t>S-T Lease Liability
G/L Account</t>
  </si>
  <si>
    <t>RoUA Amortiz. Exp.
G/L Account</t>
  </si>
  <si>
    <t>Lease Operating Exp
G/L Account</t>
  </si>
  <si>
    <t>Lease Interest Exp
G/L Account</t>
  </si>
  <si>
    <t>LT Capital Lease Liability</t>
  </si>
  <si>
    <t>Other Income</t>
  </si>
  <si>
    <t>Miscellaneous Expense</t>
  </si>
  <si>
    <t>Fixed Assets</t>
  </si>
  <si>
    <t>Accumulated Depreciation</t>
  </si>
  <si>
    <t>Buildings and Improvements</t>
  </si>
  <si>
    <t>Machinery and Equipment</t>
  </si>
  <si>
    <t>Leased Building</t>
  </si>
  <si>
    <t>Leased Equipment</t>
  </si>
  <si>
    <t>AD - Land Improvements</t>
  </si>
  <si>
    <t>AD - Building and Improvements</t>
  </si>
  <si>
    <t>AD - Machinery and Equipment</t>
  </si>
  <si>
    <t>AD - Infrastructure</t>
  </si>
  <si>
    <t>AD - Leased Equipment</t>
  </si>
  <si>
    <t>AD - Leased Buildings</t>
  </si>
  <si>
    <t>Art and Artifacts</t>
  </si>
  <si>
    <t>Capital Lease Liability</t>
  </si>
  <si>
    <t>Rent of Land</t>
  </si>
  <si>
    <t>Rent of Other Building Space</t>
  </si>
  <si>
    <t>Rent Equipment and Machinery</t>
  </si>
  <si>
    <t>Rent of Motor Vehicles</t>
  </si>
  <si>
    <t>Lease of Motor Vehicles</t>
  </si>
  <si>
    <t>Rent Telecommunications Equip</t>
  </si>
  <si>
    <t>Rent Elec Data Processing Equip</t>
  </si>
  <si>
    <t>Rent Data Processing Software</t>
  </si>
  <si>
    <t>Other Rents</t>
  </si>
  <si>
    <t>Lease Purchase - Furniture, Equip</t>
  </si>
  <si>
    <t>Lease Purchase DP Equipment</t>
  </si>
  <si>
    <t>Lease Purchase Land, Building</t>
  </si>
  <si>
    <t>Lease Purchase Telecomm</t>
  </si>
  <si>
    <t>Rent of Office Space</t>
  </si>
  <si>
    <t>Lease Purchase-Land, Buildings</t>
  </si>
  <si>
    <t>Leases Receivable</t>
  </si>
  <si>
    <t>L-T Leases Receivable</t>
  </si>
  <si>
    <t xml:space="preserve">DEF LEASE INFLOW </t>
  </si>
  <si>
    <t>Deferred inflows from Capital Leases</t>
  </si>
  <si>
    <t>DEF LEASE OUTFLOW</t>
  </si>
  <si>
    <t>Deferred Outflows from Capital Leases</t>
  </si>
  <si>
    <t>Interest Income - Leases</t>
  </si>
  <si>
    <t>Interest Expense - Leases</t>
  </si>
  <si>
    <t>L-T Lease Liability
G/L Account</t>
  </si>
  <si>
    <t>CodeDescr</t>
  </si>
  <si>
    <t>Initial Period
Start Date</t>
  </si>
  <si>
    <t>Initial Period
End Date</t>
  </si>
  <si>
    <t>Incl. Options
Start Date</t>
  </si>
  <si>
    <t>Incl. Options
End Date</t>
  </si>
  <si>
    <t>Excl. Options
Start Date</t>
  </si>
  <si>
    <t>Excl. Options
End Date</t>
  </si>
  <si>
    <t>&lt;&lt;&lt;&lt;&lt;     G/L Account Selection - OMES Use Only     &gt;&gt;&gt;&gt;&gt;</t>
  </si>
  <si>
    <t>Template Column</t>
  </si>
  <si>
    <t>Guidance</t>
  </si>
  <si>
    <t>Col Ref</t>
  </si>
  <si>
    <t>A</t>
  </si>
  <si>
    <t>I</t>
  </si>
  <si>
    <t>E</t>
  </si>
  <si>
    <t>P</t>
  </si>
  <si>
    <t>F</t>
  </si>
  <si>
    <t>R</t>
  </si>
  <si>
    <t>B</t>
  </si>
  <si>
    <t>G</t>
  </si>
  <si>
    <t>H</t>
  </si>
  <si>
    <t>J</t>
  </si>
  <si>
    <t>K</t>
  </si>
  <si>
    <t>L</t>
  </si>
  <si>
    <t>M</t>
  </si>
  <si>
    <t>Q</t>
  </si>
  <si>
    <t>S</t>
  </si>
  <si>
    <t>T</t>
  </si>
  <si>
    <t>U</t>
  </si>
  <si>
    <t>V</t>
  </si>
  <si>
    <t>W</t>
  </si>
  <si>
    <t>X</t>
  </si>
  <si>
    <t>Z</t>
  </si>
  <si>
    <t>AA</t>
  </si>
  <si>
    <t>AB</t>
  </si>
  <si>
    <t>AC</t>
  </si>
  <si>
    <t>AD</t>
  </si>
  <si>
    <t>AE</t>
  </si>
  <si>
    <t>AF</t>
  </si>
  <si>
    <t>AG</t>
  </si>
  <si>
    <t>AH</t>
  </si>
  <si>
    <t>AI</t>
  </si>
  <si>
    <t>AJ</t>
  </si>
  <si>
    <t>AK</t>
  </si>
  <si>
    <t>AL</t>
  </si>
  <si>
    <t>AM</t>
  </si>
  <si>
    <t>AO</t>
  </si>
  <si>
    <t>AP</t>
  </si>
  <si>
    <t>AR</t>
  </si>
  <si>
    <t>AQ</t>
  </si>
  <si>
    <t>AS</t>
  </si>
  <si>
    <t>AT</t>
  </si>
  <si>
    <t>AU</t>
  </si>
  <si>
    <t>AV</t>
  </si>
  <si>
    <t>AW</t>
  </si>
  <si>
    <t>AX</t>
  </si>
  <si>
    <t>AY</t>
  </si>
  <si>
    <t>BA</t>
  </si>
  <si>
    <t>BB</t>
  </si>
  <si>
    <t>BC</t>
  </si>
  <si>
    <t>BD</t>
  </si>
  <si>
    <t>Police Car Agreement #000001; City Car Company</t>
  </si>
  <si>
    <t>170400: Machinery and Equipment</t>
  </si>
  <si>
    <t>171400: AD - Machinery and Equipment</t>
  </si>
  <si>
    <t>262000: Capital Lease Liability</t>
  </si>
  <si>
    <t>285800: LT Capital Lease Liability</t>
  </si>
  <si>
    <t>532141: Rent of Motor Vehicles</t>
  </si>
  <si>
    <t>532142: Lease of Motor Vehicles</t>
  </si>
  <si>
    <t>2016 Office Rental at 1130 Main St, Tulsa from ABC Real Properties</t>
  </si>
  <si>
    <t>Arrears</t>
  </si>
  <si>
    <t>029-2019-XXX</t>
  </si>
  <si>
    <t>170300: Buildings and Improvements</t>
  </si>
  <si>
    <t>171300: AD - Building and Improvements</t>
  </si>
  <si>
    <t>532110: Rent of Office Space</t>
  </si>
  <si>
    <t>548120: Interest Expense - Leases</t>
  </si>
  <si>
    <t>AgrmtCode Uniq Test</t>
  </si>
  <si>
    <t>AgrmtTitle Uniq Test</t>
  </si>
  <si>
    <t>Initial Period Start Date</t>
  </si>
  <si>
    <t>Initial Period End Date</t>
  </si>
  <si>
    <t>Incl. Options Start Date</t>
  </si>
  <si>
    <t>Incl. Options End Date</t>
  </si>
  <si>
    <t>Excl. Options Start Date</t>
  </si>
  <si>
    <t>Excl. Options End Date</t>
  </si>
  <si>
    <t>Comments Length</t>
  </si>
  <si>
    <t>Reporting StartDate</t>
  </si>
  <si>
    <t>Reporting EndDate</t>
  </si>
  <si>
    <t>Payment Amount</t>
  </si>
  <si>
    <t>Payment Frequency</t>
  </si>
  <si>
    <t>Payment Timing</t>
  </si>
  <si>
    <t>Annual Rate</t>
  </si>
  <si>
    <t>Number of Payments</t>
  </si>
  <si>
    <t>Total Amount of Payments</t>
  </si>
  <si>
    <t>Present Value</t>
  </si>
  <si>
    <t>Total Interest</t>
  </si>
  <si>
    <t>Total CapitalizedValue</t>
  </si>
  <si>
    <t>Capitalized ResidualValue</t>
  </si>
  <si>
    <t>Calc Amount to Amortize</t>
  </si>
  <si>
    <t>Amount to be Amortized</t>
  </si>
  <si>
    <t>RoU Asset AmortizationMethod</t>
  </si>
  <si>
    <t>DecliningBalance Percentage</t>
  </si>
  <si>
    <t>RoU Amortization StartDate</t>
  </si>
  <si>
    <t>RoU Amortization EndDate</t>
  </si>
  <si>
    <t>RoU Amortization Frequency</t>
  </si>
  <si>
    <t>RoU Amortization Periods</t>
  </si>
  <si>
    <t>Related Party Lease</t>
  </si>
  <si>
    <t>Sale - Leaseback</t>
  </si>
  <si>
    <t>Lease - Leaseback</t>
  </si>
  <si>
    <t>RoU Assets G/L Account</t>
  </si>
  <si>
    <t>Accum Amortiz G/L Account</t>
  </si>
  <si>
    <t>S-T Lease Liability G/L Account</t>
  </si>
  <si>
    <t>L-T Lease Liability G/L Account</t>
  </si>
  <si>
    <t>Lease Operating Exp G/L Account</t>
  </si>
  <si>
    <t>RoUA Amortiz. Exp. G/L Account</t>
  </si>
  <si>
    <t>Lease Interest Exp G/L Account</t>
  </si>
  <si>
    <t>OMES use only</t>
  </si>
  <si>
    <t>Unique Value</t>
  </si>
  <si>
    <t>Required</t>
  </si>
  <si>
    <t>NA</t>
  </si>
  <si>
    <t>Optional free form text to further describe the provision</t>
  </si>
  <si>
    <t>Y*</t>
  </si>
  <si>
    <r>
      <rPr>
        <b/>
        <sz val="11"/>
        <color theme="1"/>
        <rFont val="Calibri"/>
        <family val="2"/>
        <scheme val="minor"/>
      </rPr>
      <t>Required</t>
    </r>
    <r>
      <rPr>
        <sz val="11"/>
        <color theme="1"/>
        <rFont val="Calibri"/>
        <family val="2"/>
        <scheme val="minor"/>
      </rPr>
      <t>.  Enter the rate as an annual value.
If the rate explicitly stated in the lease, enter that value.
If no rate is explicitly stated in the lease, enter the rate in accordance with OMES guidance and instructions.</t>
    </r>
  </si>
  <si>
    <t>Select Y for YES if this situation applies.</t>
  </si>
  <si>
    <t>Type</t>
  </si>
  <si>
    <t>Lessee</t>
  </si>
  <si>
    <t>Entity</t>
  </si>
  <si>
    <t>BE</t>
  </si>
  <si>
    <t>BF</t>
  </si>
  <si>
    <t>Locked for Lessor or Lessee</t>
  </si>
  <si>
    <t>Locked for link to Entity</t>
  </si>
  <si>
    <t>AgreementCode (required; unique with exceptions)</t>
  </si>
  <si>
    <t>Y
with exceptions</t>
  </si>
  <si>
    <t>Formula  Row</t>
  </si>
  <si>
    <t>Formula Row - Do Not Delete - Copy if needed</t>
  </si>
  <si>
    <t>NOTE:  Once all records are entered, delete unused rows.</t>
  </si>
  <si>
    <t>General Instructions</t>
  </si>
  <si>
    <t>Column by Column Instructions</t>
  </si>
  <si>
    <t>Column by Column instructions are just below these General Instructions.</t>
  </si>
  <si>
    <r>
      <t xml:space="preserve">Row 3 of the "Base Information" sheet is intended to provide a </t>
    </r>
    <r>
      <rPr>
        <b/>
        <sz val="11"/>
        <color theme="1"/>
        <rFont val="Calibri"/>
        <family val="2"/>
        <scheme val="minor"/>
      </rPr>
      <t>WARNING</t>
    </r>
    <r>
      <rPr>
        <sz val="11"/>
        <color theme="1"/>
        <rFont val="Calibri"/>
        <family val="2"/>
        <scheme val="minor"/>
      </rPr>
      <t xml:space="preserve"> of </t>
    </r>
    <r>
      <rPr>
        <u/>
        <sz val="11"/>
        <color theme="1"/>
        <rFont val="Calibri"/>
        <family val="2"/>
        <scheme val="minor"/>
      </rPr>
      <t>POTENTIAL</t>
    </r>
    <r>
      <rPr>
        <sz val="11"/>
        <color theme="1"/>
        <rFont val="Calibri"/>
        <family val="2"/>
        <scheme val="minor"/>
      </rPr>
      <t xml:space="preserve"> errors.  The indication is not absolute.</t>
    </r>
  </si>
  <si>
    <t>Once the sheet is final, remove unused rows and most of the error warnings will disappear.</t>
  </si>
  <si>
    <t>The last row in the list is intended to contain all default settings and formulas.</t>
  </si>
  <si>
    <t>AZ</t>
  </si>
  <si>
    <t>BG</t>
  </si>
  <si>
    <t>AgreementTitle (required; unique with exceptions)</t>
  </si>
  <si>
    <t>The lease information is added on the "Base Information" sheet.</t>
  </si>
  <si>
    <t>The template has been designed to accommodate most types of leases, but there may some exceptions.  Contact OMES if you have difficulties entering a lease.</t>
  </si>
  <si>
    <t>Each column has specific rules and the "error" may indicate an exception to the rule, but the exception may be legitimate and the data can be imported.</t>
  </si>
  <si>
    <t>The "Examples" sheet is intended to provide examples of different types of leases as well as general data guidance.</t>
  </si>
  <si>
    <t>then one row is insufficient to define the lease.  Therefore, there are specific data rules to use to enter these situations.</t>
  </si>
  <si>
    <t>Multi-Component Leases</t>
  </si>
  <si>
    <t>Background</t>
  </si>
  <si>
    <t>"Base Information" sheet.  Here is how to designate a group of rows as multiple provisions (components) of the same lease:</t>
  </si>
  <si>
    <t xml:space="preserve">for the "components" is "provisions".  So, if a lease will have multiple provisions associated with it, it will require multiple lines on the </t>
  </si>
  <si>
    <t>This column will indicate if the value in column C is not unique.  It will display the count of the code entered in column C.  If the count is greater than 1, the cell will be in yellow.  The only time this is acceptable is if there are multiple rows entered for the same lease.  NO ENTRY.</t>
  </si>
  <si>
    <t>This is a validation of the text length in column R. NO ENTRY.</t>
  </si>
  <si>
    <r>
      <rPr>
        <b/>
        <sz val="11"/>
        <color theme="1"/>
        <rFont val="Calibri"/>
        <family val="2"/>
        <scheme val="minor"/>
      </rPr>
      <t>Required</t>
    </r>
    <r>
      <rPr>
        <sz val="11"/>
        <color theme="1"/>
        <rFont val="Calibri"/>
        <family val="2"/>
        <scheme val="minor"/>
      </rPr>
      <t>.  Generally the last date of the lease for GASB87 reporting, including the "Included Options End Date".
This value is defaulted to the  date in column "O" (Incl. Options End Date) if one exists.  If not, then the date from column "M" (Initial Period End Date) is used.
Dates can be overridden if appropriate to do so.</t>
    </r>
  </si>
  <si>
    <t>This column will indicate if the value in column F is not unique.  It will display the count of the Title entered in column F.  If the count is greater than 1, the cell will be in yellow.  The only time this is acceptable is if there are multiple rows entered for the same lease.  NO ENTRY.</t>
  </si>
  <si>
    <r>
      <rPr>
        <b/>
        <sz val="11"/>
        <color theme="1"/>
        <rFont val="Calibri"/>
        <family val="2"/>
        <scheme val="minor"/>
      </rPr>
      <t>Required</t>
    </r>
    <r>
      <rPr>
        <sz val="11"/>
        <color theme="1"/>
        <rFont val="Calibri"/>
        <family val="2"/>
        <scheme val="minor"/>
      </rPr>
      <t>. Generally this should be the same as the liability calculation start date (column AG).</t>
    </r>
  </si>
  <si>
    <r>
      <rPr>
        <b/>
        <sz val="11"/>
        <color theme="1"/>
        <rFont val="Calibri"/>
        <family val="2"/>
        <scheme val="minor"/>
      </rPr>
      <t>Required</t>
    </r>
    <r>
      <rPr>
        <sz val="11"/>
        <color theme="1"/>
        <rFont val="Calibri"/>
        <family val="2"/>
        <scheme val="minor"/>
      </rPr>
      <t>. Generally this should be the same as the liability calculation end date (column AH).</t>
    </r>
  </si>
  <si>
    <t>BH</t>
  </si>
  <si>
    <t>Multi-Provision</t>
  </si>
  <si>
    <t>Multi-
Record</t>
  </si>
  <si>
    <t>Multi-
Record2</t>
  </si>
  <si>
    <t>Multi-Record</t>
  </si>
  <si>
    <t>This contains the same value as column D and is placed here to remind the user that this group of rows has special rules if the value is other than "None".</t>
  </si>
  <si>
    <t>Column D indicates that a set of rows are to be associated with the same agreement and/or provision.  Instructions are below.</t>
  </si>
  <si>
    <t>1.  All associated rows MUST follow each other.</t>
  </si>
  <si>
    <t>Please refer to the "Multi-Record Entries" sheet for leases that have multiple components or have pre-defined amounts that change.</t>
  </si>
  <si>
    <r>
      <t xml:space="preserve">This is a 50-character maximum </t>
    </r>
    <r>
      <rPr>
        <b/>
        <sz val="11"/>
        <color theme="1"/>
        <rFont val="Calibri"/>
        <family val="2"/>
        <scheme val="minor"/>
      </rPr>
      <t>required</t>
    </r>
    <r>
      <rPr>
        <sz val="11"/>
        <color theme="1"/>
        <rFont val="Calibri"/>
        <family val="2"/>
        <scheme val="minor"/>
      </rPr>
      <t xml:space="preserve"> field used to further identify the specific provision.
If the lease has only one GASB87 reporting provision, the description is defaulted to the first 50 characters of the Agreement Title.  This can be overridden if desired.
If the lease has multiple GASB87 reporting provisions, the description should be used to help further identify the specific provision.
See the discussion on the "Multi-Record Entries" sheet for multi-component leases and leases with pre-defined changing amounts.</t>
    </r>
  </si>
  <si>
    <r>
      <rPr>
        <b/>
        <sz val="11"/>
        <color theme="1"/>
        <rFont val="Calibri"/>
        <family val="2"/>
        <scheme val="minor"/>
      </rPr>
      <t>Required</t>
    </r>
    <r>
      <rPr>
        <sz val="11"/>
        <color theme="1"/>
        <rFont val="Calibri"/>
        <family val="2"/>
        <scheme val="minor"/>
      </rPr>
      <t>. Periodic fixed payment amount currently in effect.
If the amounts of the fixed payment are pre-defined and can be calculated, see guidance on the "Multi-Record Entries" sheet.</t>
    </r>
  </si>
  <si>
    <r>
      <t xml:space="preserve">This is a 12-character maximum </t>
    </r>
    <r>
      <rPr>
        <b/>
        <sz val="11"/>
        <color theme="1"/>
        <rFont val="Calibri"/>
        <family val="2"/>
        <scheme val="minor"/>
      </rPr>
      <t>required</t>
    </r>
    <r>
      <rPr>
        <sz val="11"/>
        <color theme="1"/>
        <rFont val="Calibri"/>
        <family val="2"/>
        <scheme val="minor"/>
      </rPr>
      <t xml:space="preserve"> field used to identify the specific provision.
If the lease has only one GASB87 reporting provision, the reference is defaulted to the Agreement Code.  This can be overridden if desired.
If the lease has multiple GASB87 reporting provisions, the reference should be used to help identify the specific provision.
See the discussion on the "Multi-Record Entries" sheet for multi-component leases and leases with pre-defined changing amounts.</t>
    </r>
  </si>
  <si>
    <r>
      <t xml:space="preserve">2.  Each new provision MUST have a unique Provision Reference (column U) and a unique Provision Description (column V) </t>
    </r>
    <r>
      <rPr>
        <u/>
        <sz val="11"/>
        <color theme="1"/>
        <rFont val="Calibri"/>
        <family val="2"/>
        <scheme val="minor"/>
      </rPr>
      <t>within the agreement</t>
    </r>
    <r>
      <rPr>
        <sz val="11"/>
        <color theme="1"/>
        <rFont val="Calibri"/>
        <family val="2"/>
        <scheme val="minor"/>
      </rPr>
      <t>.</t>
    </r>
  </si>
  <si>
    <t>3.  Within an agreement, for each row that contains a new provision, select "Multi-Provision" in column D.  See the "Examples" sheet.</t>
  </si>
  <si>
    <t>5.  The selection in column D will carryover to column T to remind the user of the multi-record situation.</t>
  </si>
  <si>
    <t xml:space="preserve">Multi-component leases are leases that have more than one asset or component that is to be entered into the PBRM system.  The PBRM terminology </t>
  </si>
  <si>
    <t>6.  An abbreviated example appears as follows (in this example, the lease includes office space and adjacent land)</t>
  </si>
  <si>
    <t>AgrmCode</t>
  </si>
  <si>
    <t>AgrmtTitle</t>
  </si>
  <si>
    <t>131-2020-012</t>
  </si>
  <si>
    <t>Office Building &amp; Land Lease</t>
  </si>
  <si>
    <t>ProvisionDescription</t>
  </si>
  <si>
    <t>Building</t>
  </si>
  <si>
    <t>Building portion of lease</t>
  </si>
  <si>
    <t>Separate land portion of lease</t>
  </si>
  <si>
    <t>Leased Land</t>
  </si>
  <si>
    <t>Office Space</t>
  </si>
  <si>
    <t xml:space="preserve">      Note that the agreement information is the same for both records, but the provision information is different.</t>
  </si>
  <si>
    <t>7.  In this situation, all agreement column data values (columns D - Q) should be the same.</t>
  </si>
  <si>
    <t>8.  Column R can be different.</t>
  </si>
  <si>
    <t>9.  Column T should reflect "Multi-Provision"</t>
  </si>
  <si>
    <t>10.  Columns U and V should be different for each record within the agreement.</t>
  </si>
  <si>
    <t>11.  Column W can be the same or different for each record.</t>
  </si>
  <si>
    <t>12.  Complete the remaining columns as appropriate for the specific provision (component).</t>
  </si>
  <si>
    <t>Multi-Fixed Payment Amount Leases</t>
  </si>
  <si>
    <t>This sheet is intended to provide date entry guidance related to certain lease situations that are not single component / single fixed payment leases.</t>
  </si>
  <si>
    <t>NOTE:  For single provision (component) / single fixed payment leases, select "None" from the list in column D</t>
  </si>
  <si>
    <t>4.  A Provision may have multiple payment records; refer to the Multiple Fixed Payment Amount Leases section below for that situation.</t>
  </si>
  <si>
    <t>Some leases define future changes in the payment amount in a manner that allow for the amount of the fixed payments to be determined in advance.</t>
  </si>
  <si>
    <t xml:space="preserve">For example, a lease may state that the payment will increase 3% per year (vs. an unknown CPI value) or it may specify the dollar amount of the </t>
  </si>
  <si>
    <t>payment (i.e., $10,000 for the 1st 5 years; $15,000 for the next 5 years; $20,000 for the last 5 years).</t>
  </si>
  <si>
    <t>This scenario may occur for a single provision (component) lease or a multi-provision (component) lease.</t>
  </si>
  <si>
    <t>Single Provision - Multiple Fixed Amounts</t>
  </si>
  <si>
    <t>In either scenario there will be multiple lines per provision.</t>
  </si>
  <si>
    <t>The entry rules for each scenario are a bit different as explained below:</t>
  </si>
  <si>
    <t>2.  Each payment amount for the provision MUST have the same Provision Reference (column U) and the same Provision Description (column V).</t>
  </si>
  <si>
    <t>3.  Within an agreement, for each row associated with the provision, select "Multi-Amount" in column D.  See the "Examples" sheet.</t>
  </si>
  <si>
    <t>4.  The selection in column D will carryover to column T to remind the user of the multi-record situation.</t>
  </si>
  <si>
    <t>5.  An abbreviated example appears as follows (in this example, the lease is for office space increasing 3% every 5 years for 15 years)</t>
  </si>
  <si>
    <t>Multi-Amount</t>
  </si>
  <si>
    <t>Payment
StartDate</t>
  </si>
  <si>
    <t>Payment
EndDate</t>
  </si>
  <si>
    <t>Payment StartDate</t>
  </si>
  <si>
    <t>Payment EndDate</t>
  </si>
  <si>
    <t>Straight-line</t>
  </si>
  <si>
    <t>6.  In this situation, all agreement column data values (columns D - AB) should be the same (it is all the same provision and reporting record; only the payment schedule changes).</t>
  </si>
  <si>
    <t>7.  Column T should reflect "Multi-Amount"</t>
  </si>
  <si>
    <t>8.  Note that columns AA and AB are the same for all records for the provision.</t>
  </si>
  <si>
    <t>11.  Columns AG and AH should be reflective of the payment schedule and should be different for each associated row.</t>
  </si>
  <si>
    <t>12.  Columns AI and AJ will be calculated for the individual row, but not for the overall group.</t>
  </si>
  <si>
    <t>13.  Columns AK - AO will be calculated when the data is imported.</t>
  </si>
  <si>
    <t>15.  Columns AQ - AW should be the same for all associated records.</t>
  </si>
  <si>
    <t>Multiple Provisions - Multiple Fixed Amounts</t>
  </si>
  <si>
    <t>This scenario occurs when a lease has multiple provisions (components) and one of more of those provisions has multiple pre-defined fixed payment amounts.</t>
  </si>
  <si>
    <t>2.  Each payment amount for the multi-payment provision MUST have the same Provision Reference (column U) and the same Provision Description (column V).</t>
  </si>
  <si>
    <r>
      <t xml:space="preserve">4.  Within an agreement, for each </t>
    </r>
    <r>
      <rPr>
        <b/>
        <sz val="11"/>
        <color theme="1"/>
        <rFont val="Calibri"/>
        <family val="2"/>
        <scheme val="minor"/>
      </rPr>
      <t>subsequent row</t>
    </r>
    <r>
      <rPr>
        <sz val="11"/>
        <color theme="1"/>
        <rFont val="Calibri"/>
        <family val="2"/>
        <scheme val="minor"/>
      </rPr>
      <t xml:space="preserve"> associated with the first row of the provision, select "Multi-Amount" in column D.  See the "Examples" sheet.</t>
    </r>
  </si>
  <si>
    <r>
      <t xml:space="preserve">3.  Within an agreement, the </t>
    </r>
    <r>
      <rPr>
        <b/>
        <sz val="11"/>
        <color theme="1"/>
        <rFont val="Calibri"/>
        <family val="2"/>
        <scheme val="minor"/>
      </rPr>
      <t>first row</t>
    </r>
    <r>
      <rPr>
        <sz val="11"/>
        <color theme="1"/>
        <rFont val="Calibri"/>
        <family val="2"/>
        <scheme val="minor"/>
      </rPr>
      <t xml:space="preserve"> of a multi-payment provision should have  "Multi-Provision" in column D.  See the "Examples" sheet.</t>
    </r>
  </si>
  <si>
    <t xml:space="preserve">      Note that the agreement is the same for all records , but key GASB Payment information is different.  The different provisions are highlighted.</t>
  </si>
  <si>
    <t xml:space="preserve">      Note that the agreement and provision information is the same for all records, but key GASB Payment information is different.</t>
  </si>
  <si>
    <t>Office Building</t>
  </si>
  <si>
    <t>Office space</t>
  </si>
  <si>
    <t>Utilities</t>
  </si>
  <si>
    <t>Utility expense</t>
  </si>
  <si>
    <t>9.  Column AC is expected to be different for each payment amount change.</t>
  </si>
  <si>
    <r>
      <t xml:space="preserve">10.  Columns AD - AF are expected to be the </t>
    </r>
    <r>
      <rPr>
        <b/>
        <sz val="11"/>
        <color theme="1"/>
        <rFont val="Calibri"/>
        <family val="2"/>
        <scheme val="minor"/>
      </rPr>
      <t>same</t>
    </r>
    <r>
      <rPr>
        <sz val="11"/>
        <color theme="1"/>
        <rFont val="Calibri"/>
        <family val="2"/>
        <scheme val="minor"/>
      </rPr>
      <t xml:space="preserve"> for all associated rows.</t>
    </r>
  </si>
  <si>
    <t>If entered, it should be entered for the first record of a provision only.</t>
  </si>
  <si>
    <t>16.  Complete the remaining columns as appropriate for the specific provision (component).</t>
  </si>
  <si>
    <t>14.  Column AP (RoU Asset Amount to be Amortized) will be calculated when the data is imported UNLESS a value is entered in this cell to override the calculated amount.</t>
  </si>
  <si>
    <t>Example Set 1:  Leases with a Single Provision (component) and a Single Pre-defined Fixed Payment Amount</t>
  </si>
  <si>
    <t>Example Set 2:  Leases with a Muliple Provisions (components) and each with a Single Pre-defined Fixed Payment Amount</t>
  </si>
  <si>
    <t>enter description of your choice</t>
  </si>
  <si>
    <t>PUBLIC-35467</t>
  </si>
  <si>
    <t>PUBLIC-37673</t>
  </si>
  <si>
    <t>Adjacent Land</t>
  </si>
  <si>
    <t>Utility services</t>
  </si>
  <si>
    <t>Land adjacent to office space</t>
  </si>
  <si>
    <t>Administrative offices</t>
  </si>
  <si>
    <t>Electric and water expenses</t>
  </si>
  <si>
    <t>Ford Explorer - VIN ####1</t>
  </si>
  <si>
    <t>Maintenance facility on the west side of OKC</t>
  </si>
  <si>
    <t>Example Set 4:  Leases with Mulitple Provisions (components) and with a Multiple Pre-defined Fixed Payment Amounts</t>
  </si>
  <si>
    <t>Example Set 3:  Leases with a Single Provision (component) and with a Multiple Pre-defined Fixed Payment Amounts</t>
  </si>
  <si>
    <t>000-2019-001</t>
  </si>
  <si>
    <t>000-2016-001</t>
  </si>
  <si>
    <t>000-2019 Police Car Agreement #000001</t>
  </si>
  <si>
    <t>000-2016 Office Rental - Tulsa</t>
  </si>
  <si>
    <t>000-1018 - Office Building &amp; Land Lease - PO 875893020</t>
  </si>
  <si>
    <t>000-2019 - Vehicle Lease - PO 263778921</t>
  </si>
  <si>
    <t>000-2019-005</t>
  </si>
  <si>
    <t>000-2018-001</t>
  </si>
  <si>
    <t>000-2020-012</t>
  </si>
  <si>
    <t>000-2020 - Maintenance Facility - OKC West - PO 245357289</t>
  </si>
  <si>
    <t>000-2020-025</t>
  </si>
  <si>
    <t>Tax assessment temporary offices</t>
  </si>
  <si>
    <t>temporary office until new building is completed</t>
  </si>
  <si>
    <t>adjacent land for parking</t>
  </si>
  <si>
    <t>Ford Expedition - VIN ####2</t>
  </si>
  <si>
    <t>Storage Area</t>
  </si>
  <si>
    <t>Storage area away from main builing</t>
  </si>
  <si>
    <t>Equip Garage</t>
  </si>
  <si>
    <t>Equipment garage</t>
  </si>
  <si>
    <t>5.  All single payment provisions should have "Multi-Provision" selected in column D.  All records for the agreement should be either "Multi-Provision" or "Multi-Amount".</t>
  </si>
  <si>
    <t>6.  The selection in column D will carryover to column T to remind the user of the multi-record situation.</t>
  </si>
  <si>
    <t>7.  An abbreviated example appears as follows (in this example, the lease is for land with a set increase of amounts, office space increasing 3% every 5 years for 15 years, and a utility expense provision)</t>
  </si>
  <si>
    <t>8.  In this situation, all agreement column data values (columns D - Q) should be the same (all provisions are the part of the same agreement).</t>
  </si>
  <si>
    <t>9.  Column R can be different, but should be the same within the same provision.</t>
  </si>
  <si>
    <t>10.  Columns D and  T should reflect "Multi-Provision" for the first record for a multi-payment provision and "Multi-Amount" for the remaining records of the associated provision.</t>
  </si>
  <si>
    <t>11.  Columns U and V should be different for each provision within the agreement, but the same for all associate provision records.</t>
  </si>
  <si>
    <t>12.  Column W can be the same or different for each set of provision records, but should be the same for all records associated with the same provision.</t>
  </si>
  <si>
    <t>13.  Note that columns AA and AB are the same for all records for an associated provision.</t>
  </si>
  <si>
    <t>14.  Column AC is expected to be different for each payment amount change.</t>
  </si>
  <si>
    <r>
      <t xml:space="preserve">15.  Columns AD - AF are expected to be the </t>
    </r>
    <r>
      <rPr>
        <b/>
        <sz val="11"/>
        <color theme="1"/>
        <rFont val="Calibri"/>
        <family val="2"/>
        <scheme val="minor"/>
      </rPr>
      <t>same</t>
    </r>
    <r>
      <rPr>
        <sz val="11"/>
        <color theme="1"/>
        <rFont val="Calibri"/>
        <family val="2"/>
        <scheme val="minor"/>
      </rPr>
      <t xml:space="preserve"> for all associated rows of the same provision.</t>
    </r>
  </si>
  <si>
    <t>16.  Columns AG and AH should be reflective of the payment schedule and should be different for each associated row.</t>
  </si>
  <si>
    <t>17.  Columns AI and AJ will be calculated for the individual row, but not for the overall group.</t>
  </si>
  <si>
    <t>18.  Columns AK - AO will be calculated when the data is imported.</t>
  </si>
  <si>
    <t>19.  Column AP (RoU Asset Amount to be Amortized) will be calculated when the data is imported UNLESS a value is entered in this cell to override the calculated amount.</t>
  </si>
  <si>
    <t>20.  Columns AQ - AW should be the same for all associated records of the same provision.</t>
  </si>
  <si>
    <t>21.  Complete the remaining columns as appropriate for the specific provision (component).</t>
  </si>
  <si>
    <t>The data entered into this template will be imported into the OMES PBRM lease reporting software application.</t>
  </si>
  <si>
    <t>The PBRM software application is a tool that allows OMES to consolidate lease reporting across all agencies.</t>
  </si>
  <si>
    <t>For single component / single fixed payment amount  leases, one row in the "Base Information" sheet can be used (refer to the "Examples" sheet).</t>
  </si>
  <si>
    <t>The PBRM software application / system mentioned below is a tool that allows OMES to consolidate lease reporting across all agencies.</t>
  </si>
  <si>
    <t>If lease extension or renewal options are to be included in the overall lease term in accordance with GASB87 extension rules (see OMES guidance), enter the latest end date of the included extensions.
If used, this should be the end date of last extension that is included in the lease term.</t>
  </si>
  <si>
    <t>If lease extension or renewal options are to be excluded from the overall lease term in accordance with GASB87 extension rules (see OMES guidance), enter the latest end date of the excluded extensions.
If used, this should be the end date of last extension that is excluded from the lease term.</t>
  </si>
  <si>
    <t>AgreementCode</t>
  </si>
  <si>
    <t>(required; unique)</t>
  </si>
  <si>
    <t>AgreementTitle</t>
  </si>
  <si>
    <t>Comments</t>
  </si>
  <si>
    <t xml:space="preserve"> (300 characters maximum)</t>
  </si>
  <si>
    <t>(50 characters)</t>
  </si>
  <si>
    <t>Enter leases in the list below that are to be excluded from GASB87 reporting along with the reason for the exclusion.</t>
  </si>
  <si>
    <t>Lease Reference</t>
  </si>
  <si>
    <t>Reason for Exclusion</t>
  </si>
  <si>
    <t>Agency</t>
  </si>
  <si>
    <t>DO NOT USE THIS ROW</t>
  </si>
  <si>
    <r>
      <t xml:space="preserve">If more rows are needed, insert rows </t>
    </r>
    <r>
      <rPr>
        <b/>
        <u/>
        <sz val="11"/>
        <color rgb="FFFF0000"/>
        <rFont val="Calibri"/>
        <family val="2"/>
        <scheme val="minor"/>
      </rPr>
      <t>ABOVE</t>
    </r>
    <r>
      <rPr>
        <sz val="11"/>
        <color theme="1"/>
        <rFont val="Calibri"/>
        <family val="2"/>
        <scheme val="minor"/>
      </rPr>
      <t xml:space="preserve"> this row and copy the formula from column A to those rows.</t>
    </r>
  </si>
  <si>
    <t>Description of Lease (optional)</t>
  </si>
  <si>
    <t xml:space="preserve">However, if a lease has multiple components and/or has pre-defined changing fixed payments (i.e., 3% increase per year or a set payment schedule), </t>
  </si>
  <si>
    <t>If new rows are needed, contact your OMES Financial Reporting Analyst.</t>
  </si>
  <si>
    <t>* - required</t>
  </si>
  <si>
    <t>*</t>
  </si>
  <si>
    <t xml:space="preserve">*
</t>
  </si>
  <si>
    <t>Email:</t>
  </si>
  <si>
    <t>Multi-Record2</t>
  </si>
  <si>
    <t>The Agreement Code is a required unique 12-character entry.
OK OMES has established a convention of:
     the 3 digit ageny code,
     a dash,
     the 4-digit starting year of the lease, 
     a dash, 
     a 3-digit numerical count of the lease for the ageny and year.
     No spaces.
As an example:  020-2020-004 would be the 4th lease starting in 2020 for ageny 020.
This convention will ensure a unique code across all agencies.
NOTE: If the lease count for an individual year exceeds 999; please contact OK OMES for instructions.
Exceptions:  See the "Multi-Record Entries" sheet / section for multi-provision leases and defined multi-amount payments.</t>
  </si>
  <si>
    <t>This is an optional 12-character Code to be used at the discretion of the ageny;
If the optional contract number or reference is more than 12 characters, it can be added to the Agreement Title or the Agreement Description at the discretion of the ageny.</t>
  </si>
  <si>
    <t>This template is intended for leases where the ageny is leasing an asset from another party.</t>
  </si>
  <si>
    <t>The Agreement Title is a required unique 75-character field.
OK OMES has established a convention of prefixing the Title with the 3-digit ageny code and 4-digit lease start year to help ensure uniqueness.
The remainder of the description is at the discretion of the ageny to help identify the lease.  Vendor or Tenant name may be included for reference as well as a PO Reference.
As an example: 131-2016 Office Rental - Tulsa; PO #######
Exception:  See the See "Multi-Record Entries" tab / section for multi-provision leases and defined multi-amount payments.</t>
  </si>
  <si>
    <t>Enter name of related party if this situation applies.</t>
  </si>
  <si>
    <t>Enter the lease number of the related lease if this situation applies.</t>
  </si>
  <si>
    <t>Calculated; no entry required</t>
  </si>
  <si>
    <t>ONLY if using usage base amortization method.  Enter total number of units upon which to base the amortization.
Contact OMES if this is being used.</t>
  </si>
  <si>
    <t>Enter the usage unit of measure ONLY if using the usage base amortization method.
Contact OMES if this is being used.</t>
  </si>
  <si>
    <t>ONLY if using Declining Balance Amortization Method, enter percentage.
Contact OMES if this is being used.</t>
  </si>
  <si>
    <r>
      <rPr>
        <b/>
        <sz val="11"/>
        <color theme="1"/>
        <rFont val="Calibri"/>
        <family val="2"/>
        <scheme val="minor"/>
      </rPr>
      <t>Required</t>
    </r>
    <r>
      <rPr>
        <sz val="11"/>
        <color theme="1"/>
        <rFont val="Calibri"/>
        <family val="2"/>
        <scheme val="minor"/>
      </rPr>
      <t>.  Generally, this should be the total capitalized value minus residual value.
The default can be overridden.</t>
    </r>
  </si>
  <si>
    <t>Enter a value ONLY if there is a residual value for the right of use asset.</t>
  </si>
  <si>
    <r>
      <rPr>
        <b/>
        <sz val="11"/>
        <color theme="1"/>
        <rFont val="Calibri"/>
        <family val="2"/>
        <scheme val="minor"/>
      </rPr>
      <t>Required</t>
    </r>
    <r>
      <rPr>
        <sz val="11"/>
        <color theme="1"/>
        <rFont val="Calibri"/>
        <family val="2"/>
        <scheme val="minor"/>
      </rPr>
      <t>.  This is the total capitalized amount of the right to use asset associated with the lease.
The default is the present value of the lease payments.
Amount can be overridden.</t>
    </r>
  </si>
  <si>
    <r>
      <rPr>
        <b/>
        <sz val="11"/>
        <color theme="1"/>
        <rFont val="Calibri"/>
        <family val="2"/>
        <scheme val="minor"/>
      </rPr>
      <t>Required</t>
    </r>
    <r>
      <rPr>
        <sz val="11"/>
        <color theme="1"/>
        <rFont val="Calibri"/>
        <family val="2"/>
        <scheme val="minor"/>
      </rPr>
      <t xml:space="preserve">. Generally this will be the same as the Reporting End Date.
</t>
    </r>
    <r>
      <rPr>
        <b/>
        <u/>
        <sz val="11"/>
        <color theme="1"/>
        <rFont val="Calibri"/>
        <family val="2"/>
        <scheme val="minor"/>
      </rPr>
      <t>NOTE</t>
    </r>
    <r>
      <rPr>
        <sz val="11"/>
        <color theme="1"/>
        <rFont val="Calibri"/>
        <family val="2"/>
        <scheme val="minor"/>
      </rPr>
      <t>: For multi-amount records, this date will be vary.</t>
    </r>
  </si>
  <si>
    <r>
      <rPr>
        <b/>
        <sz val="11"/>
        <color theme="1"/>
        <rFont val="Calibri"/>
        <family val="2"/>
        <scheme val="minor"/>
      </rPr>
      <t>Required</t>
    </r>
    <r>
      <rPr>
        <sz val="11"/>
        <color theme="1"/>
        <rFont val="Calibri"/>
        <family val="2"/>
        <scheme val="minor"/>
      </rPr>
      <t xml:space="preserve">. The start date of the current fixed payment amount.
This may be the lease start date or some date after that date.
</t>
    </r>
    <r>
      <rPr>
        <b/>
        <sz val="11"/>
        <color theme="1"/>
        <rFont val="Calibri"/>
        <family val="2"/>
        <scheme val="minor"/>
      </rPr>
      <t>This date must be equal to or before the Reporting Start Date.</t>
    </r>
    <r>
      <rPr>
        <sz val="11"/>
        <color theme="1"/>
        <rFont val="Calibri"/>
        <family val="2"/>
        <scheme val="minor"/>
      </rPr>
      <t xml:space="preserve">
</t>
    </r>
    <r>
      <rPr>
        <b/>
        <u/>
        <sz val="11"/>
        <color theme="1"/>
        <rFont val="Calibri"/>
        <family val="2"/>
        <scheme val="minor"/>
      </rPr>
      <t>NOTE</t>
    </r>
    <r>
      <rPr>
        <sz val="11"/>
        <color theme="1"/>
        <rFont val="Calibri"/>
        <family val="2"/>
        <scheme val="minor"/>
      </rPr>
      <t>: For multi-amount records, this date will be vary.</t>
    </r>
  </si>
  <si>
    <r>
      <rPr>
        <b/>
        <sz val="11"/>
        <color theme="1"/>
        <rFont val="Calibri"/>
        <family val="2"/>
        <scheme val="minor"/>
      </rPr>
      <t>Required</t>
    </r>
    <r>
      <rPr>
        <sz val="11"/>
        <color theme="1"/>
        <rFont val="Calibri"/>
        <family val="2"/>
        <scheme val="minor"/>
      </rPr>
      <t>. Generally the start date of agreement OR the first GASB 87 reporting period, whichever is LATER.</t>
    </r>
  </si>
  <si>
    <t xml:space="preserve">Y* = </t>
  </si>
  <si>
    <t>If the Reporting Type in column Y is equal to "None", then this field is blacked out and not required.</t>
  </si>
  <si>
    <t>Required; see drop-down list for valid choices
The value is defaulted to the Agreement Type, but can be overridden.</t>
  </si>
  <si>
    <t>Required; select a value from the list.
For single row records, select "None" from the dropdown list.
See "Multi-Record Entries" sheet for detail instructions for mulit-row records.</t>
  </si>
  <si>
    <t>Required; see drop-down list for valid choices</t>
  </si>
  <si>
    <t>Required; see drop-down list for valid choices
There are default settings based upon dates entered in columns L - Q (initial and included option dates).
The Reporting Type default setting can be overridden.
If the Reporting Type is set to "None", remaining fields are blacked out.</t>
  </si>
  <si>
    <t>Required; See drop-down list for valid choices.
The value is defaulted to the Provision Type, but can be overridden.</t>
  </si>
  <si>
    <t>Required. See drop-down list for valid choices.
This frequency should be in synch with the amount of the payment.
Note: The if the payment frequency is more frequent that once a month, convert the payments to monthly for this calculation and enter the monthly amount in column AC.
For example, if the payment is $1,000 per week, convert that to $4,333.33 per month (1,000 * 52 / 12).</t>
  </si>
  <si>
    <t>Required. See drop-down list for valid choices.
Advance = payment at the beginning of the period
Arrears = payment at the end of the period</t>
  </si>
  <si>
    <t>Required.  See drop-down list for valid choices.
Straight-line method is the standard and default.</t>
  </si>
  <si>
    <t>Required. See drop-down list for valid choices.</t>
  </si>
  <si>
    <t>Optional comments to document reasons for including or excluding option periods or why a lease does not meet the GASB87 reporting requirements and is excluded.
This is a 300-character free form text field.</t>
  </si>
  <si>
    <t>If lease extension or renewal options are to be excluded from the overall lease term in accordance with GASB87 extension rules (see OMES guidance), enter the earliest start date of the extensions.
If used, this should be one day after the initial period end date or one day after the included options end date.</t>
  </si>
  <si>
    <t>If lease extension or renewal options are to be included in the overall lease term in accordance with GASB87 extension rules (see OMES guidance), enter the earliest start date of the extensions.
If used, this should be one day after the initial period end date.</t>
  </si>
  <si>
    <r>
      <t>Initial end  date of the lease (</t>
    </r>
    <r>
      <rPr>
        <b/>
        <sz val="11"/>
        <color theme="1"/>
        <rFont val="Calibri"/>
        <family val="2"/>
        <scheme val="minor"/>
      </rPr>
      <t>required</t>
    </r>
    <r>
      <rPr>
        <sz val="11"/>
        <color theme="1"/>
        <rFont val="Calibri"/>
        <family val="2"/>
        <scheme val="minor"/>
      </rPr>
      <t>)
This is the end date of the initial non-cancellable term of the lease.</t>
    </r>
  </si>
  <si>
    <r>
      <t>Initial start date of the lease (</t>
    </r>
    <r>
      <rPr>
        <b/>
        <sz val="11"/>
        <color theme="1"/>
        <rFont val="Calibri"/>
        <family val="2"/>
        <scheme val="minor"/>
      </rPr>
      <t>required</t>
    </r>
    <r>
      <rPr>
        <sz val="11"/>
        <color theme="1"/>
        <rFont val="Calibri"/>
        <family val="2"/>
        <scheme val="minor"/>
      </rPr>
      <t>)</t>
    </r>
  </si>
  <si>
    <t>Optional free form text to describe the lease.  Vendor or tenant name may be included for reference; the PO may also be placed in this field if the ageny wishes to do so.  This is left to the discretion of the ageny.</t>
  </si>
  <si>
    <t>08500</t>
  </si>
  <si>
    <t>Oklahoma Broadband Office</t>
  </si>
  <si>
    <t>45500</t>
  </si>
  <si>
    <t>Medical Marijuana Authority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</si>
</sst>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lt;=9999999]###\-####;\(###\)\ ###\-####"/>
  </numFmts>
  <fonts count="15" x14ac:knownFonts="1">
    <font>
      <sz val="11"/>
      <color theme="1"/>
      <name val="Calibri"/>
      <family val="2"/>
      <scheme val="minor"/>
    </font>
    <font>
      <b/>
      <sz val="11"/>
      <color theme="1"/>
      <name val="Calibri"/>
      <family val="2"/>
      <scheme val="minor"/>
    </font>
    <font>
      <b/>
      <sz val="12"/>
      <color theme="1"/>
      <name val="Calibri"/>
      <family val="2"/>
      <scheme val="minor"/>
    </font>
    <font>
      <sz val="10"/>
      <color indexed="8"/>
      <name val="MS Sans Serif"/>
    </font>
    <font>
      <b/>
      <sz val="10"/>
      <color indexed="8"/>
      <name val="Arial"/>
      <family val="2"/>
    </font>
    <font>
      <sz val="10"/>
      <color theme="1"/>
      <name val="Calibri"/>
      <family val="2"/>
      <scheme val="minor"/>
    </font>
    <font>
      <sz val="9"/>
      <color indexed="81"/>
      <name val="Tahoma"/>
      <family val="2"/>
    </font>
    <font>
      <b/>
      <sz val="9"/>
      <color indexed="81"/>
      <name val="Tahoma"/>
      <family val="2"/>
    </font>
    <font>
      <sz val="11"/>
      <name val="Calibri"/>
      <family val="2"/>
      <scheme val="minor"/>
    </font>
    <font>
      <sz val="8"/>
      <name val="Calibri"/>
      <family val="2"/>
      <scheme val="minor"/>
    </font>
    <font>
      <b/>
      <sz val="11"/>
      <name val="Calibri"/>
      <family val="2"/>
      <scheme val="minor"/>
    </font>
    <font>
      <b/>
      <u/>
      <sz val="11"/>
      <color theme="1"/>
      <name val="Calibri"/>
      <family val="2"/>
      <scheme val="minor"/>
    </font>
    <font>
      <u/>
      <sz val="11"/>
      <color theme="1"/>
      <name val="Calibri"/>
      <family val="2"/>
      <scheme val="minor"/>
    </font>
    <font>
      <b/>
      <sz val="11"/>
      <color theme="0"/>
      <name val="Calibri"/>
      <family val="2"/>
      <scheme val="minor"/>
    </font>
    <font>
      <b/>
      <u/>
      <sz val="11"/>
      <color rgb="FFFF0000"/>
      <name val="Calibri"/>
      <family val="2"/>
      <scheme val="minor"/>
    </font>
  </fonts>
  <fills count="23">
    <fill>
      <patternFill patternType="none"/>
    </fill>
    <fill>
      <patternFill patternType="gray125"/>
    </fill>
    <fill>
      <patternFill patternType="solid">
        <fgColor theme="4" tint="0.59999389629810485"/>
        <bgColor indexed="64"/>
      </patternFill>
    </fill>
    <fill>
      <patternFill patternType="solid">
        <fgColor indexed="2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rgb="FFFF000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92D050"/>
        <bgColor indexed="64"/>
      </patternFill>
    </fill>
    <fill>
      <patternFill patternType="solid">
        <fgColor theme="7" tint="0.59999389629810485"/>
        <bgColor indexed="64"/>
      </patternFill>
    </fill>
    <fill>
      <patternFill patternType="solid">
        <fgColor theme="4"/>
        <bgColor theme="4"/>
      </patternFill>
    </fill>
    <fill>
      <patternFill patternType="solid">
        <fgColor theme="1"/>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theme="4" tint="0.39997558519241921"/>
      </top>
      <bottom style="thin">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3" fillId="0" borderId="0"/>
  </cellStyleXfs>
  <cellXfs count="154">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4" fillId="3" borderId="1" xfId="1" applyFont="1" applyFill="1" applyBorder="1" applyAlignment="1">
      <alignment horizontal="center" vertical="center"/>
    </xf>
    <xf numFmtId="0" fontId="5" fillId="0" borderId="0" xfId="0" applyFont="1" applyBorder="1" applyAlignment="1">
      <alignment horizontal="left" vertical="center" indent="1"/>
    </xf>
    <xf numFmtId="0" fontId="0" fillId="0" borderId="0" xfId="0" applyBorder="1"/>
    <xf numFmtId="0" fontId="4" fillId="0" borderId="4" xfId="1" applyFont="1" applyBorder="1" applyAlignment="1">
      <alignment horizontal="center" vertical="center" wrapText="1"/>
    </xf>
    <xf numFmtId="0" fontId="2" fillId="2" borderId="3" xfId="0" applyFont="1" applyFill="1" applyBorder="1" applyAlignment="1">
      <alignment horizontal="centerContinuous" vertical="center" wrapText="1"/>
    </xf>
    <xf numFmtId="0" fontId="2" fillId="2" borderId="5" xfId="0" applyFont="1" applyFill="1" applyBorder="1" applyAlignment="1">
      <alignment horizontal="centerContinuous" vertical="center" wrapText="1"/>
    </xf>
    <xf numFmtId="0" fontId="0" fillId="2" borderId="5" xfId="0" applyFill="1" applyBorder="1" applyAlignment="1">
      <alignment horizontal="centerContinuous"/>
    </xf>
    <xf numFmtId="0" fontId="0" fillId="2" borderId="2" xfId="0" applyFill="1" applyBorder="1" applyAlignment="1">
      <alignment horizontal="centerContinuous"/>
    </xf>
    <xf numFmtId="0" fontId="0" fillId="0" borderId="0" xfId="0" applyAlignment="1">
      <alignment wrapText="1"/>
    </xf>
    <xf numFmtId="0" fontId="1" fillId="0" borderId="0" xfId="0" applyFont="1" applyAlignment="1">
      <alignment vertical="center"/>
    </xf>
    <xf numFmtId="0" fontId="0" fillId="0" borderId="0" xfId="0" applyAlignment="1">
      <alignment horizontal="center" wrapText="1"/>
    </xf>
    <xf numFmtId="0" fontId="0" fillId="0" borderId="0" xfId="0" applyNumberFormat="1"/>
    <xf numFmtId="14" fontId="0" fillId="0" borderId="0" xfId="0" applyNumberFormat="1" applyAlignment="1">
      <alignment horizontal="center"/>
    </xf>
    <xf numFmtId="14" fontId="0" fillId="0" borderId="0" xfId="0" applyNumberFormat="1"/>
    <xf numFmtId="14" fontId="0" fillId="0" borderId="0" xfId="0" applyNumberFormat="1" applyAlignment="1">
      <alignment horizontal="center" wrapText="1"/>
    </xf>
    <xf numFmtId="4" fontId="0" fillId="0" borderId="0" xfId="0" applyNumberFormat="1"/>
    <xf numFmtId="10" fontId="0" fillId="0" borderId="0" xfId="0" applyNumberFormat="1"/>
    <xf numFmtId="10" fontId="0" fillId="0" borderId="0" xfId="0" applyNumberFormat="1" applyAlignment="1">
      <alignment horizontal="center" wrapText="1"/>
    </xf>
    <xf numFmtId="4" fontId="0" fillId="0" borderId="0" xfId="0" applyNumberFormat="1" applyAlignment="1">
      <alignment horizontal="center" wrapText="1"/>
    </xf>
    <xf numFmtId="0" fontId="0" fillId="8" borderId="0" xfId="0" applyNumberFormat="1" applyFill="1" applyAlignment="1">
      <alignment horizontal="center" wrapText="1"/>
    </xf>
    <xf numFmtId="4" fontId="0" fillId="8" borderId="0" xfId="0" applyNumberFormat="1" applyFill="1" applyAlignment="1">
      <alignment horizontal="center" wrapText="1"/>
    </xf>
    <xf numFmtId="0" fontId="0" fillId="0" borderId="0" xfId="0" applyNumberFormat="1" applyAlignment="1">
      <alignment horizontal="center"/>
    </xf>
    <xf numFmtId="0" fontId="1" fillId="6" borderId="6" xfId="0" applyFont="1" applyFill="1" applyBorder="1" applyAlignment="1">
      <alignment horizontal="center"/>
    </xf>
    <xf numFmtId="9" fontId="0" fillId="0" borderId="0" xfId="0" applyNumberFormat="1"/>
    <xf numFmtId="0" fontId="0" fillId="9" borderId="0" xfId="0" applyFill="1" applyAlignment="1">
      <alignment horizontal="center" wrapText="1"/>
    </xf>
    <xf numFmtId="0" fontId="1" fillId="10" borderId="3" xfId="0" applyNumberFormat="1" applyFont="1" applyFill="1" applyBorder="1" applyAlignment="1">
      <alignment horizontal="centerContinuous"/>
    </xf>
    <xf numFmtId="0" fontId="0" fillId="10" borderId="5" xfId="0" applyNumberFormat="1" applyFill="1" applyBorder="1" applyAlignment="1">
      <alignment horizontal="centerContinuous"/>
    </xf>
    <xf numFmtId="0" fontId="0" fillId="10" borderId="2" xfId="0" applyFill="1" applyBorder="1" applyAlignment="1">
      <alignment horizontal="centerContinuous"/>
    </xf>
    <xf numFmtId="0" fontId="1" fillId="11" borderId="6" xfId="0" applyFont="1" applyFill="1" applyBorder="1" applyAlignment="1">
      <alignment horizontal="center"/>
    </xf>
    <xf numFmtId="0" fontId="0" fillId="12" borderId="1" xfId="0" applyFill="1" applyBorder="1" applyAlignment="1">
      <alignment horizontal="center" vertical="top" wrapText="1"/>
    </xf>
    <xf numFmtId="0" fontId="10" fillId="12" borderId="1" xfId="0" applyFont="1" applyFill="1" applyBorder="1" applyAlignment="1">
      <alignment vertical="top" wrapText="1"/>
    </xf>
    <xf numFmtId="0" fontId="0" fillId="2" borderId="1" xfId="0" applyFill="1" applyBorder="1" applyAlignment="1">
      <alignment horizontal="center" vertical="top" wrapText="1"/>
    </xf>
    <xf numFmtId="14" fontId="10" fillId="2" borderId="1" xfId="0" applyNumberFormat="1" applyFont="1" applyFill="1" applyBorder="1" applyAlignment="1">
      <alignment vertical="top" wrapText="1"/>
    </xf>
    <xf numFmtId="0" fontId="10" fillId="2" borderId="1" xfId="0" applyFont="1" applyFill="1" applyBorder="1" applyAlignment="1">
      <alignment vertical="top" wrapText="1"/>
    </xf>
    <xf numFmtId="0" fontId="0" fillId="13" borderId="1" xfId="0" applyFill="1" applyBorder="1" applyAlignment="1">
      <alignment horizontal="center" vertical="top" wrapText="1"/>
    </xf>
    <xf numFmtId="0" fontId="10" fillId="13" borderId="1" xfId="0" applyFont="1" applyFill="1" applyBorder="1" applyAlignment="1">
      <alignment vertical="top" wrapText="1"/>
    </xf>
    <xf numFmtId="0" fontId="0" fillId="14" borderId="1" xfId="0" applyFill="1" applyBorder="1" applyAlignment="1">
      <alignment horizontal="center" vertical="top" wrapText="1"/>
    </xf>
    <xf numFmtId="0" fontId="10" fillId="14" borderId="1" xfId="0" applyFont="1" applyFill="1" applyBorder="1" applyAlignment="1">
      <alignment vertical="top" wrapText="1"/>
    </xf>
    <xf numFmtId="14" fontId="10" fillId="14" borderId="1" xfId="0" applyNumberFormat="1" applyFont="1" applyFill="1" applyBorder="1" applyAlignment="1">
      <alignment vertical="top" wrapText="1"/>
    </xf>
    <xf numFmtId="4" fontId="10" fillId="14" borderId="1" xfId="0" applyNumberFormat="1" applyFont="1" applyFill="1" applyBorder="1" applyAlignment="1">
      <alignment vertical="top" wrapText="1"/>
    </xf>
    <xf numFmtId="10" fontId="10" fillId="14" borderId="1" xfId="0" applyNumberFormat="1" applyFont="1" applyFill="1" applyBorder="1" applyAlignment="1">
      <alignment vertical="top" wrapText="1"/>
    </xf>
    <xf numFmtId="0" fontId="10" fillId="14" borderId="1" xfId="0" applyNumberFormat="1" applyFont="1" applyFill="1" applyBorder="1" applyAlignment="1">
      <alignment vertical="top" wrapText="1"/>
    </xf>
    <xf numFmtId="0" fontId="0" fillId="7" borderId="1" xfId="0" applyFill="1" applyBorder="1" applyAlignment="1">
      <alignment horizontal="center" vertical="top" wrapText="1"/>
    </xf>
    <xf numFmtId="0" fontId="10" fillId="7" borderId="1" xfId="0" applyFont="1" applyFill="1" applyBorder="1" applyAlignment="1">
      <alignment vertical="top" wrapText="1"/>
    </xf>
    <xf numFmtId="0" fontId="10" fillId="12" borderId="1" xfId="0" applyFont="1" applyFill="1" applyBorder="1" applyAlignment="1">
      <alignment horizontal="center" vertical="top" wrapText="1"/>
    </xf>
    <xf numFmtId="0" fontId="0" fillId="0" borderId="1" xfId="0" applyBorder="1" applyAlignment="1">
      <alignment vertical="top" wrapText="1"/>
    </xf>
    <xf numFmtId="14" fontId="10" fillId="2" borderId="1" xfId="0" applyNumberFormat="1" applyFont="1" applyFill="1" applyBorder="1" applyAlignment="1">
      <alignment horizontal="center" vertical="top" wrapText="1"/>
    </xf>
    <xf numFmtId="0" fontId="10" fillId="2" borderId="1" xfId="0" applyFont="1" applyFill="1" applyBorder="1" applyAlignment="1">
      <alignment horizontal="center" vertical="top" wrapText="1"/>
    </xf>
    <xf numFmtId="0" fontId="10" fillId="13" borderId="1" xfId="0" applyFont="1" applyFill="1" applyBorder="1" applyAlignment="1">
      <alignment horizontal="center" vertical="top" wrapText="1"/>
    </xf>
    <xf numFmtId="0" fontId="10" fillId="14" borderId="1" xfId="0" applyFont="1" applyFill="1" applyBorder="1" applyAlignment="1">
      <alignment horizontal="center" vertical="top" wrapText="1"/>
    </xf>
    <xf numFmtId="14" fontId="10" fillId="14" borderId="1" xfId="0" applyNumberFormat="1" applyFont="1" applyFill="1" applyBorder="1" applyAlignment="1">
      <alignment horizontal="center" vertical="top" wrapText="1"/>
    </xf>
    <xf numFmtId="4" fontId="10" fillId="14" borderId="1" xfId="0" applyNumberFormat="1" applyFont="1" applyFill="1" applyBorder="1" applyAlignment="1">
      <alignment horizontal="center" vertical="top" wrapText="1"/>
    </xf>
    <xf numFmtId="0" fontId="10" fillId="14" borderId="1" xfId="0" applyNumberFormat="1" applyFont="1" applyFill="1" applyBorder="1" applyAlignment="1">
      <alignment horizontal="center" vertical="top" wrapText="1"/>
    </xf>
    <xf numFmtId="0" fontId="10" fillId="7" borderId="1" xfId="0" applyFont="1" applyFill="1" applyBorder="1" applyAlignment="1">
      <alignment horizontal="center" vertical="top" wrapText="1"/>
    </xf>
    <xf numFmtId="0" fontId="1" fillId="16" borderId="0" xfId="0" applyFont="1" applyFill="1"/>
    <xf numFmtId="0" fontId="0" fillId="16" borderId="0" xfId="0" applyFill="1"/>
    <xf numFmtId="14" fontId="0" fillId="16" borderId="0" xfId="0" applyNumberFormat="1" applyFill="1"/>
    <xf numFmtId="0" fontId="0" fillId="16" borderId="0" xfId="0" applyFill="1" applyAlignment="1">
      <alignment horizontal="center"/>
    </xf>
    <xf numFmtId="4" fontId="0" fillId="16" borderId="0" xfId="0" applyNumberFormat="1" applyFill="1"/>
    <xf numFmtId="0" fontId="0" fillId="16" borderId="0" xfId="0" applyNumberFormat="1" applyFill="1"/>
    <xf numFmtId="0" fontId="0" fillId="0" borderId="0" xfId="0" applyFont="1"/>
    <xf numFmtId="0" fontId="1" fillId="16" borderId="0" xfId="0" applyFont="1" applyFill="1" applyAlignment="1"/>
    <xf numFmtId="0" fontId="0" fillId="5" borderId="1" xfId="0" applyFill="1" applyBorder="1" applyProtection="1">
      <protection locked="0"/>
    </xf>
    <xf numFmtId="164" fontId="0" fillId="5" borderId="1" xfId="0" applyNumberFormat="1" applyFill="1" applyBorder="1" applyAlignment="1" applyProtection="1">
      <alignment vertical="center"/>
      <protection locked="0"/>
    </xf>
    <xf numFmtId="164" fontId="0" fillId="4" borderId="1" xfId="0" applyNumberFormat="1" applyFill="1" applyBorder="1" applyAlignment="1" applyProtection="1">
      <alignment vertical="center"/>
      <protection locked="0"/>
    </xf>
    <xf numFmtId="0" fontId="13" fillId="17" borderId="7" xfId="0" applyFont="1" applyFill="1" applyBorder="1"/>
    <xf numFmtId="0" fontId="1" fillId="12" borderId="3" xfId="0" applyFont="1" applyFill="1" applyBorder="1" applyAlignment="1">
      <alignment horizontal="centerContinuous"/>
    </xf>
    <xf numFmtId="0" fontId="0" fillId="12" borderId="5" xfId="0" applyFill="1" applyBorder="1" applyAlignment="1">
      <alignment horizontal="centerContinuous"/>
    </xf>
    <xf numFmtId="14" fontId="0" fillId="2" borderId="5" xfId="0" applyNumberFormat="1" applyFill="1" applyBorder="1" applyAlignment="1">
      <alignment horizontal="centerContinuous"/>
    </xf>
    <xf numFmtId="14" fontId="0" fillId="2" borderId="2" xfId="0" applyNumberFormat="1" applyFill="1" applyBorder="1" applyAlignment="1">
      <alignment horizontal="centerContinuous"/>
    </xf>
    <xf numFmtId="0" fontId="8" fillId="2" borderId="5" xfId="0" applyFont="1" applyFill="1" applyBorder="1"/>
    <xf numFmtId="0" fontId="10" fillId="2" borderId="5" xfId="0" applyFont="1" applyFill="1" applyBorder="1"/>
    <xf numFmtId="0" fontId="1" fillId="13" borderId="3" xfId="0" applyFont="1" applyFill="1" applyBorder="1" applyAlignment="1">
      <alignment horizontal="centerContinuous"/>
    </xf>
    <xf numFmtId="0" fontId="1" fillId="13" borderId="5" xfId="0" applyFont="1" applyFill="1" applyBorder="1" applyAlignment="1">
      <alignment horizontal="centerContinuous"/>
    </xf>
    <xf numFmtId="0" fontId="0" fillId="13" borderId="5" xfId="0" applyFill="1" applyBorder="1" applyAlignment="1">
      <alignment horizontal="centerContinuous"/>
    </xf>
    <xf numFmtId="0" fontId="0" fillId="13" borderId="2" xfId="0" applyFill="1" applyBorder="1" applyAlignment="1">
      <alignment horizontal="centerContinuous"/>
    </xf>
    <xf numFmtId="0" fontId="10" fillId="14" borderId="3" xfId="0" applyFont="1" applyFill="1" applyBorder="1"/>
    <xf numFmtId="0" fontId="8" fillId="14" borderId="5" xfId="0" applyFont="1" applyFill="1" applyBorder="1"/>
    <xf numFmtId="14" fontId="8" fillId="14" borderId="5" xfId="0" applyNumberFormat="1" applyFont="1" applyFill="1" applyBorder="1"/>
    <xf numFmtId="4" fontId="8" fillId="14" borderId="5" xfId="0" applyNumberFormat="1" applyFont="1" applyFill="1" applyBorder="1"/>
    <xf numFmtId="0" fontId="10" fillId="14" borderId="5" xfId="0" applyFont="1" applyFill="1" applyBorder="1"/>
    <xf numFmtId="10" fontId="8" fillId="14" borderId="5" xfId="0" applyNumberFormat="1" applyFont="1" applyFill="1" applyBorder="1"/>
    <xf numFmtId="14" fontId="10" fillId="14" borderId="5" xfId="0" applyNumberFormat="1" applyFont="1" applyFill="1" applyBorder="1"/>
    <xf numFmtId="0" fontId="8" fillId="14" borderId="5" xfId="0" applyFont="1" applyFill="1" applyBorder="1" applyAlignment="1">
      <alignment horizontal="center"/>
    </xf>
    <xf numFmtId="0" fontId="8" fillId="7" borderId="5" xfId="0" applyFont="1" applyFill="1" applyBorder="1" applyAlignment="1">
      <alignment horizontal="center"/>
    </xf>
    <xf numFmtId="0" fontId="0" fillId="0" borderId="0" xfId="0" applyAlignment="1">
      <alignment horizontal="left" indent="1"/>
    </xf>
    <xf numFmtId="0" fontId="0" fillId="0" borderId="0" xfId="0" applyAlignment="1">
      <alignment horizontal="left" indent="2"/>
    </xf>
    <xf numFmtId="0" fontId="13" fillId="17" borderId="7" xfId="0" applyFont="1" applyFill="1" applyBorder="1" applyAlignment="1">
      <alignment horizontal="center" wrapText="1"/>
    </xf>
    <xf numFmtId="0" fontId="13" fillId="17" borderId="7" xfId="0" applyFont="1" applyFill="1" applyBorder="1" applyAlignment="1">
      <alignment wrapText="1"/>
    </xf>
    <xf numFmtId="0" fontId="1" fillId="0" borderId="0" xfId="0" applyFont="1" applyAlignment="1">
      <alignment horizontal="left" indent="1"/>
    </xf>
    <xf numFmtId="14" fontId="13" fillId="17" borderId="7" xfId="0" applyNumberFormat="1" applyFont="1" applyFill="1" applyBorder="1" applyAlignment="1">
      <alignment horizontal="center" wrapText="1"/>
    </xf>
    <xf numFmtId="4" fontId="13" fillId="17" borderId="7" xfId="0" applyNumberFormat="1" applyFont="1" applyFill="1" applyBorder="1" applyAlignment="1">
      <alignment horizontal="center" wrapText="1"/>
    </xf>
    <xf numFmtId="10" fontId="13" fillId="17" borderId="7" xfId="0" applyNumberFormat="1" applyFont="1" applyFill="1" applyBorder="1" applyAlignment="1">
      <alignment horizontal="center" wrapText="1"/>
    </xf>
    <xf numFmtId="0" fontId="0" fillId="0" borderId="0" xfId="0" applyFont="1" applyAlignment="1">
      <alignment horizontal="left" indent="1"/>
    </xf>
    <xf numFmtId="0" fontId="0" fillId="18" borderId="0" xfId="0" applyFill="1"/>
    <xf numFmtId="0" fontId="0" fillId="4" borderId="0" xfId="0" applyFill="1"/>
    <xf numFmtId="14" fontId="0" fillId="4" borderId="0" xfId="0" applyNumberFormat="1" applyFill="1"/>
    <xf numFmtId="4" fontId="0" fillId="4" borderId="0" xfId="0" applyNumberFormat="1" applyFill="1"/>
    <xf numFmtId="10" fontId="0" fillId="4" borderId="0" xfId="0" applyNumberFormat="1" applyFill="1"/>
    <xf numFmtId="0" fontId="0" fillId="19" borderId="0" xfId="0" applyFill="1"/>
    <xf numFmtId="14" fontId="0" fillId="19" borderId="0" xfId="0" applyNumberFormat="1" applyFill="1"/>
    <xf numFmtId="4" fontId="0" fillId="19" borderId="0" xfId="0" applyNumberFormat="1" applyFill="1"/>
    <xf numFmtId="10" fontId="0" fillId="19" borderId="0" xfId="0" applyNumberFormat="1" applyFill="1"/>
    <xf numFmtId="0" fontId="0" fillId="0" borderId="0" xfId="0" applyAlignment="1">
      <alignment horizontal="left" indent="4"/>
    </xf>
    <xf numFmtId="0" fontId="1" fillId="7" borderId="0" xfId="0" applyFont="1" applyFill="1"/>
    <xf numFmtId="0" fontId="0" fillId="7" borderId="0" xfId="0" applyFill="1"/>
    <xf numFmtId="14" fontId="0" fillId="7" borderId="0" xfId="0" applyNumberFormat="1" applyFill="1"/>
    <xf numFmtId="0" fontId="0" fillId="7" borderId="0" xfId="0" applyFill="1" applyAlignment="1">
      <alignment horizontal="center"/>
    </xf>
    <xf numFmtId="0" fontId="1" fillId="6" borderId="0" xfId="0" applyFont="1" applyFill="1" applyAlignment="1">
      <alignment horizontal="left" indent="2"/>
    </xf>
    <xf numFmtId="0" fontId="1" fillId="6" borderId="0" xfId="0" applyFont="1" applyFill="1"/>
    <xf numFmtId="0" fontId="0" fillId="4" borderId="0" xfId="0" applyNumberFormat="1" applyFill="1"/>
    <xf numFmtId="0" fontId="0" fillId="4" borderId="0" xfId="0" applyNumberFormat="1" applyFill="1" applyAlignment="1">
      <alignment horizontal="center"/>
    </xf>
    <xf numFmtId="0" fontId="0" fillId="4" borderId="0" xfId="0" applyFill="1" applyAlignment="1">
      <alignment horizontal="center"/>
    </xf>
    <xf numFmtId="0" fontId="0" fillId="20" borderId="0" xfId="0" applyFill="1" applyAlignment="1">
      <alignment horizontal="center"/>
    </xf>
    <xf numFmtId="0" fontId="0" fillId="20" borderId="0" xfId="0" applyFill="1"/>
    <xf numFmtId="0" fontId="0" fillId="0" borderId="0" xfId="0" applyProtection="1">
      <protection locked="0"/>
    </xf>
    <xf numFmtId="0" fontId="0" fillId="0" borderId="0" xfId="0" applyProtection="1"/>
    <xf numFmtId="14" fontId="0" fillId="0" borderId="0" xfId="0" applyNumberFormat="1" applyProtection="1">
      <protection locked="0"/>
    </xf>
    <xf numFmtId="0" fontId="0" fillId="0" borderId="0" xfId="0" applyAlignment="1" applyProtection="1">
      <alignment horizontal="center"/>
      <protection locked="0"/>
    </xf>
    <xf numFmtId="4" fontId="0" fillId="0" borderId="0" xfId="0" applyNumberFormat="1" applyProtection="1">
      <protection locked="0"/>
    </xf>
    <xf numFmtId="10" fontId="0" fillId="0" borderId="0" xfId="0" applyNumberFormat="1" applyProtection="1">
      <protection locked="0"/>
    </xf>
    <xf numFmtId="0" fontId="0" fillId="0" borderId="0" xfId="0" applyNumberFormat="1" applyProtection="1">
      <protection locked="0"/>
    </xf>
    <xf numFmtId="0" fontId="0" fillId="0" borderId="0" xfId="0" applyNumberFormat="1" applyAlignment="1" applyProtection="1">
      <alignment horizontal="center"/>
      <protection locked="0"/>
    </xf>
    <xf numFmtId="0" fontId="1" fillId="21" borderId="3" xfId="0" applyFont="1" applyFill="1" applyBorder="1"/>
    <xf numFmtId="0" fontId="1" fillId="21" borderId="5" xfId="0" applyFont="1" applyFill="1" applyBorder="1"/>
    <xf numFmtId="0" fontId="1" fillId="21" borderId="2" xfId="0" applyFont="1" applyFill="1" applyBorder="1"/>
    <xf numFmtId="0" fontId="0" fillId="0" borderId="0" xfId="0" applyAlignment="1">
      <alignment vertical="top"/>
    </xf>
    <xf numFmtId="0" fontId="0" fillId="0" borderId="0" xfId="0" applyAlignment="1">
      <alignment vertical="top" wrapText="1"/>
    </xf>
    <xf numFmtId="0" fontId="0" fillId="21" borderId="3" xfId="0" applyFill="1" applyBorder="1" applyAlignment="1">
      <alignment vertical="top"/>
    </xf>
    <xf numFmtId="0" fontId="0" fillId="21" borderId="5" xfId="0" applyFill="1" applyBorder="1" applyAlignment="1">
      <alignment vertical="top" wrapText="1"/>
    </xf>
    <xf numFmtId="0" fontId="0" fillId="21" borderId="2" xfId="0" applyFill="1" applyBorder="1" applyAlignment="1">
      <alignment vertical="top" wrapText="1"/>
    </xf>
    <xf numFmtId="0" fontId="0" fillId="0" borderId="0" xfId="0" applyAlignment="1" applyProtection="1">
      <alignment vertical="top" wrapText="1"/>
      <protection locked="0"/>
    </xf>
    <xf numFmtId="0" fontId="0" fillId="22" borderId="0" xfId="0" applyFill="1" applyAlignment="1">
      <alignment horizontal="center"/>
    </xf>
    <xf numFmtId="0" fontId="0" fillId="22" borderId="0" xfId="0" applyFill="1"/>
    <xf numFmtId="0" fontId="1" fillId="22" borderId="0" xfId="0" applyFont="1" applyFill="1" applyAlignment="1">
      <alignment horizontal="center"/>
    </xf>
    <xf numFmtId="0" fontId="1" fillId="22" borderId="0" xfId="0" applyFont="1" applyFill="1"/>
    <xf numFmtId="0" fontId="10" fillId="15" borderId="3" xfId="0" applyFont="1" applyFill="1" applyBorder="1" applyAlignment="1">
      <alignment horizontal="left"/>
    </xf>
    <xf numFmtId="0" fontId="10" fillId="15" borderId="5" xfId="0" applyFont="1" applyFill="1" applyBorder="1"/>
    <xf numFmtId="0" fontId="10" fillId="15" borderId="5" xfId="0" applyFont="1" applyFill="1" applyBorder="1" applyAlignment="1">
      <alignment horizontal="center"/>
    </xf>
    <xf numFmtId="0" fontId="10" fillId="15" borderId="2" xfId="0" applyFont="1" applyFill="1" applyBorder="1"/>
    <xf numFmtId="0" fontId="0" fillId="22" borderId="8" xfId="0" applyFont="1" applyFill="1" applyBorder="1" applyAlignment="1">
      <alignment horizontal="center"/>
    </xf>
    <xf numFmtId="0" fontId="0" fillId="22" borderId="0" xfId="0" applyFont="1" applyFill="1" applyBorder="1"/>
    <xf numFmtId="0" fontId="0" fillId="22" borderId="0" xfId="0" applyFont="1" applyFill="1" applyBorder="1" applyAlignment="1">
      <alignment horizontal="center"/>
    </xf>
    <xf numFmtId="0" fontId="0" fillId="22" borderId="9" xfId="0" applyFont="1" applyFill="1" applyBorder="1"/>
    <xf numFmtId="0" fontId="1" fillId="22" borderId="0" xfId="0" applyFont="1" applyFill="1" applyBorder="1" applyAlignment="1">
      <alignment horizontal="left" indent="2"/>
    </xf>
    <xf numFmtId="0" fontId="0" fillId="22" borderId="10" xfId="0" applyFont="1" applyFill="1" applyBorder="1" applyAlignment="1">
      <alignment horizontal="center"/>
    </xf>
    <xf numFmtId="0" fontId="0" fillId="22" borderId="11" xfId="0" applyFont="1" applyFill="1" applyBorder="1"/>
    <xf numFmtId="0" fontId="0" fillId="22" borderId="11" xfId="0" applyFont="1" applyFill="1" applyBorder="1" applyAlignment="1">
      <alignment horizontal="center"/>
    </xf>
    <xf numFmtId="0" fontId="0" fillId="22" borderId="12" xfId="0" applyFont="1" applyFill="1" applyBorder="1"/>
    <xf numFmtId="0" fontId="5" fillId="0" borderId="0" xfId="0" quotePrefix="1" applyFont="1" applyBorder="1" applyAlignment="1">
      <alignment horizontal="left" vertical="center" indent="1"/>
    </xf>
  </cellXfs>
  <cellStyles count="2">
    <cellStyle name="Normal" xfId="0" builtinId="0"/>
    <cellStyle name="Normal_Sheet2" xfId="1" xr:uid="{00000000-0005-0000-0000-000001000000}"/>
  </cellStyles>
  <dxfs count="208">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ill>
        <patternFill>
          <bgColor theme="1"/>
        </patternFill>
      </fill>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ill>
        <patternFill>
          <bgColor theme="1"/>
        </patternFill>
      </fill>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ill>
        <patternFill>
          <bgColor theme="1"/>
        </patternFill>
      </fill>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92D05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numFmt numFmtId="0" formatCode="General"/>
    </dxf>
    <dxf>
      <font>
        <b/>
        <i val="0"/>
        <strike val="0"/>
        <condense val="0"/>
        <extend val="0"/>
        <outline val="0"/>
        <shadow val="0"/>
        <u val="none"/>
        <vertAlign val="baseline"/>
        <sz val="11"/>
        <color theme="1"/>
        <name val="Calibri"/>
        <scheme val="minor"/>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dxf>
    <dxf>
      <numFmt numFmtId="0" formatCode="General"/>
    </dxf>
    <dxf>
      <font>
        <b val="0"/>
        <i val="0"/>
        <strike val="0"/>
        <condense val="0"/>
        <extend val="0"/>
        <outline val="0"/>
        <shadow val="0"/>
        <u val="none"/>
        <vertAlign val="baseline"/>
        <sz val="10"/>
        <color theme="1"/>
        <name val="Calibri"/>
        <scheme val="minor"/>
      </font>
      <alignment horizontal="left" vertical="center" textRotation="0" wrapText="0" indent="1" justifyLastLine="0" shrinkToFit="0" readingOrder="0"/>
    </dxf>
    <dxf>
      <font>
        <b val="0"/>
        <i val="0"/>
        <strike val="0"/>
        <condense val="0"/>
        <extend val="0"/>
        <outline val="0"/>
        <shadow val="0"/>
        <u val="none"/>
        <vertAlign val="baseline"/>
        <sz val="10"/>
        <color theme="1"/>
        <name val="Calibri"/>
        <scheme val="minor"/>
      </font>
      <alignment horizontal="left" vertical="center" textRotation="0" wrapText="0" indent="1" justifyLastLine="0" shrinkToFit="0" readingOrder="0"/>
    </dxf>
    <dxf>
      <border>
        <bottom style="thin">
          <color indexed="64"/>
        </bottom>
      </border>
    </dxf>
    <dxf>
      <font>
        <b/>
        <i val="0"/>
        <strike val="0"/>
        <condense val="0"/>
        <extend val="0"/>
        <outline val="0"/>
        <shadow val="0"/>
        <u val="none"/>
        <vertAlign val="baseline"/>
        <sz val="10"/>
        <color indexed="8"/>
        <name val="Arial"/>
        <scheme val="none"/>
      </font>
      <fill>
        <patternFill patternType="solid">
          <fgColor indexed="64"/>
          <bgColor indexed="2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alignment horizontal="center" vertical="bottom" textRotation="0" indent="0" justifyLastLine="0" shrinkToFit="0" readingOrder="0"/>
    </dxf>
    <dxf>
      <numFmt numFmtId="0" formatCode="General"/>
    </dxf>
    <dxf>
      <alignment horizontal="center" vertical="bottom" textRotation="0" indent="0" justifyLastLine="0" shrinkToFit="0" readingOrder="0"/>
    </dxf>
    <dxf>
      <numFmt numFmtId="19" formatCode="m/d/yyyy"/>
    </dxf>
    <dxf>
      <numFmt numFmtId="19" formatCode="m/d/yyyy"/>
    </dxf>
    <dxf>
      <numFmt numFmtId="0" formatCode="General"/>
    </dxf>
    <dxf>
      <numFmt numFmtId="0" formatCode="General"/>
    </dxf>
    <dxf>
      <numFmt numFmtId="0" formatCode="General"/>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0" formatCode="General"/>
    </dxf>
    <dxf>
      <numFmt numFmtId="19" formatCode="m/d/yyyy"/>
    </dxf>
    <dxf>
      <numFmt numFmtId="19" formatCode="m/d/yyyy"/>
    </dxf>
    <dxf>
      <numFmt numFmtId="14" formatCode="0.00%"/>
    </dxf>
    <dxf>
      <numFmt numFmtId="4" formatCode="#,##0.00"/>
    </dxf>
    <dxf>
      <numFmt numFmtId="19" formatCode="m/d/yyyy"/>
    </dxf>
    <dxf>
      <numFmt numFmtId="19" formatCode="m/d/yyyy"/>
    </dxf>
    <dxf>
      <numFmt numFmtId="0" formatCode="General"/>
    </dxf>
    <dxf>
      <numFmt numFmtId="0" formatCode="General"/>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19" formatCode="m/d/yyyy"/>
    </dxf>
    <dxf>
      <numFmt numFmtId="19" formatCode="m/d/yyyy"/>
    </dxf>
    <dxf>
      <numFmt numFmtId="19" formatCode="m/d/yyyy"/>
    </dxf>
    <dxf>
      <numFmt numFmtId="19" formatCode="m/d/yyyy"/>
    </dxf>
    <dxf>
      <numFmt numFmtId="19" formatCode="m/d/yyyy"/>
    </dxf>
    <dxf>
      <numFmt numFmtId="19" formatCode="m/d/yyyy"/>
    </dxf>
    <dxf>
      <numFmt numFmtId="19" formatCode="m/d/yyyy"/>
    </dxf>
    <dxf>
      <numFmt numFmtId="0" formatCode="General"/>
    </dxf>
    <dxf>
      <numFmt numFmtId="0" formatCode="General"/>
    </dxf>
    <dxf>
      <numFmt numFmtId="0" formatCode="General"/>
    </dxf>
    <dxf>
      <alignment horizontal="center" vertical="bottom" textRotation="0" indent="0" justifyLastLine="0" shrinkToFit="0" readingOrder="0"/>
    </dxf>
    <dxf>
      <numFmt numFmtId="0" formatCode="General"/>
    </dxf>
    <dxf>
      <alignment horizontal="center" vertical="bottom" textRotation="0" indent="0" justifyLastLine="0" shrinkToFit="0" readingOrder="0"/>
    </dxf>
    <dxf>
      <numFmt numFmtId="19" formatCode="m/d/yyyy"/>
    </dxf>
    <dxf>
      <numFmt numFmtId="19" formatCode="m/d/yyyy"/>
    </dxf>
    <dxf>
      <numFmt numFmtId="0" formatCode="General"/>
    </dxf>
    <dxf>
      <numFmt numFmtId="0" formatCode="General"/>
    </dxf>
    <dxf>
      <numFmt numFmtId="0" formatCode="General"/>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0" formatCode="General"/>
    </dxf>
    <dxf>
      <numFmt numFmtId="19" formatCode="m/d/yyyy"/>
    </dxf>
    <dxf>
      <numFmt numFmtId="19" formatCode="m/d/yyyy"/>
    </dxf>
    <dxf>
      <numFmt numFmtId="14" formatCode="0.00%"/>
    </dxf>
    <dxf>
      <numFmt numFmtId="4" formatCode="#,##0.00"/>
    </dxf>
    <dxf>
      <numFmt numFmtId="19" formatCode="m/d/yyyy"/>
    </dxf>
    <dxf>
      <numFmt numFmtId="19" formatCode="m/d/yyyy"/>
    </dxf>
    <dxf>
      <numFmt numFmtId="0" formatCode="General"/>
    </dxf>
    <dxf>
      <numFmt numFmtId="0" formatCode="General"/>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19" formatCode="m/d/yyyy"/>
    </dxf>
    <dxf>
      <numFmt numFmtId="19" formatCode="m/d/yyyy"/>
    </dxf>
    <dxf>
      <numFmt numFmtId="19" formatCode="m/d/yyyy"/>
    </dxf>
    <dxf>
      <numFmt numFmtId="19" formatCode="m/d/yyyy"/>
    </dxf>
    <dxf>
      <numFmt numFmtId="19" formatCode="m/d/yyyy"/>
    </dxf>
    <dxf>
      <numFmt numFmtId="19" formatCode="m/d/yyyy"/>
    </dxf>
    <dxf>
      <numFmt numFmtId="19" formatCode="m/d/yyyy"/>
    </dxf>
    <dxf>
      <numFmt numFmtId="0" formatCode="General"/>
    </dxf>
    <dxf>
      <numFmt numFmtId="0" formatCode="General"/>
    </dxf>
    <dxf>
      <protection locked="0" hidden="0"/>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252413</xdr:colOff>
      <xdr:row>17</xdr:row>
      <xdr:rowOff>142875</xdr:rowOff>
    </xdr:from>
    <xdr:to>
      <xdr:col>5</xdr:col>
      <xdr:colOff>338138</xdr:colOff>
      <xdr:row>21</xdr:row>
      <xdr:rowOff>162115</xdr:rowOff>
    </xdr:to>
    <xdr:sp macro="" textlink="">
      <xdr:nvSpPr>
        <xdr:cNvPr id="2" name="TextBox 1">
          <a:extLst>
            <a:ext uri="{FF2B5EF4-FFF2-40B4-BE49-F238E27FC236}">
              <a16:creationId xmlns:a16="http://schemas.microsoft.com/office/drawing/2014/main" id="{2705660C-44D7-4A87-B44F-A95AE26A5853}"/>
            </a:ext>
          </a:extLst>
        </xdr:cNvPr>
        <xdr:cNvSpPr txBox="1"/>
      </xdr:nvSpPr>
      <xdr:spPr>
        <a:xfrm>
          <a:off x="862013" y="333375"/>
          <a:ext cx="2524125" cy="781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Evaluate Agreement Underlying Assets</a:t>
          </a:r>
          <a:br>
            <a:rPr lang="en-US" sz="1100">
              <a:solidFill>
                <a:schemeClr val="dk1"/>
              </a:solidFill>
              <a:latin typeface="+mn-lt"/>
              <a:ea typeface="+mn-ea"/>
              <a:cs typeface="+mn-cs"/>
            </a:rPr>
          </a:br>
          <a:r>
            <a:rPr lang="en-US" sz="1100">
              <a:solidFill>
                <a:schemeClr val="dk1"/>
              </a:solidFill>
              <a:latin typeface="+mn-lt"/>
              <a:ea typeface="+mn-ea"/>
              <a:cs typeface="+mn-cs"/>
            </a:rPr>
            <a:t>and Core Agreement</a:t>
          </a:r>
          <a:r>
            <a:rPr lang="en-US" sz="1100" baseline="0">
              <a:solidFill>
                <a:schemeClr val="dk1"/>
              </a:solidFill>
              <a:latin typeface="+mn-lt"/>
              <a:ea typeface="+mn-ea"/>
              <a:cs typeface="+mn-cs"/>
            </a:rPr>
            <a:t> Terms</a:t>
          </a:r>
          <a:br>
            <a:rPr lang="en-US" sz="1100">
              <a:solidFill>
                <a:schemeClr val="dk1"/>
              </a:solidFill>
              <a:latin typeface="+mn-lt"/>
              <a:ea typeface="+mn-ea"/>
              <a:cs typeface="+mn-cs"/>
            </a:rPr>
          </a:br>
          <a:r>
            <a:rPr lang="en-US" sz="1100">
              <a:solidFill>
                <a:schemeClr val="dk1"/>
              </a:solidFill>
              <a:latin typeface="+mn-lt"/>
              <a:ea typeface="+mn-ea"/>
              <a:cs typeface="+mn-cs"/>
            </a:rPr>
            <a:t>GASB 87 Exception or non-GASB 87?</a:t>
          </a:r>
        </a:p>
        <a:p>
          <a:pPr marL="0" indent="0" algn="ctr"/>
          <a:r>
            <a:rPr lang="en-US" sz="1100">
              <a:solidFill>
                <a:schemeClr val="dk1"/>
              </a:solidFill>
              <a:latin typeface="+mn-lt"/>
              <a:ea typeface="+mn-ea"/>
              <a:cs typeface="+mn-cs"/>
            </a:rPr>
            <a:t>Yes / No</a:t>
          </a:r>
        </a:p>
      </xdr:txBody>
    </xdr:sp>
    <xdr:clientData/>
  </xdr:twoCellAnchor>
  <xdr:twoCellAnchor>
    <xdr:from>
      <xdr:col>6</xdr:col>
      <xdr:colOff>342900</xdr:colOff>
      <xdr:row>19</xdr:row>
      <xdr:rowOff>20215</xdr:rowOff>
    </xdr:from>
    <xdr:to>
      <xdr:col>7</xdr:col>
      <xdr:colOff>123825</xdr:colOff>
      <xdr:row>20</xdr:row>
      <xdr:rowOff>94275</xdr:rowOff>
    </xdr:to>
    <xdr:sp macro="" textlink="">
      <xdr:nvSpPr>
        <xdr:cNvPr id="3" name="TextBox 2">
          <a:extLst>
            <a:ext uri="{FF2B5EF4-FFF2-40B4-BE49-F238E27FC236}">
              <a16:creationId xmlns:a16="http://schemas.microsoft.com/office/drawing/2014/main" id="{E4F88AEE-8E22-4D7A-9446-F65D28163B61}"/>
            </a:ext>
          </a:extLst>
        </xdr:cNvPr>
        <xdr:cNvSpPr txBox="1"/>
      </xdr:nvSpPr>
      <xdr:spPr>
        <a:xfrm>
          <a:off x="4000500" y="591715"/>
          <a:ext cx="390525" cy="264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Yes</a:t>
          </a:r>
        </a:p>
      </xdr:txBody>
    </xdr:sp>
    <xdr:clientData/>
  </xdr:twoCellAnchor>
  <xdr:oneCellAnchor>
    <xdr:from>
      <xdr:col>8</xdr:col>
      <xdr:colOff>91440</xdr:colOff>
      <xdr:row>18</xdr:row>
      <xdr:rowOff>27718</xdr:rowOff>
    </xdr:from>
    <xdr:ext cx="2324100" cy="609013"/>
    <xdr:sp macro="" textlink="">
      <xdr:nvSpPr>
        <xdr:cNvPr id="4" name="TextBox 3">
          <a:extLst>
            <a:ext uri="{FF2B5EF4-FFF2-40B4-BE49-F238E27FC236}">
              <a16:creationId xmlns:a16="http://schemas.microsoft.com/office/drawing/2014/main" id="{1241B931-1452-4BAC-A5FB-07B76CC42FAE}"/>
            </a:ext>
          </a:extLst>
        </xdr:cNvPr>
        <xdr:cNvSpPr txBox="1"/>
      </xdr:nvSpPr>
      <xdr:spPr>
        <a:xfrm>
          <a:off x="4940531" y="3300854"/>
          <a:ext cx="2324100" cy="6090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US" sz="1100"/>
            <a:t>Enter</a:t>
          </a:r>
          <a:r>
            <a:rPr lang="en-US" sz="1100" baseline="0"/>
            <a:t> on "Excluded Leases" sheet with reason for exclusion as "not GASB 87".</a:t>
          </a:r>
          <a:endParaRPr lang="en-US" sz="1100"/>
        </a:p>
      </xdr:txBody>
    </xdr:sp>
    <xdr:clientData/>
  </xdr:oneCellAnchor>
  <xdr:twoCellAnchor>
    <xdr:from>
      <xdr:col>3</xdr:col>
      <xdr:colOff>100013</xdr:colOff>
      <xdr:row>23</xdr:row>
      <xdr:rowOff>66675</xdr:rowOff>
    </xdr:from>
    <xdr:to>
      <xdr:col>3</xdr:col>
      <xdr:colOff>490538</xdr:colOff>
      <xdr:row>24</xdr:row>
      <xdr:rowOff>140735</xdr:rowOff>
    </xdr:to>
    <xdr:sp macro="" textlink="">
      <xdr:nvSpPr>
        <xdr:cNvPr id="5" name="TextBox 4">
          <a:extLst>
            <a:ext uri="{FF2B5EF4-FFF2-40B4-BE49-F238E27FC236}">
              <a16:creationId xmlns:a16="http://schemas.microsoft.com/office/drawing/2014/main" id="{3A6EEA81-FEB5-4FE7-989C-D516443FF8A1}"/>
            </a:ext>
          </a:extLst>
        </xdr:cNvPr>
        <xdr:cNvSpPr txBox="1"/>
      </xdr:nvSpPr>
      <xdr:spPr>
        <a:xfrm>
          <a:off x="1928813" y="1400175"/>
          <a:ext cx="390525" cy="264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No</a:t>
          </a:r>
        </a:p>
      </xdr:txBody>
    </xdr:sp>
    <xdr:clientData/>
  </xdr:twoCellAnchor>
  <xdr:twoCellAnchor>
    <xdr:from>
      <xdr:col>1</xdr:col>
      <xdr:colOff>248603</xdr:colOff>
      <xdr:row>26</xdr:row>
      <xdr:rowOff>49530</xdr:rowOff>
    </xdr:from>
    <xdr:to>
      <xdr:col>5</xdr:col>
      <xdr:colOff>336233</xdr:colOff>
      <xdr:row>29</xdr:row>
      <xdr:rowOff>113021</xdr:rowOff>
    </xdr:to>
    <xdr:sp macro="" textlink="">
      <xdr:nvSpPr>
        <xdr:cNvPr id="6" name="TextBox 5">
          <a:extLst>
            <a:ext uri="{FF2B5EF4-FFF2-40B4-BE49-F238E27FC236}">
              <a16:creationId xmlns:a16="http://schemas.microsoft.com/office/drawing/2014/main" id="{317DA725-5BA6-41FD-A292-6A868A634735}"/>
            </a:ext>
          </a:extLst>
        </xdr:cNvPr>
        <xdr:cNvSpPr txBox="1"/>
      </xdr:nvSpPr>
      <xdr:spPr>
        <a:xfrm>
          <a:off x="854739" y="4777394"/>
          <a:ext cx="2512176" cy="6090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Evaluate Agreement Date Terms </a:t>
          </a:r>
          <a:br>
            <a:rPr lang="en-US" sz="1100">
              <a:solidFill>
                <a:schemeClr val="dk1"/>
              </a:solidFill>
              <a:latin typeface="+mn-lt"/>
              <a:ea typeface="+mn-ea"/>
              <a:cs typeface="+mn-cs"/>
            </a:rPr>
          </a:br>
          <a:r>
            <a:rPr lang="en-US" sz="1100">
              <a:solidFill>
                <a:schemeClr val="dk1"/>
              </a:solidFill>
              <a:latin typeface="+mn-lt"/>
              <a:ea typeface="+mn-ea"/>
              <a:cs typeface="+mn-cs"/>
            </a:rPr>
            <a:t>Meets</a:t>
          </a:r>
          <a:r>
            <a:rPr lang="en-US" sz="1100" baseline="0">
              <a:solidFill>
                <a:schemeClr val="dk1"/>
              </a:solidFill>
              <a:latin typeface="+mn-lt"/>
              <a:ea typeface="+mn-ea"/>
              <a:cs typeface="+mn-cs"/>
            </a:rPr>
            <a:t> </a:t>
          </a:r>
          <a:r>
            <a:rPr lang="en-US" sz="1100">
              <a:solidFill>
                <a:schemeClr val="dk1"/>
              </a:solidFill>
              <a:latin typeface="+mn-lt"/>
              <a:ea typeface="+mn-ea"/>
              <a:cs typeface="+mn-cs"/>
            </a:rPr>
            <a:t>GASB 87 12-month</a:t>
          </a:r>
          <a:r>
            <a:rPr lang="en-US" sz="1100" baseline="0">
              <a:solidFill>
                <a:schemeClr val="dk1"/>
              </a:solidFill>
              <a:latin typeface="+mn-lt"/>
              <a:ea typeface="+mn-ea"/>
              <a:cs typeface="+mn-cs"/>
            </a:rPr>
            <a:t> Rule?</a:t>
          </a:r>
        </a:p>
        <a:p>
          <a:pPr marL="0" indent="0" algn="ctr"/>
          <a:r>
            <a:rPr lang="en-US" sz="1100">
              <a:solidFill>
                <a:schemeClr val="dk1"/>
              </a:solidFill>
              <a:latin typeface="+mn-lt"/>
              <a:ea typeface="+mn-ea"/>
              <a:cs typeface="+mn-cs"/>
            </a:rPr>
            <a:t> (See</a:t>
          </a:r>
          <a:r>
            <a:rPr lang="en-US" sz="1100" baseline="0">
              <a:solidFill>
                <a:schemeClr val="dk1"/>
              </a:solidFill>
              <a:latin typeface="+mn-lt"/>
              <a:ea typeface="+mn-ea"/>
              <a:cs typeface="+mn-cs"/>
            </a:rPr>
            <a:t> Box (A))</a:t>
          </a:r>
          <a:endParaRPr lang="en-US" sz="1100">
            <a:solidFill>
              <a:schemeClr val="dk1"/>
            </a:solidFill>
            <a:latin typeface="+mn-lt"/>
            <a:ea typeface="+mn-ea"/>
            <a:cs typeface="+mn-cs"/>
          </a:endParaRPr>
        </a:p>
      </xdr:txBody>
    </xdr:sp>
    <xdr:clientData/>
  </xdr:twoCellAnchor>
  <xdr:twoCellAnchor>
    <xdr:from>
      <xdr:col>12</xdr:col>
      <xdr:colOff>342900</xdr:colOff>
      <xdr:row>1</xdr:row>
      <xdr:rowOff>114300</xdr:rowOff>
    </xdr:from>
    <xdr:to>
      <xdr:col>18</xdr:col>
      <xdr:colOff>390525</xdr:colOff>
      <xdr:row>23</xdr:row>
      <xdr:rowOff>149072</xdr:rowOff>
    </xdr:to>
    <xdr:sp macro="" textlink="">
      <xdr:nvSpPr>
        <xdr:cNvPr id="7" name="TextBox 6">
          <a:extLst>
            <a:ext uri="{FF2B5EF4-FFF2-40B4-BE49-F238E27FC236}">
              <a16:creationId xmlns:a16="http://schemas.microsoft.com/office/drawing/2014/main" id="{A5D2AF31-ADC5-4E64-B09F-7647E6F89089}"/>
            </a:ext>
          </a:extLst>
        </xdr:cNvPr>
        <xdr:cNvSpPr txBox="1"/>
      </xdr:nvSpPr>
      <xdr:spPr>
        <a:xfrm>
          <a:off x="7616536" y="304800"/>
          <a:ext cx="3684444" cy="42257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b="1">
              <a:solidFill>
                <a:schemeClr val="dk1"/>
              </a:solidFill>
              <a:latin typeface="+mn-lt"/>
              <a:ea typeface="+mn-ea"/>
              <a:cs typeface="+mn-cs"/>
            </a:rPr>
            <a:t> (A) Evaluate Agreement Date Terms</a:t>
          </a:r>
        </a:p>
        <a:p>
          <a:pPr marL="0" indent="0" algn="l"/>
          <a:r>
            <a:rPr lang="en-US" sz="1100" b="0" i="0" u="sng" strike="noStrike">
              <a:solidFill>
                <a:schemeClr val="dk1"/>
              </a:solidFill>
              <a:effectLst/>
              <a:latin typeface="+mn-lt"/>
              <a:ea typeface="+mn-ea"/>
              <a:cs typeface="+mn-cs"/>
            </a:rPr>
            <a:t>Initial Term:</a:t>
          </a:r>
          <a:r>
            <a:rPr lang="en-US" sz="1100" b="0" i="0" u="none" strike="noStrike">
              <a:solidFill>
                <a:schemeClr val="dk1"/>
              </a:solidFill>
              <a:effectLst/>
              <a:latin typeface="+mn-lt"/>
              <a:ea typeface="+mn-ea"/>
              <a:cs typeface="+mn-cs"/>
            </a:rPr>
            <a:t> Period during which a lessee has a noncancelable right to use an underlying asset (referred to as the noncancelable period), plus:</a:t>
          </a:r>
        </a:p>
        <a:p>
          <a:pPr marL="0" indent="0" algn="l"/>
          <a:endParaRPr lang="en-US" sz="1100" b="0" i="0" u="none" strike="noStrike">
            <a:solidFill>
              <a:schemeClr val="dk1"/>
            </a:solidFill>
            <a:effectLst/>
            <a:latin typeface="+mn-lt"/>
            <a:ea typeface="+mn-ea"/>
            <a:cs typeface="+mn-cs"/>
          </a:endParaRPr>
        </a:p>
        <a:p>
          <a:pPr marL="0" indent="0" algn="l"/>
          <a:r>
            <a:rPr lang="en-US" sz="1100" b="0" i="0" u="sng" strike="noStrike">
              <a:solidFill>
                <a:schemeClr val="dk1"/>
              </a:solidFill>
              <a:effectLst/>
              <a:latin typeface="+mn-lt"/>
              <a:ea typeface="+mn-ea"/>
              <a:cs typeface="+mn-cs"/>
            </a:rPr>
            <a:t>Lessee Option to Extend</a:t>
          </a:r>
          <a:r>
            <a:rPr lang="en-US" sz="1100" b="0" i="0" u="none" strike="noStrike">
              <a:solidFill>
                <a:schemeClr val="dk1"/>
              </a:solidFill>
              <a:effectLst/>
              <a:latin typeface="+mn-lt"/>
              <a:ea typeface="+mn-ea"/>
              <a:cs typeface="+mn-cs"/>
            </a:rPr>
            <a:t>: Periods covered by the Lessee’s option to extend the lease if it is reasonably certain that the option will be exercised (1)</a:t>
          </a:r>
        </a:p>
        <a:p>
          <a:pPr marL="0" indent="0" algn="l"/>
          <a:r>
            <a:rPr lang="en-US" u="sng"/>
            <a:t>Lessee Option to Terminate</a:t>
          </a:r>
          <a:r>
            <a:rPr lang="en-US"/>
            <a:t>: </a:t>
          </a:r>
          <a:r>
            <a:rPr lang="en-US" sz="1100" b="0" i="0" u="none" strike="noStrike">
              <a:solidFill>
                <a:schemeClr val="dk1"/>
              </a:solidFill>
              <a:effectLst/>
              <a:latin typeface="+mn-lt"/>
              <a:ea typeface="+mn-ea"/>
              <a:cs typeface="+mn-cs"/>
            </a:rPr>
            <a:t>Periods covered by a Lessee’s option to terminate the lease if it is reasonably certain that the option will </a:t>
          </a:r>
          <a:r>
            <a:rPr lang="en-US" sz="1100" b="1" i="1" u="sng" strike="noStrike">
              <a:solidFill>
                <a:schemeClr val="dk1"/>
              </a:solidFill>
              <a:effectLst/>
              <a:latin typeface="+mn-lt"/>
              <a:ea typeface="+mn-ea"/>
              <a:cs typeface="+mn-cs"/>
            </a:rPr>
            <a:t>not</a:t>
          </a:r>
          <a:r>
            <a:rPr lang="en-US" sz="1100" b="0" i="0" u="none" strike="noStrike">
              <a:solidFill>
                <a:schemeClr val="dk1"/>
              </a:solidFill>
              <a:effectLst/>
              <a:latin typeface="+mn-lt"/>
              <a:ea typeface="+mn-ea"/>
              <a:cs typeface="+mn-cs"/>
            </a:rPr>
            <a:t> be exercised (2)</a:t>
          </a:r>
        </a:p>
        <a:p>
          <a:pPr marL="0" indent="0" algn="l"/>
          <a:r>
            <a:rPr lang="en-US" sz="1100" b="0" i="0" u="sng">
              <a:solidFill>
                <a:schemeClr val="dk1"/>
              </a:solidFill>
              <a:effectLst/>
              <a:latin typeface="+mn-lt"/>
              <a:ea typeface="+mn-ea"/>
              <a:cs typeface="+mn-cs"/>
            </a:rPr>
            <a:t>Lessor Option to Extend</a:t>
          </a:r>
          <a:r>
            <a:rPr lang="en-US" sz="1100" b="0" i="0">
              <a:solidFill>
                <a:schemeClr val="dk1"/>
              </a:solidFill>
              <a:effectLst/>
              <a:latin typeface="+mn-lt"/>
              <a:ea typeface="+mn-ea"/>
              <a:cs typeface="+mn-cs"/>
            </a:rPr>
            <a:t>:</a:t>
          </a:r>
          <a:r>
            <a:rPr lang="en-US"/>
            <a:t> </a:t>
          </a:r>
          <a:r>
            <a:rPr lang="en-US" sz="1100" b="0" i="0" u="none" strike="noStrike">
              <a:solidFill>
                <a:schemeClr val="dk1"/>
              </a:solidFill>
              <a:effectLst/>
              <a:latin typeface="+mn-lt"/>
              <a:ea typeface="+mn-ea"/>
              <a:cs typeface="+mn-cs"/>
            </a:rPr>
            <a:t>Periods covered by the Lessor’s option to extend the lease if it is reasonably certain that the option will be exercised (1)</a:t>
          </a:r>
        </a:p>
        <a:p>
          <a:pPr marL="0" indent="0" algn="l"/>
          <a:r>
            <a:rPr lang="en-US" sz="1100" u="sng">
              <a:solidFill>
                <a:schemeClr val="dk1"/>
              </a:solidFill>
              <a:effectLst/>
              <a:latin typeface="+mn-lt"/>
              <a:ea typeface="+mn-ea"/>
              <a:cs typeface="+mn-cs"/>
            </a:rPr>
            <a:t>Lessor Option to Terminate</a:t>
          </a:r>
          <a:r>
            <a:rPr lang="en-US" sz="1100">
              <a:solidFill>
                <a:schemeClr val="dk1"/>
              </a:solidFill>
              <a:effectLst/>
              <a:latin typeface="+mn-lt"/>
              <a:ea typeface="+mn-ea"/>
              <a:cs typeface="+mn-cs"/>
            </a:rPr>
            <a:t>:</a:t>
          </a:r>
          <a:r>
            <a:rPr lang="en-US"/>
            <a:t> </a:t>
          </a:r>
          <a:r>
            <a:rPr lang="en-US" sz="1100" b="0" i="0" u="none" strike="noStrike">
              <a:solidFill>
                <a:schemeClr val="dk1"/>
              </a:solidFill>
              <a:effectLst/>
              <a:latin typeface="+mn-lt"/>
              <a:ea typeface="+mn-ea"/>
              <a:cs typeface="+mn-cs"/>
            </a:rPr>
            <a:t>Periods covered by a Lessor’s option to terminate the lease if it is reasonably certain that the option will </a:t>
          </a:r>
          <a:r>
            <a:rPr lang="en-US" sz="1100" b="1" i="1" u="sng" strike="noStrike">
              <a:solidFill>
                <a:schemeClr val="dk1"/>
              </a:solidFill>
              <a:effectLst/>
              <a:latin typeface="+mn-lt"/>
              <a:ea typeface="+mn-ea"/>
              <a:cs typeface="+mn-cs"/>
            </a:rPr>
            <a:t>not</a:t>
          </a:r>
          <a:r>
            <a:rPr lang="en-US" sz="1100" b="0" i="0" u="none" strike="noStrike">
              <a:solidFill>
                <a:schemeClr val="dk1"/>
              </a:solidFill>
              <a:effectLst/>
              <a:latin typeface="+mn-lt"/>
              <a:ea typeface="+mn-ea"/>
              <a:cs typeface="+mn-cs"/>
            </a:rPr>
            <a:t> be exercised (2)</a:t>
          </a:r>
        </a:p>
        <a:p>
          <a:pPr marL="0" indent="0" algn="l"/>
          <a:endParaRPr lang="en-US" sz="1100" b="0" i="0" u="none" strike="noStrike">
            <a:solidFill>
              <a:schemeClr val="dk1"/>
            </a:solidFill>
            <a:effectLst/>
            <a:latin typeface="+mn-lt"/>
            <a:ea typeface="+mn-ea"/>
            <a:cs typeface="+mn-cs"/>
          </a:endParaRPr>
        </a:p>
        <a:p>
          <a:pPr marL="0" indent="0" algn="l"/>
          <a:r>
            <a:rPr lang="en-US" sz="1100" b="0" i="0" u="none" strike="noStrike">
              <a:solidFill>
                <a:schemeClr val="dk1"/>
              </a:solidFill>
              <a:effectLst/>
              <a:latin typeface="+mn-lt"/>
              <a:ea typeface="+mn-ea"/>
              <a:cs typeface="+mn-cs"/>
            </a:rPr>
            <a:t>(1) If both partied must agree to extend, then the period are </a:t>
          </a:r>
          <a:r>
            <a:rPr lang="en-US" sz="1100" b="1" i="1" u="sng" strike="noStrike">
              <a:solidFill>
                <a:schemeClr val="dk1"/>
              </a:solidFill>
              <a:effectLst/>
              <a:latin typeface="+mn-lt"/>
              <a:ea typeface="+mn-ea"/>
              <a:cs typeface="+mn-cs"/>
            </a:rPr>
            <a:t>not</a:t>
          </a:r>
          <a:r>
            <a:rPr lang="en-US" sz="1100" b="0" i="0" u="none" strike="noStrike">
              <a:solidFill>
                <a:schemeClr val="dk1"/>
              </a:solidFill>
              <a:effectLst/>
              <a:latin typeface="+mn-lt"/>
              <a:ea typeface="+mn-ea"/>
              <a:cs typeface="+mn-cs"/>
            </a:rPr>
            <a:t> included.</a:t>
          </a:r>
        </a:p>
        <a:p>
          <a:pPr marL="0" indent="0" algn="l"/>
          <a:r>
            <a:rPr lang="en-US"/>
            <a:t> </a:t>
          </a:r>
          <a:r>
            <a:rPr lang="en-US" sz="1100" b="0" i="0" u="none" strike="noStrike">
              <a:solidFill>
                <a:schemeClr val="dk1"/>
              </a:solidFill>
              <a:effectLst/>
              <a:latin typeface="+mn-lt"/>
              <a:ea typeface="+mn-ea"/>
              <a:cs typeface="+mn-cs"/>
            </a:rPr>
            <a:t>(2) If both parties have the right to terminate without permission from the other party, the periods are </a:t>
          </a:r>
          <a:r>
            <a:rPr lang="en-US" sz="1100" b="1" i="1" u="sng" strike="noStrike">
              <a:solidFill>
                <a:schemeClr val="dk1"/>
              </a:solidFill>
              <a:effectLst/>
              <a:latin typeface="+mn-lt"/>
              <a:ea typeface="+mn-ea"/>
              <a:cs typeface="+mn-cs"/>
            </a:rPr>
            <a:t>not</a:t>
          </a:r>
          <a:r>
            <a:rPr lang="en-US" sz="1100" b="0" i="0" u="none" strike="noStrike">
              <a:solidFill>
                <a:schemeClr val="dk1"/>
              </a:solidFill>
              <a:effectLst/>
              <a:latin typeface="+mn-lt"/>
              <a:ea typeface="+mn-ea"/>
              <a:cs typeface="+mn-cs"/>
            </a:rPr>
            <a:t> included.</a:t>
          </a:r>
          <a:r>
            <a:rPr lang="en-US"/>
            <a:t> </a:t>
          </a:r>
        </a:p>
        <a:p>
          <a:pPr marL="0" indent="0" algn="l"/>
          <a:endParaRPr lang="en-US" sz="1100">
            <a:solidFill>
              <a:schemeClr val="dk1"/>
            </a:solidFill>
            <a:latin typeface="+mn-lt"/>
            <a:ea typeface="+mn-ea"/>
            <a:cs typeface="+mn-cs"/>
          </a:endParaRPr>
        </a:p>
      </xdr:txBody>
    </xdr:sp>
    <xdr:clientData/>
  </xdr:twoCellAnchor>
  <xdr:twoCellAnchor>
    <xdr:from>
      <xdr:col>6</xdr:col>
      <xdr:colOff>342900</xdr:colOff>
      <xdr:row>27</xdr:row>
      <xdr:rowOff>29351</xdr:rowOff>
    </xdr:from>
    <xdr:to>
      <xdr:col>7</xdr:col>
      <xdr:colOff>123825</xdr:colOff>
      <xdr:row>28</xdr:row>
      <xdr:rowOff>103411</xdr:rowOff>
    </xdr:to>
    <xdr:sp macro="" textlink="">
      <xdr:nvSpPr>
        <xdr:cNvPr id="8" name="TextBox 7">
          <a:extLst>
            <a:ext uri="{FF2B5EF4-FFF2-40B4-BE49-F238E27FC236}">
              <a16:creationId xmlns:a16="http://schemas.microsoft.com/office/drawing/2014/main" id="{7E1C0723-FBCC-4ABA-984A-1922DDD2DFD3}"/>
            </a:ext>
          </a:extLst>
        </xdr:cNvPr>
        <xdr:cNvSpPr txBox="1"/>
      </xdr:nvSpPr>
      <xdr:spPr>
        <a:xfrm>
          <a:off x="4000500" y="2124851"/>
          <a:ext cx="390525" cy="264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No</a:t>
          </a:r>
        </a:p>
      </xdr:txBody>
    </xdr:sp>
    <xdr:clientData/>
  </xdr:twoCellAnchor>
  <xdr:twoCellAnchor>
    <xdr:from>
      <xdr:col>3</xdr:col>
      <xdr:colOff>100013</xdr:colOff>
      <xdr:row>31</xdr:row>
      <xdr:rowOff>152400</xdr:rowOff>
    </xdr:from>
    <xdr:to>
      <xdr:col>3</xdr:col>
      <xdr:colOff>490538</xdr:colOff>
      <xdr:row>33</xdr:row>
      <xdr:rowOff>35960</xdr:rowOff>
    </xdr:to>
    <xdr:sp macro="" textlink="">
      <xdr:nvSpPr>
        <xdr:cNvPr id="9" name="TextBox 8">
          <a:extLst>
            <a:ext uri="{FF2B5EF4-FFF2-40B4-BE49-F238E27FC236}">
              <a16:creationId xmlns:a16="http://schemas.microsoft.com/office/drawing/2014/main" id="{39830521-4C7F-441B-A92F-77D568B8D228}"/>
            </a:ext>
          </a:extLst>
        </xdr:cNvPr>
        <xdr:cNvSpPr txBox="1"/>
      </xdr:nvSpPr>
      <xdr:spPr>
        <a:xfrm>
          <a:off x="1928813" y="3009900"/>
          <a:ext cx="390525" cy="264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Yes</a:t>
          </a:r>
        </a:p>
      </xdr:txBody>
    </xdr:sp>
    <xdr:clientData/>
  </xdr:twoCellAnchor>
  <xdr:oneCellAnchor>
    <xdr:from>
      <xdr:col>8</xdr:col>
      <xdr:colOff>65462</xdr:colOff>
      <xdr:row>26</xdr:row>
      <xdr:rowOff>40664</xdr:rowOff>
    </xdr:from>
    <xdr:ext cx="2324100" cy="609013"/>
    <xdr:sp macro="" textlink="">
      <xdr:nvSpPr>
        <xdr:cNvPr id="10" name="TextBox 9">
          <a:extLst>
            <a:ext uri="{FF2B5EF4-FFF2-40B4-BE49-F238E27FC236}">
              <a16:creationId xmlns:a16="http://schemas.microsoft.com/office/drawing/2014/main" id="{FFA97345-F032-46C3-A860-525856C1739B}"/>
            </a:ext>
          </a:extLst>
        </xdr:cNvPr>
        <xdr:cNvSpPr txBox="1"/>
      </xdr:nvSpPr>
      <xdr:spPr>
        <a:xfrm>
          <a:off x="4914553" y="4768528"/>
          <a:ext cx="2324100" cy="6090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US" sz="1100">
              <a:solidFill>
                <a:schemeClr val="dk1"/>
              </a:solidFill>
              <a:effectLst/>
              <a:latin typeface="+mn-lt"/>
              <a:ea typeface="+mn-ea"/>
              <a:cs typeface="+mn-cs"/>
            </a:rPr>
            <a:t>Enter</a:t>
          </a:r>
          <a:r>
            <a:rPr lang="en-US" sz="1100" baseline="0">
              <a:solidFill>
                <a:schemeClr val="dk1"/>
              </a:solidFill>
              <a:effectLst/>
              <a:latin typeface="+mn-lt"/>
              <a:ea typeface="+mn-ea"/>
              <a:cs typeface="+mn-cs"/>
            </a:rPr>
            <a:t> on "Excluded Leases" sheet with reason for exclusion as "short-term".</a:t>
          </a:r>
          <a:endParaRPr lang="en-US">
            <a:effectLst/>
          </a:endParaRPr>
        </a:p>
      </xdr:txBody>
    </xdr:sp>
    <xdr:clientData/>
  </xdr:oneCellAnchor>
  <xdr:twoCellAnchor>
    <xdr:from>
      <xdr:col>5</xdr:col>
      <xdr:colOff>338138</xdr:colOff>
      <xdr:row>19</xdr:row>
      <xdr:rowOff>152495</xdr:rowOff>
    </xdr:from>
    <xdr:to>
      <xdr:col>6</xdr:col>
      <xdr:colOff>342900</xdr:colOff>
      <xdr:row>19</xdr:row>
      <xdr:rowOff>152495</xdr:rowOff>
    </xdr:to>
    <xdr:cxnSp macro="">
      <xdr:nvCxnSpPr>
        <xdr:cNvPr id="12" name="Straight Arrow Connector 11">
          <a:extLst>
            <a:ext uri="{FF2B5EF4-FFF2-40B4-BE49-F238E27FC236}">
              <a16:creationId xmlns:a16="http://schemas.microsoft.com/office/drawing/2014/main" id="{4EF8E131-D0BE-4C7B-990C-6AF799ED5C0A}"/>
            </a:ext>
          </a:extLst>
        </xdr:cNvPr>
        <xdr:cNvCxnSpPr>
          <a:stCxn id="2" idx="3"/>
          <a:endCxn id="3" idx="1"/>
        </xdr:cNvCxnSpPr>
      </xdr:nvCxnSpPr>
      <xdr:spPr>
        <a:xfrm>
          <a:off x="3386138" y="723995"/>
          <a:ext cx="61436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125730</xdr:colOff>
      <xdr:row>19</xdr:row>
      <xdr:rowOff>148166</xdr:rowOff>
    </xdr:from>
    <xdr:to>
      <xdr:col>8</xdr:col>
      <xdr:colOff>95250</xdr:colOff>
      <xdr:row>19</xdr:row>
      <xdr:rowOff>148479</xdr:rowOff>
    </xdr:to>
    <xdr:cxnSp macro="">
      <xdr:nvCxnSpPr>
        <xdr:cNvPr id="13" name="Straight Arrow Connector 12">
          <a:extLst>
            <a:ext uri="{FF2B5EF4-FFF2-40B4-BE49-F238E27FC236}">
              <a16:creationId xmlns:a16="http://schemas.microsoft.com/office/drawing/2014/main" id="{9913EF3B-854E-42A7-8E27-064DC9BD807B}"/>
            </a:ext>
          </a:extLst>
        </xdr:cNvPr>
        <xdr:cNvCxnSpPr>
          <a:stCxn id="3" idx="3"/>
          <a:endCxn id="4" idx="1"/>
        </xdr:cNvCxnSpPr>
      </xdr:nvCxnSpPr>
      <xdr:spPr>
        <a:xfrm>
          <a:off x="4368685" y="3603143"/>
          <a:ext cx="575656" cy="31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334328</xdr:colOff>
      <xdr:row>27</xdr:row>
      <xdr:rowOff>155396</xdr:rowOff>
    </xdr:from>
    <xdr:to>
      <xdr:col>6</xdr:col>
      <xdr:colOff>342900</xdr:colOff>
      <xdr:row>27</xdr:row>
      <xdr:rowOff>174101</xdr:rowOff>
    </xdr:to>
    <xdr:cxnSp macro="">
      <xdr:nvCxnSpPr>
        <xdr:cNvPr id="16" name="Straight Arrow Connector 15">
          <a:extLst>
            <a:ext uri="{FF2B5EF4-FFF2-40B4-BE49-F238E27FC236}">
              <a16:creationId xmlns:a16="http://schemas.microsoft.com/office/drawing/2014/main" id="{19C7F833-1766-426F-9F62-39AFBCFC28FF}"/>
            </a:ext>
          </a:extLst>
        </xdr:cNvPr>
        <xdr:cNvCxnSpPr>
          <a:cxnSpLocks/>
          <a:stCxn id="6" idx="3"/>
          <a:endCxn id="8" idx="1"/>
        </xdr:cNvCxnSpPr>
      </xdr:nvCxnSpPr>
      <xdr:spPr>
        <a:xfrm flipV="1">
          <a:off x="3365010" y="5065101"/>
          <a:ext cx="614708" cy="1870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125730</xdr:colOff>
      <xdr:row>27</xdr:row>
      <xdr:rowOff>155396</xdr:rowOff>
    </xdr:from>
    <xdr:to>
      <xdr:col>8</xdr:col>
      <xdr:colOff>63557</xdr:colOff>
      <xdr:row>27</xdr:row>
      <xdr:rowOff>163330</xdr:rowOff>
    </xdr:to>
    <xdr:cxnSp macro="">
      <xdr:nvCxnSpPr>
        <xdr:cNvPr id="17" name="Straight Arrow Connector 16">
          <a:extLst>
            <a:ext uri="{FF2B5EF4-FFF2-40B4-BE49-F238E27FC236}">
              <a16:creationId xmlns:a16="http://schemas.microsoft.com/office/drawing/2014/main" id="{FFD0AD2E-9E2A-4196-9633-A794553328CD}"/>
            </a:ext>
          </a:extLst>
        </xdr:cNvPr>
        <xdr:cNvCxnSpPr>
          <a:stCxn id="8" idx="3"/>
          <a:endCxn id="10" idx="1"/>
        </xdr:cNvCxnSpPr>
      </xdr:nvCxnSpPr>
      <xdr:spPr>
        <a:xfrm>
          <a:off x="4368685" y="5065101"/>
          <a:ext cx="543963" cy="793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295275</xdr:colOff>
      <xdr:row>21</xdr:row>
      <xdr:rowOff>162115</xdr:rowOff>
    </xdr:from>
    <xdr:to>
      <xdr:col>3</xdr:col>
      <xdr:colOff>295275</xdr:colOff>
      <xdr:row>23</xdr:row>
      <xdr:rowOff>66675</xdr:rowOff>
    </xdr:to>
    <xdr:cxnSp macro="">
      <xdr:nvCxnSpPr>
        <xdr:cNvPr id="23" name="Straight Arrow Connector 22">
          <a:extLst>
            <a:ext uri="{FF2B5EF4-FFF2-40B4-BE49-F238E27FC236}">
              <a16:creationId xmlns:a16="http://schemas.microsoft.com/office/drawing/2014/main" id="{0AC8AD5C-BDEA-466A-9E74-638E12F5611D}"/>
            </a:ext>
          </a:extLst>
        </xdr:cNvPr>
        <xdr:cNvCxnSpPr/>
      </xdr:nvCxnSpPr>
      <xdr:spPr>
        <a:xfrm>
          <a:off x="2124075" y="1114615"/>
          <a:ext cx="0" cy="28556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289561</xdr:colOff>
      <xdr:row>24</xdr:row>
      <xdr:rowOff>136925</xdr:rowOff>
    </xdr:from>
    <xdr:to>
      <xdr:col>3</xdr:col>
      <xdr:colOff>292418</xdr:colOff>
      <xdr:row>26</xdr:row>
      <xdr:rowOff>53340</xdr:rowOff>
    </xdr:to>
    <xdr:cxnSp macro="">
      <xdr:nvCxnSpPr>
        <xdr:cNvPr id="26" name="Straight Arrow Connector 25">
          <a:extLst>
            <a:ext uri="{FF2B5EF4-FFF2-40B4-BE49-F238E27FC236}">
              <a16:creationId xmlns:a16="http://schemas.microsoft.com/office/drawing/2014/main" id="{878C9BEF-0339-4A1B-AB4B-8AD23D6F8DA7}"/>
            </a:ext>
          </a:extLst>
        </xdr:cNvPr>
        <xdr:cNvCxnSpPr>
          <a:stCxn id="5" idx="2"/>
          <a:endCxn id="6" idx="0"/>
        </xdr:cNvCxnSpPr>
      </xdr:nvCxnSpPr>
      <xdr:spPr>
        <a:xfrm flipH="1">
          <a:off x="2107970" y="4501107"/>
          <a:ext cx="2857" cy="28009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289561</xdr:colOff>
      <xdr:row>29</xdr:row>
      <xdr:rowOff>113021</xdr:rowOff>
    </xdr:from>
    <xdr:to>
      <xdr:col>3</xdr:col>
      <xdr:colOff>292418</xdr:colOff>
      <xdr:row>31</xdr:row>
      <xdr:rowOff>152400</xdr:rowOff>
    </xdr:to>
    <xdr:cxnSp macro="">
      <xdr:nvCxnSpPr>
        <xdr:cNvPr id="29" name="Straight Arrow Connector 28">
          <a:extLst>
            <a:ext uri="{FF2B5EF4-FFF2-40B4-BE49-F238E27FC236}">
              <a16:creationId xmlns:a16="http://schemas.microsoft.com/office/drawing/2014/main" id="{2624A1CC-8E90-4A45-9B8A-AA94118C7853}"/>
            </a:ext>
          </a:extLst>
        </xdr:cNvPr>
        <xdr:cNvCxnSpPr>
          <a:stCxn id="6" idx="2"/>
          <a:endCxn id="9" idx="0"/>
        </xdr:cNvCxnSpPr>
      </xdr:nvCxnSpPr>
      <xdr:spPr>
        <a:xfrm>
          <a:off x="2107970" y="5386407"/>
          <a:ext cx="2857" cy="40306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407194</xdr:colOff>
      <xdr:row>34</xdr:row>
      <xdr:rowOff>171450</xdr:rowOff>
    </xdr:from>
    <xdr:to>
      <xdr:col>5</xdr:col>
      <xdr:colOff>183356</xdr:colOff>
      <xdr:row>36</xdr:row>
      <xdr:rowOff>55010</xdr:rowOff>
    </xdr:to>
    <xdr:sp macro="" textlink="">
      <xdr:nvSpPr>
        <xdr:cNvPr id="32" name="TextBox 31">
          <a:extLst>
            <a:ext uri="{FF2B5EF4-FFF2-40B4-BE49-F238E27FC236}">
              <a16:creationId xmlns:a16="http://schemas.microsoft.com/office/drawing/2014/main" id="{369DCEFB-D675-467F-B73F-E9F5658D7248}"/>
            </a:ext>
          </a:extLst>
        </xdr:cNvPr>
        <xdr:cNvSpPr txBox="1"/>
      </xdr:nvSpPr>
      <xdr:spPr>
        <a:xfrm>
          <a:off x="1016794" y="3600450"/>
          <a:ext cx="2214562" cy="264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Enter Agreement</a:t>
          </a:r>
          <a:r>
            <a:rPr lang="en-US" sz="1100" baseline="0">
              <a:solidFill>
                <a:schemeClr val="dk1"/>
              </a:solidFill>
              <a:latin typeface="+mn-lt"/>
              <a:ea typeface="+mn-ea"/>
              <a:cs typeface="+mn-cs"/>
            </a:rPr>
            <a:t> into Template</a:t>
          </a:r>
          <a:endParaRPr lang="en-US" sz="1100">
            <a:solidFill>
              <a:schemeClr val="dk1"/>
            </a:solidFill>
            <a:latin typeface="+mn-lt"/>
            <a:ea typeface="+mn-ea"/>
            <a:cs typeface="+mn-cs"/>
          </a:endParaRPr>
        </a:p>
      </xdr:txBody>
    </xdr:sp>
    <xdr:clientData/>
  </xdr:twoCellAnchor>
  <xdr:twoCellAnchor>
    <xdr:from>
      <xdr:col>3</xdr:col>
      <xdr:colOff>295275</xdr:colOff>
      <xdr:row>33</xdr:row>
      <xdr:rowOff>35960</xdr:rowOff>
    </xdr:from>
    <xdr:to>
      <xdr:col>3</xdr:col>
      <xdr:colOff>295276</xdr:colOff>
      <xdr:row>34</xdr:row>
      <xdr:rowOff>171450</xdr:rowOff>
    </xdr:to>
    <xdr:cxnSp macro="">
      <xdr:nvCxnSpPr>
        <xdr:cNvPr id="33" name="Straight Arrow Connector 32">
          <a:extLst>
            <a:ext uri="{FF2B5EF4-FFF2-40B4-BE49-F238E27FC236}">
              <a16:creationId xmlns:a16="http://schemas.microsoft.com/office/drawing/2014/main" id="{3E78644A-A743-4919-BDDC-5475545761FE}"/>
            </a:ext>
          </a:extLst>
        </xdr:cNvPr>
        <xdr:cNvCxnSpPr>
          <a:stCxn id="9" idx="2"/>
          <a:endCxn id="32" idx="0"/>
        </xdr:cNvCxnSpPr>
      </xdr:nvCxnSpPr>
      <xdr:spPr>
        <a:xfrm flipH="1">
          <a:off x="2124075" y="3274460"/>
          <a:ext cx="1" cy="32599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331384</xdr:colOff>
      <xdr:row>2</xdr:row>
      <xdr:rowOff>114127</xdr:rowOff>
    </xdr:from>
    <xdr:to>
      <xdr:col>5</xdr:col>
      <xdr:colOff>417109</xdr:colOff>
      <xdr:row>5</xdr:row>
      <xdr:rowOff>9200</xdr:rowOff>
    </xdr:to>
    <xdr:sp macro="" textlink="">
      <xdr:nvSpPr>
        <xdr:cNvPr id="39" name="TextBox 38">
          <a:extLst>
            <a:ext uri="{FF2B5EF4-FFF2-40B4-BE49-F238E27FC236}">
              <a16:creationId xmlns:a16="http://schemas.microsoft.com/office/drawing/2014/main" id="{7DC6E40F-B0B4-43C2-8102-BFCF39BEFF3E}"/>
            </a:ext>
          </a:extLst>
        </xdr:cNvPr>
        <xdr:cNvSpPr txBox="1"/>
      </xdr:nvSpPr>
      <xdr:spPr>
        <a:xfrm>
          <a:off x="937520" y="477809"/>
          <a:ext cx="2510271" cy="4405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Are</a:t>
          </a:r>
          <a:r>
            <a:rPr lang="en-US" sz="1100" baseline="0">
              <a:solidFill>
                <a:schemeClr val="dk1"/>
              </a:solidFill>
              <a:latin typeface="+mn-lt"/>
              <a:ea typeface="+mn-ea"/>
              <a:cs typeface="+mn-cs"/>
            </a:rPr>
            <a:t> both the lessee and lessor General Fund Agencies?</a:t>
          </a:r>
          <a:endParaRPr lang="en-US" sz="1100">
            <a:solidFill>
              <a:schemeClr val="dk1"/>
            </a:solidFill>
            <a:latin typeface="+mn-lt"/>
            <a:ea typeface="+mn-ea"/>
            <a:cs typeface="+mn-cs"/>
          </a:endParaRPr>
        </a:p>
      </xdr:txBody>
    </xdr:sp>
    <xdr:clientData/>
  </xdr:twoCellAnchor>
  <xdr:twoCellAnchor>
    <xdr:from>
      <xdr:col>6</xdr:col>
      <xdr:colOff>342900</xdr:colOff>
      <xdr:row>3</xdr:row>
      <xdr:rowOff>20215</xdr:rowOff>
    </xdr:from>
    <xdr:to>
      <xdr:col>7</xdr:col>
      <xdr:colOff>123825</xdr:colOff>
      <xdr:row>4</xdr:row>
      <xdr:rowOff>94275</xdr:rowOff>
    </xdr:to>
    <xdr:sp macro="" textlink="">
      <xdr:nvSpPr>
        <xdr:cNvPr id="40" name="TextBox 39">
          <a:extLst>
            <a:ext uri="{FF2B5EF4-FFF2-40B4-BE49-F238E27FC236}">
              <a16:creationId xmlns:a16="http://schemas.microsoft.com/office/drawing/2014/main" id="{8978E58A-CE27-4FE5-A108-720F7F2D2BA0}"/>
            </a:ext>
          </a:extLst>
        </xdr:cNvPr>
        <xdr:cNvSpPr txBox="1"/>
      </xdr:nvSpPr>
      <xdr:spPr>
        <a:xfrm>
          <a:off x="3979718" y="2744019"/>
          <a:ext cx="388967" cy="263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Yes</a:t>
          </a:r>
        </a:p>
      </xdr:txBody>
    </xdr:sp>
    <xdr:clientData/>
  </xdr:twoCellAnchor>
  <xdr:oneCellAnchor>
    <xdr:from>
      <xdr:col>8</xdr:col>
      <xdr:colOff>134735</xdr:colOff>
      <xdr:row>2</xdr:row>
      <xdr:rowOff>105650</xdr:rowOff>
    </xdr:from>
    <xdr:ext cx="2324100" cy="609013"/>
    <xdr:sp macro="" textlink="">
      <xdr:nvSpPr>
        <xdr:cNvPr id="41" name="TextBox 40">
          <a:extLst>
            <a:ext uri="{FF2B5EF4-FFF2-40B4-BE49-F238E27FC236}">
              <a16:creationId xmlns:a16="http://schemas.microsoft.com/office/drawing/2014/main" id="{33D9D63C-5461-4509-9A80-07FE7F437F2C}"/>
            </a:ext>
          </a:extLst>
        </xdr:cNvPr>
        <xdr:cNvSpPr txBox="1"/>
      </xdr:nvSpPr>
      <xdr:spPr>
        <a:xfrm>
          <a:off x="4983826" y="469332"/>
          <a:ext cx="2324100" cy="6090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US" sz="1100"/>
            <a:t>Enter</a:t>
          </a:r>
          <a:r>
            <a:rPr lang="en-US" sz="1100" baseline="0"/>
            <a:t> on "Excluded Leases" sheet with reason for exclusion as "intrafund".</a:t>
          </a:r>
          <a:endParaRPr lang="en-US" sz="1100"/>
        </a:p>
      </xdr:txBody>
    </xdr:sp>
    <xdr:clientData/>
  </xdr:oneCellAnchor>
  <xdr:twoCellAnchor>
    <xdr:from>
      <xdr:col>3</xdr:col>
      <xdr:colOff>61566</xdr:colOff>
      <xdr:row>6</xdr:row>
      <xdr:rowOff>134043</xdr:rowOff>
    </xdr:from>
    <xdr:to>
      <xdr:col>3</xdr:col>
      <xdr:colOff>453996</xdr:colOff>
      <xdr:row>8</xdr:row>
      <xdr:rowOff>24357</xdr:rowOff>
    </xdr:to>
    <xdr:sp macro="" textlink="">
      <xdr:nvSpPr>
        <xdr:cNvPr id="42" name="TextBox 41">
          <a:extLst>
            <a:ext uri="{FF2B5EF4-FFF2-40B4-BE49-F238E27FC236}">
              <a16:creationId xmlns:a16="http://schemas.microsoft.com/office/drawing/2014/main" id="{58E8DCA8-F506-4731-9B62-69B30F46CD2B}"/>
            </a:ext>
          </a:extLst>
        </xdr:cNvPr>
        <xdr:cNvSpPr txBox="1"/>
      </xdr:nvSpPr>
      <xdr:spPr>
        <a:xfrm>
          <a:off x="1879975" y="1225088"/>
          <a:ext cx="392430" cy="253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No</a:t>
          </a:r>
        </a:p>
      </xdr:txBody>
    </xdr:sp>
    <xdr:clientData/>
  </xdr:twoCellAnchor>
  <xdr:twoCellAnchor>
    <xdr:from>
      <xdr:col>5</xdr:col>
      <xdr:colOff>417109</xdr:colOff>
      <xdr:row>3</xdr:row>
      <xdr:rowOff>148166</xdr:rowOff>
    </xdr:from>
    <xdr:to>
      <xdr:col>6</xdr:col>
      <xdr:colOff>342900</xdr:colOff>
      <xdr:row>3</xdr:row>
      <xdr:rowOff>153537</xdr:rowOff>
    </xdr:to>
    <xdr:cxnSp macro="">
      <xdr:nvCxnSpPr>
        <xdr:cNvPr id="43" name="Straight Arrow Connector 42">
          <a:extLst>
            <a:ext uri="{FF2B5EF4-FFF2-40B4-BE49-F238E27FC236}">
              <a16:creationId xmlns:a16="http://schemas.microsoft.com/office/drawing/2014/main" id="{67AB9C38-D800-47AF-99A1-9FB25182E372}"/>
            </a:ext>
          </a:extLst>
        </xdr:cNvPr>
        <xdr:cNvCxnSpPr>
          <a:stCxn id="39" idx="3"/>
          <a:endCxn id="40" idx="1"/>
        </xdr:cNvCxnSpPr>
      </xdr:nvCxnSpPr>
      <xdr:spPr>
        <a:xfrm flipV="1">
          <a:off x="3447791" y="693689"/>
          <a:ext cx="531927" cy="537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144953</xdr:colOff>
      <xdr:row>3</xdr:row>
      <xdr:rowOff>164522</xdr:rowOff>
    </xdr:from>
    <xdr:to>
      <xdr:col>8</xdr:col>
      <xdr:colOff>69273</xdr:colOff>
      <xdr:row>3</xdr:row>
      <xdr:rowOff>168429</xdr:rowOff>
    </xdr:to>
    <xdr:cxnSp macro="">
      <xdr:nvCxnSpPr>
        <xdr:cNvPr id="44" name="Straight Arrow Connector 43">
          <a:extLst>
            <a:ext uri="{FF2B5EF4-FFF2-40B4-BE49-F238E27FC236}">
              <a16:creationId xmlns:a16="http://schemas.microsoft.com/office/drawing/2014/main" id="{7989676F-115D-4892-BFF6-326C3B750ED8}"/>
            </a:ext>
          </a:extLst>
        </xdr:cNvPr>
        <xdr:cNvCxnSpPr/>
      </xdr:nvCxnSpPr>
      <xdr:spPr>
        <a:xfrm flipV="1">
          <a:off x="4387908" y="710045"/>
          <a:ext cx="530456" cy="390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284711</xdr:colOff>
      <xdr:row>5</xdr:row>
      <xdr:rowOff>42793</xdr:rowOff>
    </xdr:from>
    <xdr:to>
      <xdr:col>3</xdr:col>
      <xdr:colOff>284711</xdr:colOff>
      <xdr:row>6</xdr:row>
      <xdr:rowOff>125384</xdr:rowOff>
    </xdr:to>
    <xdr:cxnSp macro="">
      <xdr:nvCxnSpPr>
        <xdr:cNvPr id="45" name="Straight Arrow Connector 44">
          <a:extLst>
            <a:ext uri="{FF2B5EF4-FFF2-40B4-BE49-F238E27FC236}">
              <a16:creationId xmlns:a16="http://schemas.microsoft.com/office/drawing/2014/main" id="{B97954D3-6164-465E-A6EE-440F5F547EE8}"/>
            </a:ext>
          </a:extLst>
        </xdr:cNvPr>
        <xdr:cNvCxnSpPr/>
      </xdr:nvCxnSpPr>
      <xdr:spPr>
        <a:xfrm>
          <a:off x="2103120" y="951998"/>
          <a:ext cx="0" cy="26443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258734</xdr:colOff>
      <xdr:row>8</xdr:row>
      <xdr:rowOff>24357</xdr:rowOff>
    </xdr:from>
    <xdr:to>
      <xdr:col>3</xdr:col>
      <xdr:colOff>258734</xdr:colOff>
      <xdr:row>9</xdr:row>
      <xdr:rowOff>118803</xdr:rowOff>
    </xdr:to>
    <xdr:cxnSp macro="">
      <xdr:nvCxnSpPr>
        <xdr:cNvPr id="46" name="Straight Arrow Connector 45">
          <a:extLst>
            <a:ext uri="{FF2B5EF4-FFF2-40B4-BE49-F238E27FC236}">
              <a16:creationId xmlns:a16="http://schemas.microsoft.com/office/drawing/2014/main" id="{EEBF99D4-859D-4D5A-A3E0-5A8018CB00E5}"/>
            </a:ext>
          </a:extLst>
        </xdr:cNvPr>
        <xdr:cNvCxnSpPr>
          <a:stCxn id="42" idx="2"/>
        </xdr:cNvCxnSpPr>
      </xdr:nvCxnSpPr>
      <xdr:spPr>
        <a:xfrm>
          <a:off x="2077143" y="1479084"/>
          <a:ext cx="0" cy="27628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323764</xdr:colOff>
      <xdr:row>10</xdr:row>
      <xdr:rowOff>114127</xdr:rowOff>
    </xdr:from>
    <xdr:to>
      <xdr:col>5</xdr:col>
      <xdr:colOff>417109</xdr:colOff>
      <xdr:row>13</xdr:row>
      <xdr:rowOff>5390</xdr:rowOff>
    </xdr:to>
    <xdr:sp macro="" textlink="">
      <xdr:nvSpPr>
        <xdr:cNvPr id="47" name="TextBox 46">
          <a:extLst>
            <a:ext uri="{FF2B5EF4-FFF2-40B4-BE49-F238E27FC236}">
              <a16:creationId xmlns:a16="http://schemas.microsoft.com/office/drawing/2014/main" id="{3E09126A-71AC-4598-AA0F-3B296664D98E}"/>
            </a:ext>
          </a:extLst>
        </xdr:cNvPr>
        <xdr:cNvSpPr txBox="1"/>
      </xdr:nvSpPr>
      <xdr:spPr>
        <a:xfrm>
          <a:off x="929900" y="1932536"/>
          <a:ext cx="2517891" cy="4367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Is the lease agreement a service contract?</a:t>
          </a:r>
        </a:p>
      </xdr:txBody>
    </xdr:sp>
    <xdr:clientData/>
  </xdr:twoCellAnchor>
  <xdr:twoCellAnchor>
    <xdr:from>
      <xdr:col>6</xdr:col>
      <xdr:colOff>342900</xdr:colOff>
      <xdr:row>11</xdr:row>
      <xdr:rowOff>20215</xdr:rowOff>
    </xdr:from>
    <xdr:to>
      <xdr:col>7</xdr:col>
      <xdr:colOff>123825</xdr:colOff>
      <xdr:row>12</xdr:row>
      <xdr:rowOff>94275</xdr:rowOff>
    </xdr:to>
    <xdr:sp macro="" textlink="">
      <xdr:nvSpPr>
        <xdr:cNvPr id="48" name="TextBox 47">
          <a:extLst>
            <a:ext uri="{FF2B5EF4-FFF2-40B4-BE49-F238E27FC236}">
              <a16:creationId xmlns:a16="http://schemas.microsoft.com/office/drawing/2014/main" id="{AA1643DD-F6C5-413C-8BF1-86E3D38889C5}"/>
            </a:ext>
          </a:extLst>
        </xdr:cNvPr>
        <xdr:cNvSpPr txBox="1"/>
      </xdr:nvSpPr>
      <xdr:spPr>
        <a:xfrm>
          <a:off x="3979718" y="561928"/>
          <a:ext cx="388967" cy="263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Yes</a:t>
          </a:r>
        </a:p>
      </xdr:txBody>
    </xdr:sp>
    <xdr:clientData/>
  </xdr:twoCellAnchor>
  <xdr:oneCellAnchor>
    <xdr:from>
      <xdr:col>8</xdr:col>
      <xdr:colOff>134735</xdr:colOff>
      <xdr:row>10</xdr:row>
      <xdr:rowOff>101840</xdr:rowOff>
    </xdr:from>
    <xdr:ext cx="2324100" cy="609013"/>
    <xdr:sp macro="" textlink="">
      <xdr:nvSpPr>
        <xdr:cNvPr id="49" name="TextBox 48">
          <a:extLst>
            <a:ext uri="{FF2B5EF4-FFF2-40B4-BE49-F238E27FC236}">
              <a16:creationId xmlns:a16="http://schemas.microsoft.com/office/drawing/2014/main" id="{5B886FB1-0089-4E9F-8769-056012591A49}"/>
            </a:ext>
          </a:extLst>
        </xdr:cNvPr>
        <xdr:cNvSpPr txBox="1"/>
      </xdr:nvSpPr>
      <xdr:spPr>
        <a:xfrm>
          <a:off x="4983826" y="1920249"/>
          <a:ext cx="2324100" cy="6090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US" sz="1100"/>
            <a:t>Enter</a:t>
          </a:r>
          <a:r>
            <a:rPr lang="en-US" sz="1100" baseline="0"/>
            <a:t> on "Excluded Leases" sheet with reason for exclusion as "service contract".</a:t>
          </a:r>
          <a:endParaRPr lang="en-US" sz="1100"/>
        </a:p>
      </xdr:txBody>
    </xdr:sp>
    <xdr:clientData/>
  </xdr:oneCellAnchor>
  <xdr:twoCellAnchor>
    <xdr:from>
      <xdr:col>3</xdr:col>
      <xdr:colOff>61566</xdr:colOff>
      <xdr:row>14</xdr:row>
      <xdr:rowOff>134043</xdr:rowOff>
    </xdr:from>
    <xdr:to>
      <xdr:col>3</xdr:col>
      <xdr:colOff>453996</xdr:colOff>
      <xdr:row>16</xdr:row>
      <xdr:rowOff>24357</xdr:rowOff>
    </xdr:to>
    <xdr:sp macro="" textlink="">
      <xdr:nvSpPr>
        <xdr:cNvPr id="50" name="TextBox 49">
          <a:extLst>
            <a:ext uri="{FF2B5EF4-FFF2-40B4-BE49-F238E27FC236}">
              <a16:creationId xmlns:a16="http://schemas.microsoft.com/office/drawing/2014/main" id="{9ED485AE-74DA-4D70-B363-3DA146C56061}"/>
            </a:ext>
          </a:extLst>
        </xdr:cNvPr>
        <xdr:cNvSpPr txBox="1"/>
      </xdr:nvSpPr>
      <xdr:spPr>
        <a:xfrm>
          <a:off x="1876165" y="1221278"/>
          <a:ext cx="396240" cy="253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ctr"/>
          <a:r>
            <a:rPr lang="en-US" sz="1100">
              <a:solidFill>
                <a:schemeClr val="dk1"/>
              </a:solidFill>
              <a:latin typeface="+mn-lt"/>
              <a:ea typeface="+mn-ea"/>
              <a:cs typeface="+mn-cs"/>
            </a:rPr>
            <a:t>No</a:t>
          </a:r>
        </a:p>
      </xdr:txBody>
    </xdr:sp>
    <xdr:clientData/>
  </xdr:twoCellAnchor>
  <xdr:twoCellAnchor>
    <xdr:from>
      <xdr:col>5</xdr:col>
      <xdr:colOff>417109</xdr:colOff>
      <xdr:row>11</xdr:row>
      <xdr:rowOff>148166</xdr:rowOff>
    </xdr:from>
    <xdr:to>
      <xdr:col>6</xdr:col>
      <xdr:colOff>342900</xdr:colOff>
      <xdr:row>11</xdr:row>
      <xdr:rowOff>151632</xdr:rowOff>
    </xdr:to>
    <xdr:cxnSp macro="">
      <xdr:nvCxnSpPr>
        <xdr:cNvPr id="51" name="Straight Arrow Connector 50">
          <a:extLst>
            <a:ext uri="{FF2B5EF4-FFF2-40B4-BE49-F238E27FC236}">
              <a16:creationId xmlns:a16="http://schemas.microsoft.com/office/drawing/2014/main" id="{0DDA3182-5B06-41E9-A4D4-D9A16BDC480A}"/>
            </a:ext>
          </a:extLst>
        </xdr:cNvPr>
        <xdr:cNvCxnSpPr>
          <a:stCxn id="47" idx="3"/>
          <a:endCxn id="48" idx="1"/>
        </xdr:cNvCxnSpPr>
      </xdr:nvCxnSpPr>
      <xdr:spPr>
        <a:xfrm flipV="1">
          <a:off x="3447791" y="2148416"/>
          <a:ext cx="531927" cy="346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144953</xdr:colOff>
      <xdr:row>11</xdr:row>
      <xdr:rowOff>164522</xdr:rowOff>
    </xdr:from>
    <xdr:to>
      <xdr:col>8</xdr:col>
      <xdr:colOff>69273</xdr:colOff>
      <xdr:row>11</xdr:row>
      <xdr:rowOff>168429</xdr:rowOff>
    </xdr:to>
    <xdr:cxnSp macro="">
      <xdr:nvCxnSpPr>
        <xdr:cNvPr id="52" name="Straight Arrow Connector 51">
          <a:extLst>
            <a:ext uri="{FF2B5EF4-FFF2-40B4-BE49-F238E27FC236}">
              <a16:creationId xmlns:a16="http://schemas.microsoft.com/office/drawing/2014/main" id="{5BF64FBD-EF38-40FB-B60F-9E58D306BB5F}"/>
            </a:ext>
          </a:extLst>
        </xdr:cNvPr>
        <xdr:cNvCxnSpPr/>
      </xdr:nvCxnSpPr>
      <xdr:spPr>
        <a:xfrm flipV="1">
          <a:off x="4386003" y="713855"/>
          <a:ext cx="530456" cy="390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284711</xdr:colOff>
      <xdr:row>13</xdr:row>
      <xdr:rowOff>42793</xdr:rowOff>
    </xdr:from>
    <xdr:to>
      <xdr:col>3</xdr:col>
      <xdr:colOff>284711</xdr:colOff>
      <xdr:row>14</xdr:row>
      <xdr:rowOff>125384</xdr:rowOff>
    </xdr:to>
    <xdr:cxnSp macro="">
      <xdr:nvCxnSpPr>
        <xdr:cNvPr id="53" name="Straight Arrow Connector 52">
          <a:extLst>
            <a:ext uri="{FF2B5EF4-FFF2-40B4-BE49-F238E27FC236}">
              <a16:creationId xmlns:a16="http://schemas.microsoft.com/office/drawing/2014/main" id="{F0A2328D-C07C-4BE3-AAE8-F1F3BAC3A343}"/>
            </a:ext>
          </a:extLst>
        </xdr:cNvPr>
        <xdr:cNvCxnSpPr/>
      </xdr:nvCxnSpPr>
      <xdr:spPr>
        <a:xfrm>
          <a:off x="2106930" y="953903"/>
          <a:ext cx="0" cy="26443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258734</xdr:colOff>
      <xdr:row>16</xdr:row>
      <xdr:rowOff>24357</xdr:rowOff>
    </xdr:from>
    <xdr:to>
      <xdr:col>3</xdr:col>
      <xdr:colOff>258734</xdr:colOff>
      <xdr:row>17</xdr:row>
      <xdr:rowOff>118803</xdr:rowOff>
    </xdr:to>
    <xdr:cxnSp macro="">
      <xdr:nvCxnSpPr>
        <xdr:cNvPr id="54" name="Straight Arrow Connector 53">
          <a:extLst>
            <a:ext uri="{FF2B5EF4-FFF2-40B4-BE49-F238E27FC236}">
              <a16:creationId xmlns:a16="http://schemas.microsoft.com/office/drawing/2014/main" id="{B51E3B91-D308-4B71-9FBE-61B01414ADCA}"/>
            </a:ext>
          </a:extLst>
        </xdr:cNvPr>
        <xdr:cNvCxnSpPr>
          <a:stCxn id="50" idx="2"/>
        </xdr:cNvCxnSpPr>
      </xdr:nvCxnSpPr>
      <xdr:spPr>
        <a:xfrm>
          <a:off x="2075238" y="1475274"/>
          <a:ext cx="0" cy="282002"/>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0000000}" name="LesseeBase" displayName="LesseeBase" ref="A5:BH57" totalsRowShown="0">
  <autoFilter ref="A5:BH57" xr:uid="{00000000-0009-0000-0100-000008000000}"/>
  <tableColumns count="60">
    <tableColumn id="30" xr3:uid="{00000000-0010-0000-0000-00001E000000}" name="Type"/>
    <tableColumn id="51" xr3:uid="{00000000-0010-0000-0000-000033000000}" name="Entity" dataDxfId="207">
      <calculatedColumnFormula>'Agency Cover'!$B$3</calculatedColumnFormula>
    </tableColumn>
    <tableColumn id="1" xr3:uid="{00000000-0010-0000-0000-000001000000}" name="AgreementCode" dataDxfId="206"/>
    <tableColumn id="59" xr3:uid="{00000000-0010-0000-0000-00003B000000}" name="Multi-_x000a_Record"/>
    <tableColumn id="2" xr3:uid="{00000000-0010-0000-0000-000002000000}" name="AgrmtCode_x000a_Uniq Test" dataDxfId="205">
      <calculatedColumnFormula>COUNTIF(LesseeBase[AgreementCode],LesseeBase[[#This Row],[AgreementCode]])</calculatedColumnFormula>
    </tableColumn>
    <tableColumn id="3" xr3:uid="{00000000-0010-0000-0000-000003000000}" name="AgreementTitle"/>
    <tableColumn id="49" xr3:uid="{00000000-0010-0000-0000-000031000000}" name="AgrmtTitle_x000a_Uniq Test" dataDxfId="204">
      <calculatedColumnFormula>COUNTIF(LesseeBase[AgreementTitle],LesseeBase[[#This Row],[AgreementTitle]])</calculatedColumnFormula>
    </tableColumn>
    <tableColumn id="4" xr3:uid="{00000000-0010-0000-0000-000004000000}" name="AdditionalAgreementCode"/>
    <tableColumn id="5" xr3:uid="{00000000-0010-0000-0000-000005000000}" name="AgreementType"/>
    <tableColumn id="6" xr3:uid="{00000000-0010-0000-0000-000006000000}" name="AgreementStatus"/>
    <tableColumn id="7" xr3:uid="{00000000-0010-0000-0000-000007000000}" name="AgreementDescription"/>
    <tableColumn id="8" xr3:uid="{00000000-0010-0000-0000-000008000000}" name="Initial Period_x000a_Start Date" dataDxfId="203"/>
    <tableColumn id="9" xr3:uid="{00000000-0010-0000-0000-000009000000}" name="Initial Period_x000a_End Date" dataDxfId="202"/>
    <tableColumn id="37" xr3:uid="{00000000-0010-0000-0000-000025000000}" name="Incl. Options_x000a_Start Date" dataDxfId="201"/>
    <tableColumn id="50" xr3:uid="{00000000-0010-0000-0000-000032000000}" name="Incl. Options_x000a_End Date" dataDxfId="200"/>
    <tableColumn id="10" xr3:uid="{00000000-0010-0000-0000-00000A000000}" name="Excl. Options_x000a_Start Date" dataDxfId="199"/>
    <tableColumn id="11" xr3:uid="{00000000-0010-0000-0000-00000B000000}" name="Excl. Options_x000a_End Date" dataDxfId="198"/>
    <tableColumn id="57" xr3:uid="{00000000-0010-0000-0000-000039000000}" name="Comments" dataDxfId="197"/>
    <tableColumn id="58" xr3:uid="{00000000-0010-0000-0000-00003A000000}" name="Comments_x000a_Length" dataDxfId="196">
      <calculatedColumnFormula>LEN(LesseeBase[[#This Row],[Comments]])</calculatedColumnFormula>
    </tableColumn>
    <tableColumn id="12" xr3:uid="{00000000-0010-0000-0000-00000C000000}" name="Multi-_x000a_Record2" dataDxfId="195">
      <calculatedColumnFormula>LesseeBase[[#This Row],[Multi-
Record]]</calculatedColumnFormula>
    </tableColumn>
    <tableColumn id="60" xr3:uid="{00000000-0010-0000-0000-00003C000000}" name="ProvisionReference">
      <calculatedColumnFormula>LesseeBase[[#This Row],[AgreementCode]]</calculatedColumnFormula>
    </tableColumn>
    <tableColumn id="13" xr3:uid="{00000000-0010-0000-0000-00000D000000}" name="ProvisionDescription"/>
    <tableColumn id="14" xr3:uid="{00000000-0010-0000-0000-00000E000000}" name="ProvisionType" dataDxfId="194">
      <calculatedColumnFormula>LesseeBase[[#This Row],[AgreementType]]</calculatedColumnFormula>
    </tableColumn>
    <tableColumn id="15" xr3:uid="{00000000-0010-0000-0000-00000F000000}" name="FullDescription"/>
    <tableColumn id="16" xr3:uid="{00000000-0010-0000-0000-000010000000}" name="ReportingType"/>
    <tableColumn id="17" xr3:uid="{00000000-0010-0000-0000-000011000000}" name="ReportingCategory" dataDxfId="193">
      <calculatedColumnFormula>LesseeBase[[#This Row],[ProvisionType]]</calculatedColumnFormula>
    </tableColumn>
    <tableColumn id="18" xr3:uid="{00000000-0010-0000-0000-000012000000}" name="Reporting_x000a_StartDate" dataDxfId="192"/>
    <tableColumn id="19" xr3:uid="{00000000-0010-0000-0000-000013000000}" name="Reporting_x000a_EndDate" dataDxfId="191">
      <calculatedColumnFormula>IF(LesseeBase[[#This Row],[Incl. Options
End Date]]&gt;0,LesseeBase[[#This Row],[Incl. Options
End Date]],LesseeBase[[#This Row],[Initial Period
End Date]])</calculatedColumnFormula>
    </tableColumn>
    <tableColumn id="20" xr3:uid="{00000000-0010-0000-0000-000014000000}" name="Payment_x000a_Amount" dataDxfId="190"/>
    <tableColumn id="21" xr3:uid="{00000000-0010-0000-0000-000015000000}" name="Payment_x000a_Frequency"/>
    <tableColumn id="22" xr3:uid="{00000000-0010-0000-0000-000016000000}" name="Payment_x000a_Timing"/>
    <tableColumn id="23" xr3:uid="{00000000-0010-0000-0000-000017000000}" name="Annual_x000a_Rate" dataDxfId="189"/>
    <tableColumn id="25" xr3:uid="{00000000-0010-0000-0000-000019000000}" name="Payment_x000a_StartDate" dataDxfId="188"/>
    <tableColumn id="26" xr3:uid="{00000000-0010-0000-0000-00001A000000}" name="Payment_x000a_EndDate" dataDxfId="187"/>
    <tableColumn id="52" xr3:uid="{00000000-0010-0000-0000-000034000000}" name="Number of_x000a_ Payments" dataDxfId="186">
      <calculatedColumnFormula array="1">ROUND(ROUND((LesseeBase[[#This Row],[Payment
EndDate]]-LesseeBase[[#This Row],[Payment
StartDate]])/365,2)*_xlfn.IFS(LesseeBase[[#This Row],[Payment
Frequency]]="MO",12,LesseeBase[[#This Row],[Payment
Frequency]]="QT",4,LesseeBase[[#This Row],[Payment
Frequency]]="SA",2,LesseeBase[[#This Row],[Payment
Frequency]]="AN",1),0)</calculatedColumnFormula>
    </tableColumn>
    <tableColumn id="55" xr3:uid="{00000000-0010-0000-0000-000037000000}" name="Total Amount_x000a_of Payments" dataDxfId="185">
      <calculatedColumnFormula>ROUND(LesseeBase[[#This Row],[Payment
Amount]]*LesseeBase[[#This Row],[Number of
 Payments]],2)</calculatedColumnFormula>
    </tableColumn>
    <tableColumn id="53" xr3:uid="{00000000-0010-0000-0000-000035000000}" name="Present_x000a_Value" dataDxfId="184">
      <calculatedColumnFormula>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calculatedColumnFormula>
    </tableColumn>
    <tableColumn id="54" xr3:uid="{00000000-0010-0000-0000-000036000000}" name="Total_x000a_Interest" dataDxfId="183">
      <calculatedColumnFormula>IF(LesseeBase[[#This Row],[Multi-
Record2]]="Multi-Amount", "calc on import",LesseeBase[[#This Row],[Total Amount
of Payments]]-LesseeBase[[#This Row],[Present
Value]])</calculatedColumnFormula>
    </tableColumn>
    <tableColumn id="38" xr3:uid="{00000000-0010-0000-0000-000026000000}" name="Total_x000a_CapitalizedValue" dataDxfId="182">
      <calculatedColumnFormula>LesseeBase[[#This Row],[Present
Value]]</calculatedColumnFormula>
    </tableColumn>
    <tableColumn id="39" xr3:uid="{00000000-0010-0000-0000-000027000000}" name="Capitalized_x000a_ResidualValue" dataDxfId="181"/>
    <tableColumn id="40" xr3:uid="{00000000-0010-0000-0000-000028000000}" name="Calc Amount_x000a_to Amortize" dataDxfId="180">
      <calculatedColumnFormula>IF(LesseeBase[[#This Row],[Multi-
Record2]]="Multi-Amount", "calc on import",LesseeBase[[#This Row],[Total
CapitalizedValue]]-LesseeBase[[#This Row],[Capitalized
ResidualValue]])</calculatedColumnFormula>
    </tableColumn>
    <tableColumn id="56" xr3:uid="{00000000-0010-0000-0000-000038000000}" name="Amount to be_x000a_Amortized" dataDxfId="179">
      <calculatedColumnFormula>LesseeBase[[#This Row],[Calc Amount
to Amortize]]</calculatedColumnFormula>
    </tableColumn>
    <tableColumn id="41" xr3:uid="{00000000-0010-0000-0000-000029000000}" name="RoU Asset_x000a_AmortizationMethod"/>
    <tableColumn id="42" xr3:uid="{00000000-0010-0000-0000-00002A000000}" name="DecliningBalance_x000a_Percentage" dataDxfId="178">
      <calculatedColumnFormula>IF(LesseeBase[[#This Row],[RoU Asset
AmortizationMethod]] = "Declining Balance", "Enter %","")</calculatedColumnFormula>
    </tableColumn>
    <tableColumn id="43" xr3:uid="{00000000-0010-0000-0000-00002B000000}" name="UsageBase" dataDxfId="177">
      <calculatedColumnFormula>IF(LesseeBase[[#This Row],[RoU Asset
AmortizationMethod]]="Usage Based","Enter Usage Base","")</calculatedColumnFormula>
    </tableColumn>
    <tableColumn id="44" xr3:uid="{00000000-0010-0000-0000-00002C000000}" name="UsageUnitMeasure" dataDxfId="176">
      <calculatedColumnFormula>IF(LesseeBase[[#This Row],[RoU Asset
AmortizationMethod]]="Usage Based","Enter Usage UoM","")</calculatedColumnFormula>
    </tableColumn>
    <tableColumn id="45" xr3:uid="{00000000-0010-0000-0000-00002D000000}" name="RoU Amortization_x000a_StartDate" dataDxfId="175"/>
    <tableColumn id="46" xr3:uid="{00000000-0010-0000-0000-00002E000000}" name="RoU Amortization_x000a_EndDate" dataDxfId="174">
      <calculatedColumnFormula>IF(LesseeBase[[#This Row],[Incl. Options
End Date]]&gt;0,LesseeBase[[#This Row],[Incl. Options
End Date]],LesseeBase[[#This Row],[Initial Period
End Date]])</calculatedColumnFormula>
    </tableColumn>
    <tableColumn id="47" xr3:uid="{00000000-0010-0000-0000-00002F000000}" name="RoU Amortization_x000a_Frequency" dataDxfId="173"/>
    <tableColumn id="48" xr3:uid="{00000000-0010-0000-0000-000030000000}" name="RoU Amortization_x000a_Periods" dataDxfId="172">
      <calculatedColumnFormula array="1">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calculatedColumnFormula>
    </tableColumn>
    <tableColumn id="24" xr3:uid="{00000000-0010-0000-0000-000018000000}" name="Related Party_x000a_Lease"/>
    <tableColumn id="27" xr3:uid="{00000000-0010-0000-0000-00001B000000}" name="Sale - _x000a_Leaseback" dataDxfId="171"/>
    <tableColumn id="28" xr3:uid="{00000000-0010-0000-0000-00001C000000}" name="Lease - _x000a_Leaseback"/>
    <tableColumn id="29" xr3:uid="{00000000-0010-0000-0000-00001D000000}" name="RoU Assets_x000a_G/L Account"/>
    <tableColumn id="31" xr3:uid="{00000000-0010-0000-0000-00001F000000}" name="Accum Amortiz_x000a_G/L Account"/>
    <tableColumn id="32" xr3:uid="{00000000-0010-0000-0000-000020000000}" name="S-T Lease Liability_x000a_G/L Account"/>
    <tableColumn id="33" xr3:uid="{00000000-0010-0000-0000-000021000000}" name="L-T Lease Liability_x000a_G/L Account"/>
    <tableColumn id="34" xr3:uid="{00000000-0010-0000-0000-000022000000}" name="Lease Operating Exp_x000a_G/L Account"/>
    <tableColumn id="35" xr3:uid="{00000000-0010-0000-0000-000023000000}" name="RoUA Amortiz. Exp._x000a_G/L Account"/>
    <tableColumn id="36" xr3:uid="{00000000-0010-0000-0000-000024000000}" name="Lease Interest Exp_x000a_G/L Accoun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9000000}" name="GLAccountRef" displayName="GLAccountRef" ref="A1:C43" totalsRowShown="0">
  <autoFilter ref="A1:C43" xr:uid="{00000000-0009-0000-0100-000009000000}"/>
  <tableColumns count="3">
    <tableColumn id="1" xr3:uid="{00000000-0010-0000-0900-000001000000}" name="Code"/>
    <tableColumn id="2" xr3:uid="{00000000-0010-0000-0900-000002000000}" name="Description"/>
    <tableColumn id="3" xr3:uid="{00000000-0010-0000-0900-000003000000}" name="CodeDescr" dataDxfId="121">
      <calculatedColumnFormula>GLAccountRef[[#This Row],[Code]]&amp;": "&amp;GLAccountRef[[#This Row],[Description]]</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1000000}" name="LesseeBaseEx" displayName="LesseeBaseEx" ref="A5:BH32" totalsRowShown="0">
  <autoFilter ref="A5:BH32" xr:uid="{00000000-0009-0000-0100-00000B000000}"/>
  <tableColumns count="60">
    <tableColumn id="30" xr3:uid="{00000000-0010-0000-0100-00001E000000}" name="Type"/>
    <tableColumn id="51" xr3:uid="{00000000-0010-0000-0100-000033000000}" name="Entity" dataDxfId="170">
      <calculatedColumnFormula>'Agency Cover'!$B$3</calculatedColumnFormula>
    </tableColumn>
    <tableColumn id="1" xr3:uid="{00000000-0010-0000-0100-000001000000}" name="AgreementCode"/>
    <tableColumn id="59" xr3:uid="{00000000-0010-0000-0100-00003B000000}" name="Multi-_x000a_Record"/>
    <tableColumn id="2" xr3:uid="{00000000-0010-0000-0100-000002000000}" name="AgrmtCode_x000a_Uniq Test" dataDxfId="169">
      <calculatedColumnFormula>COUNTIF(LesseeBaseEx[AgreementCode],LesseeBaseEx[[#This Row],[AgreementCode]])</calculatedColumnFormula>
    </tableColumn>
    <tableColumn id="3" xr3:uid="{00000000-0010-0000-0100-000003000000}" name="AgreementTitle"/>
    <tableColumn id="49" xr3:uid="{00000000-0010-0000-0100-000031000000}" name="AgrmtTitle_x000a_Uniq Test" dataDxfId="168">
      <calculatedColumnFormula>COUNTIF(LesseeBaseEx[AgreementTitle],LesseeBaseEx[[#This Row],[AgreementTitle]])</calculatedColumnFormula>
    </tableColumn>
    <tableColumn id="4" xr3:uid="{00000000-0010-0000-0100-000004000000}" name="AdditionalAgreementCode"/>
    <tableColumn id="5" xr3:uid="{00000000-0010-0000-0100-000005000000}" name="AgreementType"/>
    <tableColumn id="6" xr3:uid="{00000000-0010-0000-0100-000006000000}" name="AgreementStatus"/>
    <tableColumn id="7" xr3:uid="{00000000-0010-0000-0100-000007000000}" name="AgreementDescription"/>
    <tableColumn id="8" xr3:uid="{00000000-0010-0000-0100-000008000000}" name="Initial Period_x000a_Start Date" dataDxfId="167"/>
    <tableColumn id="9" xr3:uid="{00000000-0010-0000-0100-000009000000}" name="Initial Period_x000a_End Date" dataDxfId="166"/>
    <tableColumn id="37" xr3:uid="{00000000-0010-0000-0100-000025000000}" name="Incl. Options_x000a_Start Date" dataDxfId="165"/>
    <tableColumn id="50" xr3:uid="{00000000-0010-0000-0100-000032000000}" name="Incl. Options_x000a_End Date" dataDxfId="164"/>
    <tableColumn id="10" xr3:uid="{00000000-0010-0000-0100-00000A000000}" name="Excl. Options_x000a_Start Date" dataDxfId="163"/>
    <tableColumn id="11" xr3:uid="{00000000-0010-0000-0100-00000B000000}" name="Excl. Options_x000a_End Date" dataDxfId="162"/>
    <tableColumn id="57" xr3:uid="{00000000-0010-0000-0100-000039000000}" name="Comments" dataDxfId="161"/>
    <tableColumn id="58" xr3:uid="{00000000-0010-0000-0100-00003A000000}" name="Comments_x000a_Length" dataDxfId="160">
      <calculatedColumnFormula>LEN(LesseeBaseEx[[#This Row],[Comments]])</calculatedColumnFormula>
    </tableColumn>
    <tableColumn id="12" xr3:uid="{00000000-0010-0000-0100-00000C000000}" name="Multi-_x000a_Record2" dataDxfId="159">
      <calculatedColumnFormula>LesseeBaseEx[[#This Row],[Multi-
Record]]</calculatedColumnFormula>
    </tableColumn>
    <tableColumn id="60" xr3:uid="{00000000-0010-0000-0100-00003C000000}" name="ProvisionReference">
      <calculatedColumnFormula>LesseeBaseEx[[#This Row],[AgreementCode]]</calculatedColumnFormula>
    </tableColumn>
    <tableColumn id="13" xr3:uid="{00000000-0010-0000-0100-00000D000000}" name="ProvisionDescription">
      <calculatedColumnFormula>LEFT(LesseeBaseEx[[#This Row],[AgreementTitle]],50)</calculatedColumnFormula>
    </tableColumn>
    <tableColumn id="14" xr3:uid="{00000000-0010-0000-0100-00000E000000}" name="ProvisionType" dataDxfId="158">
      <calculatedColumnFormula>LesseeBaseEx[[#This Row],[AgreementType]]</calculatedColumnFormula>
    </tableColumn>
    <tableColumn id="15" xr3:uid="{00000000-0010-0000-0100-00000F000000}" name="FullDescription"/>
    <tableColumn id="16" xr3:uid="{00000000-0010-0000-0100-000010000000}" name="ReportingType">
      <calculatedColumnFormula>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calculatedColumnFormula>
    </tableColumn>
    <tableColumn id="17" xr3:uid="{00000000-0010-0000-0100-000011000000}" name="ReportingCategory" dataDxfId="157">
      <calculatedColumnFormula>LesseeBaseEx[[#This Row],[ProvisionType]]</calculatedColumnFormula>
    </tableColumn>
    <tableColumn id="18" xr3:uid="{00000000-0010-0000-0100-000012000000}" name="Reporting_x000a_StartDate" dataDxfId="156"/>
    <tableColumn id="19" xr3:uid="{00000000-0010-0000-0100-000013000000}" name="Reporting_x000a_EndDate" dataDxfId="155">
      <calculatedColumnFormula>IF(LesseeBaseEx[[#This Row],[Incl. Options
End Date]]&gt;0,LesseeBaseEx[[#This Row],[Incl. Options
End Date]],LesseeBaseEx[[#This Row],[Initial Period
End Date]])</calculatedColumnFormula>
    </tableColumn>
    <tableColumn id="20" xr3:uid="{00000000-0010-0000-0100-000014000000}" name="Payment_x000a_Amount" dataDxfId="154"/>
    <tableColumn id="21" xr3:uid="{00000000-0010-0000-0100-000015000000}" name="Payment_x000a_Frequency"/>
    <tableColumn id="22" xr3:uid="{00000000-0010-0000-0100-000016000000}" name="Payment_x000a_Timing"/>
    <tableColumn id="23" xr3:uid="{00000000-0010-0000-0100-000017000000}" name="Annual_x000a_Rate" dataDxfId="153"/>
    <tableColumn id="25" xr3:uid="{00000000-0010-0000-0100-000019000000}" name="Payment_x000a_StartDate" dataDxfId="152"/>
    <tableColumn id="26" xr3:uid="{00000000-0010-0000-0100-00001A000000}" name="Payment_x000a_EndDate" dataDxfId="151"/>
    <tableColumn id="52" xr3:uid="{00000000-0010-0000-0100-000034000000}" name="Number of_x000a_ Payments" dataDxfId="150">
      <calculatedColumnFormula array="1">ROUND(ROUND((LesseeBaseEx[[#This Row],[Payment
EndDate]]-LesseeBaseEx[[#This Row],[Payment
StartDate]])/365,2)*_xlfn.IFS(LesseeBaseEx[[#This Row],[Payment
Frequency]]="MO",12,LesseeBaseEx[[#This Row],[Payment
Frequency]]="QT",4,LesseeBaseEx[[#This Row],[Payment
Frequency]]="SA",2,LesseeBaseEx[[#This Row],[Payment
Frequency]]="AN",1),0)</calculatedColumnFormula>
    </tableColumn>
    <tableColumn id="55" xr3:uid="{00000000-0010-0000-0100-000037000000}" name="Total Amount_x000a_of Payments" dataDxfId="149">
      <calculatedColumnFormula>ROUND(LesseeBaseEx[[#This Row],[Payment
Amount]]*LesseeBaseEx[[#This Row],[Number of
 Payments]],2)</calculatedColumnFormula>
    </tableColumn>
    <tableColumn id="53" xr3:uid="{00000000-0010-0000-0100-000035000000}" name="Present_x000a_Value" dataDxfId="148">
      <calculatedColumnFormula>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calculatedColumnFormula>
    </tableColumn>
    <tableColumn id="54" xr3:uid="{00000000-0010-0000-0100-000036000000}" name="Total_x000a_Interest" dataDxfId="147">
      <calculatedColumnFormula>IF(LesseeBaseEx[[#This Row],[Multi-
Record2]]="Multi-Amount", "calc on import",LesseeBaseEx[[#This Row],[Total Amount
of Payments]]-LesseeBaseEx[[#This Row],[Present
Value]])</calculatedColumnFormula>
    </tableColumn>
    <tableColumn id="38" xr3:uid="{00000000-0010-0000-0100-000026000000}" name="Total_x000a_CapitalizedValue" dataDxfId="146">
      <calculatedColumnFormula>LesseeBaseEx[[#This Row],[Present
Value]]</calculatedColumnFormula>
    </tableColumn>
    <tableColumn id="39" xr3:uid="{00000000-0010-0000-0100-000027000000}" name="Capitalized_x000a_ResidualValue" dataDxfId="145"/>
    <tableColumn id="40" xr3:uid="{00000000-0010-0000-0100-000028000000}" name="Calc Amount_x000a_to Amortize" dataDxfId="144">
      <calculatedColumnFormula>IF(LesseeBaseEx[[#This Row],[Multi-
Record2]]="Multi-Amount", "calc on import",LesseeBaseEx[[#This Row],[Total
CapitalizedValue]]-LesseeBaseEx[[#This Row],[Capitalized
ResidualValue]])</calculatedColumnFormula>
    </tableColumn>
    <tableColumn id="56" xr3:uid="{00000000-0010-0000-0100-000038000000}" name="Amount to be_x000a_Amortized" dataDxfId="143">
      <calculatedColumnFormula>LesseeBaseEx[[#This Row],[Calc Amount
to Amortize]]</calculatedColumnFormula>
    </tableColumn>
    <tableColumn id="41" xr3:uid="{00000000-0010-0000-0100-000029000000}" name="RoU Asset_x000a_AmortizationMethod"/>
    <tableColumn id="42" xr3:uid="{00000000-0010-0000-0100-00002A000000}" name="DecliningBalance_x000a_Percentage" dataDxfId="142">
      <calculatedColumnFormula>IF(LesseeBaseEx[[#This Row],[RoU Asset
AmortizationMethod]] = "Declining Balance", "Enter %","")</calculatedColumnFormula>
    </tableColumn>
    <tableColumn id="43" xr3:uid="{00000000-0010-0000-0100-00002B000000}" name="UsageBase" dataDxfId="141">
      <calculatedColumnFormula>IF(LesseeBaseEx[[#This Row],[RoU Asset
AmortizationMethod]]="Usage Based","Enter Usage Base","")</calculatedColumnFormula>
    </tableColumn>
    <tableColumn id="44" xr3:uid="{00000000-0010-0000-0100-00002C000000}" name="UsageUnitMeasure" dataDxfId="140">
      <calculatedColumnFormula>IF(LesseeBaseEx[[#This Row],[RoU Asset
AmortizationMethod]]="Usage Based","Enter Usage UoM","")</calculatedColumnFormula>
    </tableColumn>
    <tableColumn id="45" xr3:uid="{00000000-0010-0000-0100-00002D000000}" name="RoU Amortization_x000a_StartDate" dataDxfId="139"/>
    <tableColumn id="46" xr3:uid="{00000000-0010-0000-0100-00002E000000}" name="RoU Amortization_x000a_EndDate" dataDxfId="138">
      <calculatedColumnFormula>IF(LesseeBaseEx[[#This Row],[Incl. Options
End Date]]&gt;0,LesseeBaseEx[[#This Row],[Incl. Options
End Date]],LesseeBaseEx[[#This Row],[Initial Period
End Date]])</calculatedColumnFormula>
    </tableColumn>
    <tableColumn id="47" xr3:uid="{00000000-0010-0000-0100-00002F000000}" name="RoU Amortization_x000a_Frequency" dataDxfId="137"/>
    <tableColumn id="48" xr3:uid="{00000000-0010-0000-0100-000030000000}" name="RoU Amortization_x000a_Periods" dataDxfId="136">
      <calculatedColumnFormula array="1">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calculatedColumnFormula>
    </tableColumn>
    <tableColumn id="24" xr3:uid="{00000000-0010-0000-0100-000018000000}" name="Related Party_x000a_Lease"/>
    <tableColumn id="27" xr3:uid="{00000000-0010-0000-0100-00001B000000}" name="Sale - _x000a_Leaseback" dataDxfId="135"/>
    <tableColumn id="28" xr3:uid="{00000000-0010-0000-0100-00001C000000}" name="Lease - _x000a_Leaseback"/>
    <tableColumn id="29" xr3:uid="{00000000-0010-0000-0100-00001D000000}" name="RoU Assets_x000a_G/L Account"/>
    <tableColumn id="31" xr3:uid="{00000000-0010-0000-0100-00001F000000}" name="Accum Amortiz_x000a_G/L Account"/>
    <tableColumn id="32" xr3:uid="{00000000-0010-0000-0100-000020000000}" name="S-T Lease Liability_x000a_G/L Account"/>
    <tableColumn id="33" xr3:uid="{00000000-0010-0000-0100-000021000000}" name="L-T Lease Liability_x000a_G/L Account"/>
    <tableColumn id="34" xr3:uid="{00000000-0010-0000-0100-000022000000}" name="Lease Operating Exp_x000a_G/L Account"/>
    <tableColumn id="35" xr3:uid="{00000000-0010-0000-0100-000023000000}" name="RoUA Amortiz. Exp._x000a_G/L Account"/>
    <tableColumn id="36" xr3:uid="{00000000-0010-0000-0100-000024000000}" name="Lease Interest Exp_x000a_G/L Accoun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AgencyRef" displayName="AgencyRef" ref="A3:D124" totalsRowShown="0" headerRowDxfId="134" headerRowBorderDxfId="133" headerRowCellStyle="Normal_Sheet2">
  <autoFilter ref="A3:D124" xr:uid="{00000000-0009-0000-0100-000001000000}"/>
  <tableColumns count="4">
    <tableColumn id="1" xr3:uid="{00000000-0010-0000-0200-000001000000}" name="Entity Code" dataDxfId="132"/>
    <tableColumn id="2" xr3:uid="{00000000-0010-0000-0200-000002000000}" name="Entity Description" dataDxfId="131"/>
    <tableColumn id="3" xr3:uid="{00000000-0010-0000-0200-000003000000}" name="LenTest" dataDxfId="130">
      <calculatedColumnFormula>LEN(AgencyRef[[#This Row],[Entity Description]])</calculatedColumnFormula>
    </tableColumn>
    <tableColumn id="4" xr3:uid="{00000000-0010-0000-0200-000004000000}" name="Combined for Look-up" dataDxfId="129">
      <calculatedColumnFormula>AgencyRef[[#This Row],[Entity Code]]&amp; "-" &amp;AgencyRef[[#This Row],[Entity Description]]</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AgrmtTypeRef" displayName="AgrmtTypeRef" ref="A1:D12" totalsRowShown="0">
  <autoFilter ref="A1:D12" xr:uid="{00000000-0009-0000-0100-000002000000}"/>
  <tableColumns count="4">
    <tableColumn id="1" xr3:uid="{00000000-0010-0000-0300-000001000000}" name="Code (10)"/>
    <tableColumn id="2" xr3:uid="{00000000-0010-0000-0300-000002000000}" name="Description (50)"/>
    <tableColumn id="4" xr3:uid="{00000000-0010-0000-0300-000004000000}" name="LenTest" dataDxfId="128">
      <calculatedColumnFormula>LEN(AgrmtTypeRef[[#This Row],[Description (50)]])</calculatedColumnFormula>
    </tableColumn>
    <tableColumn id="3" xr3:uid="{00000000-0010-0000-0300-000003000000}" name="Sort" dataDxfId="12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ProvTypeRef" displayName="ProvTypeRef" ref="A1:D12" totalsRowShown="0">
  <autoFilter ref="A1:D12" xr:uid="{00000000-0009-0000-0100-000003000000}"/>
  <sortState xmlns:xlrd2="http://schemas.microsoft.com/office/spreadsheetml/2017/richdata2" ref="A2:D12">
    <sortCondition ref="D2:D12"/>
    <sortCondition ref="A2:A12"/>
  </sortState>
  <tableColumns count="4">
    <tableColumn id="1" xr3:uid="{00000000-0010-0000-0400-000001000000}" name="Code (10)"/>
    <tableColumn id="2" xr3:uid="{00000000-0010-0000-0400-000002000000}" name="Description (50)"/>
    <tableColumn id="6" xr3:uid="{00000000-0010-0000-0400-000006000000}" name="LenTest" dataDxfId="126">
      <calculatedColumnFormula>LEN(ProvTypeRef[[#This Row],[Description (50)]])</calculatedColumnFormula>
    </tableColumn>
    <tableColumn id="5" xr3:uid="{00000000-0010-0000-0400-000005000000}" name="Sort" dataDxfId="12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StatusRef" displayName="StatusRef" ref="A1:C4" totalsRowShown="0">
  <autoFilter ref="A1:C4" xr:uid="{00000000-0009-0000-0100-000004000000}"/>
  <sortState xmlns:xlrd2="http://schemas.microsoft.com/office/spreadsheetml/2017/richdata2" ref="A2:C4">
    <sortCondition ref="C2:C4"/>
    <sortCondition ref="A2:A4"/>
  </sortState>
  <tableColumns count="3">
    <tableColumn id="1" xr3:uid="{00000000-0010-0000-0500-000001000000}" name="Code (5)"/>
    <tableColumn id="2" xr3:uid="{00000000-0010-0000-0500-000002000000}" name="Description (50)"/>
    <tableColumn id="3" xr3:uid="{00000000-0010-0000-0500-000003000000}" name="Sort" dataDxfId="12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RptTypeRef" displayName="RptTypeRef" ref="A1:A5" totalsRowShown="0">
  <autoFilter ref="A1:A5" xr:uid="{00000000-0009-0000-0100-000005000000}"/>
  <tableColumns count="1">
    <tableColumn id="1" xr3:uid="{00000000-0010-0000-0600-000001000000}" name="Descriptio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RptCategoryRef" displayName="RptCategoryRef" ref="A1:B12" totalsRowShown="0">
  <autoFilter ref="A1:B12" xr:uid="{00000000-0009-0000-0100-000006000000}"/>
  <tableColumns count="2">
    <tableColumn id="1" xr3:uid="{00000000-0010-0000-0700-000001000000}" name="FSNoteCategory (50)"/>
    <tableColumn id="2" xr3:uid="{00000000-0010-0000-0700-000002000000}" name="Sort" dataDxfId="12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8000000}" name="AmortMethodRef" displayName="AmortMethodRef" ref="A1:A5" totalsRowShown="0" headerRowDxfId="122">
  <autoFilter ref="A1:A5" xr:uid="{00000000-0009-0000-0100-000007000000}"/>
  <tableColumns count="1">
    <tableColumn id="1" xr3:uid="{00000000-0010-0000-0800-000001000000}" name="Cod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zoomScale="110" zoomScaleNormal="110" workbookViewId="0">
      <selection activeCell="K9" sqref="K9"/>
    </sheetView>
  </sheetViews>
  <sheetFormatPr defaultRowHeight="15" x14ac:dyDescent="0.25"/>
  <sheetData/>
  <sheetProtection algorithmName="SHA-512" hashValue="a/pWZJMVw3/MaM3ZWt1rhnFsy7O+Wqv8vrKiapqwaW0PKxmw8QzMl/pD1Keot/8Sm9VAJBt0q3Xxl3g4zJ1Vgg==" saltValue="tB16GoT/JUjQw7anJMW8ng=="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12"/>
  <sheetViews>
    <sheetView workbookViewId="0">
      <pane ySplit="1" topLeftCell="A2" activePane="bottomLeft" state="frozen"/>
      <selection activeCell="B24" sqref="B24"/>
      <selection pane="bottomLeft"/>
    </sheetView>
  </sheetViews>
  <sheetFormatPr defaultRowHeight="15" x14ac:dyDescent="0.25"/>
  <cols>
    <col min="1" max="1" width="15.7109375" customWidth="1"/>
    <col min="2" max="2" width="30.7109375" customWidth="1"/>
    <col min="3" max="3" width="12.7109375" style="3" customWidth="1"/>
    <col min="4" max="4" width="10.7109375" style="3" customWidth="1"/>
  </cols>
  <sheetData>
    <row r="1" spans="1:4" x14ac:dyDescent="0.25">
      <c r="A1" t="s">
        <v>282</v>
      </c>
      <c r="B1" t="s">
        <v>283</v>
      </c>
      <c r="C1" s="3" t="s">
        <v>254</v>
      </c>
      <c r="D1" s="3" t="s">
        <v>259</v>
      </c>
    </row>
    <row r="2" spans="1:4" x14ac:dyDescent="0.25">
      <c r="A2" t="s">
        <v>266</v>
      </c>
      <c r="B2" t="s">
        <v>267</v>
      </c>
      <c r="C2" s="3">
        <f>LEN(ProvTypeRef[[#This Row],[Description (50)]])</f>
        <v>4</v>
      </c>
      <c r="D2" s="3">
        <v>10</v>
      </c>
    </row>
    <row r="3" spans="1:4" x14ac:dyDescent="0.25">
      <c r="A3" t="s">
        <v>268</v>
      </c>
      <c r="B3" t="s">
        <v>269</v>
      </c>
      <c r="C3" s="3">
        <f>LEN(ProvTypeRef[[#This Row],[Description (50)]])</f>
        <v>17</v>
      </c>
      <c r="D3" s="3">
        <v>10</v>
      </c>
    </row>
    <row r="4" spans="1:4" x14ac:dyDescent="0.25">
      <c r="A4" t="s">
        <v>272</v>
      </c>
      <c r="B4" t="s">
        <v>273</v>
      </c>
      <c r="C4" s="3">
        <f>LEN(ProvTypeRef[[#This Row],[Description (50)]])</f>
        <v>21</v>
      </c>
      <c r="D4" s="3">
        <v>20</v>
      </c>
    </row>
    <row r="5" spans="1:4" x14ac:dyDescent="0.25">
      <c r="A5" t="s">
        <v>270</v>
      </c>
      <c r="B5" t="s">
        <v>271</v>
      </c>
      <c r="C5" s="3">
        <f>LEN(ProvTypeRef[[#This Row],[Description (50)]])</f>
        <v>9</v>
      </c>
      <c r="D5" s="3">
        <v>20</v>
      </c>
    </row>
    <row r="6" spans="1:4" x14ac:dyDescent="0.25">
      <c r="A6" t="s">
        <v>276</v>
      </c>
      <c r="B6" t="s">
        <v>277</v>
      </c>
      <c r="C6" s="3">
        <f>LEN(ProvTypeRef[[#This Row],[Description (50)]])</f>
        <v>15</v>
      </c>
      <c r="D6" s="3">
        <v>30</v>
      </c>
    </row>
    <row r="7" spans="1:4" x14ac:dyDescent="0.25">
      <c r="A7" t="s">
        <v>278</v>
      </c>
      <c r="B7" t="s">
        <v>279</v>
      </c>
      <c r="C7" s="3">
        <f>LEN(ProvTypeRef[[#This Row],[Description (50)]])</f>
        <v>16</v>
      </c>
      <c r="D7" s="3">
        <v>30</v>
      </c>
    </row>
    <row r="8" spans="1:4" x14ac:dyDescent="0.25">
      <c r="A8" t="s">
        <v>274</v>
      </c>
      <c r="B8" t="s">
        <v>275</v>
      </c>
      <c r="C8" s="3">
        <f>LEN(ProvTypeRef[[#This Row],[Description (50)]])</f>
        <v>8</v>
      </c>
      <c r="D8" s="3">
        <v>30</v>
      </c>
    </row>
    <row r="9" spans="1:4" x14ac:dyDescent="0.25">
      <c r="A9" t="s">
        <v>280</v>
      </c>
      <c r="B9" t="s">
        <v>281</v>
      </c>
      <c r="C9" s="3">
        <f>LEN(ProvTypeRef[[#This Row],[Description (50)]])</f>
        <v>14</v>
      </c>
      <c r="D9" s="3">
        <v>40</v>
      </c>
    </row>
    <row r="10" spans="1:4" x14ac:dyDescent="0.25">
      <c r="A10" t="s">
        <v>264</v>
      </c>
      <c r="B10" t="s">
        <v>265</v>
      </c>
      <c r="C10" s="3">
        <f>LEN(ProvTypeRef[[#This Row],[Description (50)]])</f>
        <v>11</v>
      </c>
      <c r="D10" s="3">
        <v>40</v>
      </c>
    </row>
    <row r="11" spans="1:4" x14ac:dyDescent="0.25">
      <c r="A11" t="s">
        <v>260</v>
      </c>
      <c r="B11" t="s">
        <v>261</v>
      </c>
      <c r="C11" s="3">
        <f>LEN(ProvTypeRef[[#This Row],[Description (50)]])</f>
        <v>8</v>
      </c>
      <c r="D11" s="3">
        <v>40</v>
      </c>
    </row>
    <row r="12" spans="1:4" x14ac:dyDescent="0.25">
      <c r="A12" t="s">
        <v>262</v>
      </c>
      <c r="B12" t="s">
        <v>263</v>
      </c>
      <c r="C12" s="3">
        <f>LEN(ProvTypeRef[[#This Row],[Description (50)]])</f>
        <v>8</v>
      </c>
      <c r="D12" s="3">
        <v>50</v>
      </c>
    </row>
  </sheetData>
  <sheetProtection algorithmName="SHA-512" hashValue="X/TWMqMSsNc4Ole+XJZ64PJSe71RJOxu6QaPwz1DRDRySbcRh2/+CKriI9amz812C2XBrP1/fjK0qnUBFlTY4Q==" saltValue="euACmBCAbABtyivHin5iNA==" spinCount="100000" sheet="1" objects="1" scenarios="1"/>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4"/>
  <sheetViews>
    <sheetView workbookViewId="0">
      <pane ySplit="1" topLeftCell="A2" activePane="bottomLeft" state="frozen"/>
      <selection activeCell="B24" sqref="B24"/>
      <selection pane="bottomLeft" activeCell="A2" sqref="A2"/>
    </sheetView>
  </sheetViews>
  <sheetFormatPr defaultRowHeight="15" x14ac:dyDescent="0.25"/>
  <cols>
    <col min="1" max="1" width="13.7109375" customWidth="1"/>
    <col min="2" max="2" width="25.7109375" customWidth="1"/>
    <col min="3" max="3" width="13.7109375" style="3" customWidth="1"/>
  </cols>
  <sheetData>
    <row r="1" spans="1:3" x14ac:dyDescent="0.25">
      <c r="A1" t="s">
        <v>290</v>
      </c>
      <c r="B1" t="s">
        <v>283</v>
      </c>
      <c r="C1" s="3" t="s">
        <v>259</v>
      </c>
    </row>
    <row r="2" spans="1:3" x14ac:dyDescent="0.25">
      <c r="A2" t="s">
        <v>285</v>
      </c>
      <c r="B2" t="s">
        <v>1</v>
      </c>
      <c r="C2" s="3">
        <v>20</v>
      </c>
    </row>
    <row r="3" spans="1:3" x14ac:dyDescent="0.25">
      <c r="A3" t="s">
        <v>286</v>
      </c>
      <c r="B3" t="s">
        <v>287</v>
      </c>
      <c r="C3" s="3">
        <v>50</v>
      </c>
    </row>
    <row r="4" spans="1:3" x14ac:dyDescent="0.25">
      <c r="A4" t="s">
        <v>288</v>
      </c>
      <c r="B4" t="s">
        <v>289</v>
      </c>
      <c r="C4" s="3">
        <v>60</v>
      </c>
    </row>
  </sheetData>
  <sheetProtection algorithmName="SHA-512" hashValue="NYc5a7XfGhvXj3SP0dCTVZsPBuX9hbN18+584YFR86kwgdxAkLFDZyW3IUKFAfzkckZRKxI4BodHX4KJSazGJg==" saltValue="Ies0/wyimEhj+u+z1MPfTQ=="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5"/>
  <sheetViews>
    <sheetView workbookViewId="0">
      <pane ySplit="1" topLeftCell="A2" activePane="bottomLeft" state="frozen"/>
      <selection activeCell="B24" sqref="B24"/>
      <selection pane="bottomLeft" activeCell="A2" sqref="A2"/>
    </sheetView>
  </sheetViews>
  <sheetFormatPr defaultRowHeight="15" x14ac:dyDescent="0.25"/>
  <cols>
    <col min="1" max="1" width="30.7109375" customWidth="1"/>
  </cols>
  <sheetData>
    <row r="1" spans="1:1" x14ac:dyDescent="0.25">
      <c r="A1" t="s">
        <v>2</v>
      </c>
    </row>
    <row r="2" spans="1:1" x14ac:dyDescent="0.25">
      <c r="A2" t="s">
        <v>291</v>
      </c>
    </row>
    <row r="3" spans="1:1" x14ac:dyDescent="0.25">
      <c r="A3" t="s">
        <v>292</v>
      </c>
    </row>
    <row r="4" spans="1:1" x14ac:dyDescent="0.25">
      <c r="A4" t="s">
        <v>293</v>
      </c>
    </row>
    <row r="5" spans="1:1" x14ac:dyDescent="0.25">
      <c r="A5" t="s">
        <v>294</v>
      </c>
    </row>
  </sheetData>
  <sheetProtection algorithmName="SHA-512" hashValue="TfnALkMuZNdZOkmhawIaLWX7NumtNPK3rCyCx8XKrDR0B+2hsi8UFpdje/FUKGeKMZn/3x+vm3+Exk7lFgWcsQ==" saltValue="7TVfkqFk3Wc/WnnAncRHS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12"/>
  <sheetViews>
    <sheetView workbookViewId="0">
      <pane ySplit="1" topLeftCell="A2" activePane="bottomLeft" state="frozen"/>
      <selection activeCell="B24" sqref="B24"/>
      <selection pane="bottomLeft" activeCell="A2" sqref="A2"/>
    </sheetView>
  </sheetViews>
  <sheetFormatPr defaultRowHeight="15" x14ac:dyDescent="0.25"/>
  <cols>
    <col min="1" max="1" width="27.28515625" customWidth="1"/>
    <col min="2" max="2" width="10.85546875" style="3" customWidth="1"/>
  </cols>
  <sheetData>
    <row r="1" spans="1:2" x14ac:dyDescent="0.25">
      <c r="A1" t="s">
        <v>295</v>
      </c>
      <c r="B1" s="3" t="s">
        <v>259</v>
      </c>
    </row>
    <row r="2" spans="1:2" x14ac:dyDescent="0.25">
      <c r="A2" t="s">
        <v>267</v>
      </c>
      <c r="B2" s="3">
        <v>10</v>
      </c>
    </row>
    <row r="3" spans="1:2" x14ac:dyDescent="0.25">
      <c r="A3" t="s">
        <v>269</v>
      </c>
      <c r="B3" s="3">
        <v>10</v>
      </c>
    </row>
    <row r="4" spans="1:2" x14ac:dyDescent="0.25">
      <c r="A4" t="s">
        <v>273</v>
      </c>
      <c r="B4" s="3">
        <v>20</v>
      </c>
    </row>
    <row r="5" spans="1:2" x14ac:dyDescent="0.25">
      <c r="A5" t="s">
        <v>271</v>
      </c>
      <c r="B5" s="3">
        <v>20</v>
      </c>
    </row>
    <row r="6" spans="1:2" x14ac:dyDescent="0.25">
      <c r="A6" t="s">
        <v>277</v>
      </c>
      <c r="B6" s="3">
        <v>30</v>
      </c>
    </row>
    <row r="7" spans="1:2" x14ac:dyDescent="0.25">
      <c r="A7" t="s">
        <v>279</v>
      </c>
      <c r="B7" s="3">
        <v>30</v>
      </c>
    </row>
    <row r="8" spans="1:2" x14ac:dyDescent="0.25">
      <c r="A8" t="s">
        <v>275</v>
      </c>
      <c r="B8" s="3">
        <v>30</v>
      </c>
    </row>
    <row r="9" spans="1:2" x14ac:dyDescent="0.25">
      <c r="A9" t="s">
        <v>281</v>
      </c>
      <c r="B9" s="3">
        <v>40</v>
      </c>
    </row>
    <row r="10" spans="1:2" x14ac:dyDescent="0.25">
      <c r="A10" t="s">
        <v>265</v>
      </c>
      <c r="B10" s="3">
        <v>40</v>
      </c>
    </row>
    <row r="11" spans="1:2" x14ac:dyDescent="0.25">
      <c r="A11" t="s">
        <v>261</v>
      </c>
      <c r="B11" s="3">
        <v>40</v>
      </c>
    </row>
    <row r="12" spans="1:2" x14ac:dyDescent="0.25">
      <c r="A12" t="s">
        <v>263</v>
      </c>
      <c r="B12" s="3">
        <v>50</v>
      </c>
    </row>
  </sheetData>
  <sheetProtection algorithmName="SHA-512" hashValue="L8MqsGWHMQoodqaUx2MWbfFiElv3fW119yo5uFPKYzxRjv+CJOvpdOTjSngs9zsmZiV4NhN6BCqKIqb14clQew==" saltValue="MtuZgdq3RHDOxw/sE/h59g==" spinCount="100000" sheet="1" objects="1" scenarios="1"/>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5"/>
  <sheetViews>
    <sheetView workbookViewId="0">
      <pane ySplit="1" topLeftCell="A2" activePane="bottomLeft" state="frozen"/>
      <selection activeCell="B24" sqref="B24"/>
      <selection pane="bottomLeft" activeCell="A2" sqref="A2"/>
    </sheetView>
  </sheetViews>
  <sheetFormatPr defaultRowHeight="15" x14ac:dyDescent="0.25"/>
  <cols>
    <col min="1" max="1" width="21.5703125" customWidth="1"/>
  </cols>
  <sheetData>
    <row r="1" spans="1:1" x14ac:dyDescent="0.25">
      <c r="A1" s="1" t="s">
        <v>258</v>
      </c>
    </row>
    <row r="2" spans="1:1" x14ac:dyDescent="0.25">
      <c r="A2" t="s">
        <v>296</v>
      </c>
    </row>
    <row r="3" spans="1:1" x14ac:dyDescent="0.25">
      <c r="A3" t="s">
        <v>297</v>
      </c>
    </row>
    <row r="4" spans="1:1" x14ac:dyDescent="0.25">
      <c r="A4" t="s">
        <v>298</v>
      </c>
    </row>
    <row r="5" spans="1:1" x14ac:dyDescent="0.25">
      <c r="A5" t="s">
        <v>299</v>
      </c>
    </row>
  </sheetData>
  <sheetProtection algorithmName="SHA-512" hashValue="+38qoc5m0esFtgJOCFTRu0r0QSVXUfY9Qo1HCRvb00pP5c35o6B4/QAn4Oa4pzhK/eJ6Yu+wpdspZ/2IZF8liQ==" saltValue="J1i4wT1rRlI98L5RrHM+sg==" spinCount="100000" sheet="1" objects="1" scenarios="1"/>
  <pageMargins left="0.7" right="0.7" top="0.75" bottom="0.75" header="0.3" footer="0.3"/>
  <pageSetup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43"/>
  <sheetViews>
    <sheetView workbookViewId="0">
      <pane ySplit="1" topLeftCell="A2" activePane="bottomLeft" state="frozen"/>
      <selection activeCell="B24" sqref="B24"/>
      <selection pane="bottomLeft" activeCell="A2" sqref="A2"/>
    </sheetView>
  </sheetViews>
  <sheetFormatPr defaultRowHeight="15" x14ac:dyDescent="0.25"/>
  <cols>
    <col min="1" max="1" width="19.42578125" bestFit="1" customWidth="1"/>
    <col min="2" max="2" width="36" bestFit="1" customWidth="1"/>
    <col min="3" max="3" width="36.7109375" customWidth="1"/>
  </cols>
  <sheetData>
    <row r="1" spans="1:5" x14ac:dyDescent="0.25">
      <c r="A1" t="s">
        <v>258</v>
      </c>
      <c r="B1" t="s">
        <v>2</v>
      </c>
      <c r="C1" t="s">
        <v>387</v>
      </c>
    </row>
    <row r="2" spans="1:5" x14ac:dyDescent="0.25">
      <c r="A2">
        <v>106000</v>
      </c>
      <c r="B2" t="s">
        <v>265</v>
      </c>
      <c r="C2" t="str">
        <f>GLAccountRef[[#This Row],[Code]]&amp;": "&amp;GLAccountRef[[#This Row],[Description]]</f>
        <v>106000: Investments</v>
      </c>
      <c r="E2">
        <f>COUNTIF(GLAccountRef[CodeDescr],GLAccountRef[[#This Row],[CodeDescr]])</f>
        <v>1</v>
      </c>
    </row>
    <row r="3" spans="1:5" x14ac:dyDescent="0.25">
      <c r="A3">
        <v>117000</v>
      </c>
      <c r="B3" t="s">
        <v>378</v>
      </c>
      <c r="C3" t="str">
        <f>GLAccountRef[[#This Row],[Code]]&amp;": "&amp;GLAccountRef[[#This Row],[Description]]</f>
        <v>117000: Leases Receivable</v>
      </c>
    </row>
    <row r="4" spans="1:5" x14ac:dyDescent="0.25">
      <c r="A4">
        <v>170000</v>
      </c>
      <c r="B4" t="s">
        <v>349</v>
      </c>
      <c r="C4" t="str">
        <f>GLAccountRef[[#This Row],[Code]]&amp;": "&amp;GLAccountRef[[#This Row],[Description]]</f>
        <v>170000: Fixed Assets</v>
      </c>
    </row>
    <row r="5" spans="1:5" x14ac:dyDescent="0.25">
      <c r="A5">
        <v>170100</v>
      </c>
      <c r="B5" t="s">
        <v>350</v>
      </c>
      <c r="C5" t="str">
        <f>GLAccountRef[[#This Row],[Code]]&amp;": "&amp;GLAccountRef[[#This Row],[Description]]</f>
        <v>170100: Accumulated Depreciation</v>
      </c>
    </row>
    <row r="6" spans="1:5" x14ac:dyDescent="0.25">
      <c r="A6">
        <v>170150</v>
      </c>
      <c r="B6" t="s">
        <v>267</v>
      </c>
      <c r="C6" t="str">
        <f>GLAccountRef[[#This Row],[Code]]&amp;": "&amp;GLAccountRef[[#This Row],[Description]]</f>
        <v>170150: Land</v>
      </c>
    </row>
    <row r="7" spans="1:5" x14ac:dyDescent="0.25">
      <c r="A7">
        <v>170200</v>
      </c>
      <c r="B7" t="s">
        <v>269</v>
      </c>
      <c r="C7" t="str">
        <f>GLAccountRef[[#This Row],[Code]]&amp;": "&amp;GLAccountRef[[#This Row],[Description]]</f>
        <v>170200: Land Improvements</v>
      </c>
    </row>
    <row r="8" spans="1:5" x14ac:dyDescent="0.25">
      <c r="A8">
        <v>170300</v>
      </c>
      <c r="B8" t="s">
        <v>351</v>
      </c>
      <c r="C8" t="str">
        <f>GLAccountRef[[#This Row],[Code]]&amp;": "&amp;GLAccountRef[[#This Row],[Description]]</f>
        <v>170300: Buildings and Improvements</v>
      </c>
    </row>
    <row r="9" spans="1:5" x14ac:dyDescent="0.25">
      <c r="A9">
        <v>170400</v>
      </c>
      <c r="B9" t="s">
        <v>352</v>
      </c>
      <c r="C9" t="str">
        <f>GLAccountRef[[#This Row],[Code]]&amp;": "&amp;GLAccountRef[[#This Row],[Description]]</f>
        <v>170400: Machinery and Equipment</v>
      </c>
    </row>
    <row r="10" spans="1:5" x14ac:dyDescent="0.25">
      <c r="A10">
        <v>170500</v>
      </c>
      <c r="B10" t="s">
        <v>281</v>
      </c>
      <c r="C10" t="str">
        <f>GLAccountRef[[#This Row],[Code]]&amp;": "&amp;GLAccountRef[[#This Row],[Description]]</f>
        <v>170500: Infrastructure</v>
      </c>
    </row>
    <row r="11" spans="1:5" x14ac:dyDescent="0.25">
      <c r="A11">
        <v>170600</v>
      </c>
      <c r="B11" t="s">
        <v>361</v>
      </c>
      <c r="C11" t="str">
        <f>GLAccountRef[[#This Row],[Code]]&amp;": "&amp;GLAccountRef[[#This Row],[Description]]</f>
        <v>170600: Art and Artifacts</v>
      </c>
    </row>
    <row r="12" spans="1:5" x14ac:dyDescent="0.25">
      <c r="A12">
        <v>170800</v>
      </c>
      <c r="B12" t="s">
        <v>354</v>
      </c>
      <c r="C12" t="str">
        <f>GLAccountRef[[#This Row],[Code]]&amp;": "&amp;GLAccountRef[[#This Row],[Description]]</f>
        <v>170800: Leased Equipment</v>
      </c>
    </row>
    <row r="13" spans="1:5" x14ac:dyDescent="0.25">
      <c r="A13">
        <v>170900</v>
      </c>
      <c r="B13" t="s">
        <v>353</v>
      </c>
      <c r="C13" t="str">
        <f>GLAccountRef[[#This Row],[Code]]&amp;": "&amp;GLAccountRef[[#This Row],[Description]]</f>
        <v>170900: Leased Building</v>
      </c>
    </row>
    <row r="14" spans="1:5" x14ac:dyDescent="0.25">
      <c r="A14">
        <v>171200</v>
      </c>
      <c r="B14" t="s">
        <v>355</v>
      </c>
      <c r="C14" t="str">
        <f>GLAccountRef[[#This Row],[Code]]&amp;": "&amp;GLAccountRef[[#This Row],[Description]]</f>
        <v>171200: AD - Land Improvements</v>
      </c>
    </row>
    <row r="15" spans="1:5" x14ac:dyDescent="0.25">
      <c r="A15">
        <v>171300</v>
      </c>
      <c r="B15" t="s">
        <v>356</v>
      </c>
      <c r="C15" t="str">
        <f>GLAccountRef[[#This Row],[Code]]&amp;": "&amp;GLAccountRef[[#This Row],[Description]]</f>
        <v>171300: AD - Building and Improvements</v>
      </c>
    </row>
    <row r="16" spans="1:5" x14ac:dyDescent="0.25">
      <c r="A16">
        <v>171400</v>
      </c>
      <c r="B16" t="s">
        <v>357</v>
      </c>
      <c r="C16" t="str">
        <f>GLAccountRef[[#This Row],[Code]]&amp;": "&amp;GLAccountRef[[#This Row],[Description]]</f>
        <v>171400: AD - Machinery and Equipment</v>
      </c>
    </row>
    <row r="17" spans="1:3" x14ac:dyDescent="0.25">
      <c r="A17">
        <v>171500</v>
      </c>
      <c r="B17" t="s">
        <v>358</v>
      </c>
      <c r="C17" t="str">
        <f>GLAccountRef[[#This Row],[Code]]&amp;": "&amp;GLAccountRef[[#This Row],[Description]]</f>
        <v>171500: AD - Infrastructure</v>
      </c>
    </row>
    <row r="18" spans="1:3" x14ac:dyDescent="0.25">
      <c r="A18">
        <v>171800</v>
      </c>
      <c r="B18" t="s">
        <v>359</v>
      </c>
      <c r="C18" t="str">
        <f>GLAccountRef[[#This Row],[Code]]&amp;": "&amp;GLAccountRef[[#This Row],[Description]]</f>
        <v>171800: AD - Leased Equipment</v>
      </c>
    </row>
    <row r="19" spans="1:3" x14ac:dyDescent="0.25">
      <c r="A19">
        <v>171900</v>
      </c>
      <c r="B19" t="s">
        <v>360</v>
      </c>
      <c r="C19" t="str">
        <f>GLAccountRef[[#This Row],[Code]]&amp;": "&amp;GLAccountRef[[#This Row],[Description]]</f>
        <v>171900: AD - Leased Buildings</v>
      </c>
    </row>
    <row r="20" spans="1:3" x14ac:dyDescent="0.25">
      <c r="A20">
        <v>187000</v>
      </c>
      <c r="B20" t="s">
        <v>379</v>
      </c>
      <c r="C20" t="str">
        <f>GLAccountRef[[#This Row],[Code]]&amp;": "&amp;GLAccountRef[[#This Row],[Description]]</f>
        <v>187000: L-T Leases Receivable</v>
      </c>
    </row>
    <row r="21" spans="1:3" x14ac:dyDescent="0.25">
      <c r="A21">
        <v>262000</v>
      </c>
      <c r="B21" t="s">
        <v>362</v>
      </c>
      <c r="C21" t="str">
        <f>GLAccountRef[[#This Row],[Code]]&amp;": "&amp;GLAccountRef[[#This Row],[Description]]</f>
        <v>262000: Capital Lease Liability</v>
      </c>
    </row>
    <row r="22" spans="1:3" x14ac:dyDescent="0.25">
      <c r="A22">
        <v>285800</v>
      </c>
      <c r="B22" t="s">
        <v>346</v>
      </c>
      <c r="C22" t="str">
        <f>GLAccountRef[[#This Row],[Code]]&amp;": "&amp;GLAccountRef[[#This Row],[Description]]</f>
        <v>285800: LT Capital Lease Liability</v>
      </c>
    </row>
    <row r="23" spans="1:3" x14ac:dyDescent="0.25">
      <c r="A23">
        <v>440000</v>
      </c>
      <c r="B23" t="s">
        <v>384</v>
      </c>
      <c r="C23" t="str">
        <f>GLAccountRef[[#This Row],[Code]]&amp;": "&amp;GLAccountRef[[#This Row],[Description]]</f>
        <v>440000: Interest Income - Leases</v>
      </c>
    </row>
    <row r="24" spans="1:3" x14ac:dyDescent="0.25">
      <c r="A24">
        <v>480000</v>
      </c>
      <c r="B24" t="s">
        <v>347</v>
      </c>
      <c r="C24" t="str">
        <f>GLAccountRef[[#This Row],[Code]]&amp;": "&amp;GLAccountRef[[#This Row],[Description]]</f>
        <v>480000: Other Income</v>
      </c>
    </row>
    <row r="25" spans="1:3" x14ac:dyDescent="0.25">
      <c r="A25">
        <v>531600</v>
      </c>
      <c r="B25" t="s">
        <v>348</v>
      </c>
      <c r="C25" t="str">
        <f>GLAccountRef[[#This Row],[Code]]&amp;": "&amp;GLAccountRef[[#This Row],[Description]]</f>
        <v>531600: Miscellaneous Expense</v>
      </c>
    </row>
    <row r="26" spans="1:3" x14ac:dyDescent="0.25">
      <c r="A26">
        <v>532110</v>
      </c>
      <c r="B26" t="s">
        <v>376</v>
      </c>
      <c r="C26" t="str">
        <f>GLAccountRef[[#This Row],[Code]]&amp;": "&amp;GLAccountRef[[#This Row],[Description]]</f>
        <v>532110: Rent of Office Space</v>
      </c>
    </row>
    <row r="27" spans="1:3" x14ac:dyDescent="0.25">
      <c r="A27">
        <v>532120</v>
      </c>
      <c r="B27" t="s">
        <v>363</v>
      </c>
      <c r="C27" t="str">
        <f>GLAccountRef[[#This Row],[Code]]&amp;": "&amp;GLAccountRef[[#This Row],[Description]]</f>
        <v>532120: Rent of Land</v>
      </c>
    </row>
    <row r="28" spans="1:3" x14ac:dyDescent="0.25">
      <c r="A28">
        <v>532130</v>
      </c>
      <c r="B28" t="s">
        <v>364</v>
      </c>
      <c r="C28" t="str">
        <f>GLAccountRef[[#This Row],[Code]]&amp;": "&amp;GLAccountRef[[#This Row],[Description]]</f>
        <v>532130: Rent of Other Building Space</v>
      </c>
    </row>
    <row r="29" spans="1:3" x14ac:dyDescent="0.25">
      <c r="A29">
        <v>532140</v>
      </c>
      <c r="B29" t="s">
        <v>365</v>
      </c>
      <c r="C29" t="str">
        <f>GLAccountRef[[#This Row],[Code]]&amp;": "&amp;GLAccountRef[[#This Row],[Description]]</f>
        <v>532140: Rent Equipment and Machinery</v>
      </c>
    </row>
    <row r="30" spans="1:3" x14ac:dyDescent="0.25">
      <c r="A30">
        <v>532141</v>
      </c>
      <c r="B30" t="s">
        <v>366</v>
      </c>
      <c r="C30" t="str">
        <f>GLAccountRef[[#This Row],[Code]]&amp;": "&amp;GLAccountRef[[#This Row],[Description]]</f>
        <v>532141: Rent of Motor Vehicles</v>
      </c>
    </row>
    <row r="31" spans="1:3" x14ac:dyDescent="0.25">
      <c r="A31">
        <v>532142</v>
      </c>
      <c r="B31" t="s">
        <v>367</v>
      </c>
      <c r="C31" t="str">
        <f>GLAccountRef[[#This Row],[Code]]&amp;": "&amp;GLAccountRef[[#This Row],[Description]]</f>
        <v>532142: Lease of Motor Vehicles</v>
      </c>
    </row>
    <row r="32" spans="1:3" x14ac:dyDescent="0.25">
      <c r="A32">
        <v>532150</v>
      </c>
      <c r="B32" t="s">
        <v>368</v>
      </c>
      <c r="C32" t="str">
        <f>GLAccountRef[[#This Row],[Code]]&amp;": "&amp;GLAccountRef[[#This Row],[Description]]</f>
        <v>532150: Rent Telecommunications Equip</v>
      </c>
    </row>
    <row r="33" spans="1:3" x14ac:dyDescent="0.25">
      <c r="A33">
        <v>532160</v>
      </c>
      <c r="B33" t="s">
        <v>369</v>
      </c>
      <c r="C33" t="str">
        <f>GLAccountRef[[#This Row],[Code]]&amp;": "&amp;GLAccountRef[[#This Row],[Description]]</f>
        <v>532160: Rent Elec Data Processing Equip</v>
      </c>
    </row>
    <row r="34" spans="1:3" x14ac:dyDescent="0.25">
      <c r="A34">
        <v>532170</v>
      </c>
      <c r="B34" t="s">
        <v>370</v>
      </c>
      <c r="C34" t="str">
        <f>GLAccountRef[[#This Row],[Code]]&amp;": "&amp;GLAccountRef[[#This Row],[Description]]</f>
        <v>532170: Rent Data Processing Software</v>
      </c>
    </row>
    <row r="35" spans="1:3" x14ac:dyDescent="0.25">
      <c r="A35">
        <v>532190</v>
      </c>
      <c r="B35" t="s">
        <v>371</v>
      </c>
      <c r="C35" t="str">
        <f>GLAccountRef[[#This Row],[Code]]&amp;": "&amp;GLAccountRef[[#This Row],[Description]]</f>
        <v>532190: Other Rents</v>
      </c>
    </row>
    <row r="36" spans="1:3" x14ac:dyDescent="0.25">
      <c r="A36">
        <v>543110</v>
      </c>
      <c r="B36" t="s">
        <v>372</v>
      </c>
      <c r="C36" t="str">
        <f>GLAccountRef[[#This Row],[Code]]&amp;": "&amp;GLAccountRef[[#This Row],[Description]]</f>
        <v>543110: Lease Purchase - Furniture, Equip</v>
      </c>
    </row>
    <row r="37" spans="1:3" x14ac:dyDescent="0.25">
      <c r="A37">
        <v>543120</v>
      </c>
      <c r="B37" t="s">
        <v>373</v>
      </c>
      <c r="C37" t="str">
        <f>GLAccountRef[[#This Row],[Code]]&amp;": "&amp;GLAccountRef[[#This Row],[Description]]</f>
        <v>543120: Lease Purchase DP Equipment</v>
      </c>
    </row>
    <row r="38" spans="1:3" x14ac:dyDescent="0.25">
      <c r="A38">
        <v>543130</v>
      </c>
      <c r="B38" t="s">
        <v>374</v>
      </c>
      <c r="C38" t="str">
        <f>GLAccountRef[[#This Row],[Code]]&amp;": "&amp;GLAccountRef[[#This Row],[Description]]</f>
        <v>543130: Lease Purchase Land, Building</v>
      </c>
    </row>
    <row r="39" spans="1:3" x14ac:dyDescent="0.25">
      <c r="A39">
        <v>543140</v>
      </c>
      <c r="B39" t="s">
        <v>377</v>
      </c>
      <c r="C39" t="str">
        <f>GLAccountRef[[#This Row],[Code]]&amp;": "&amp;GLAccountRef[[#This Row],[Description]]</f>
        <v>543140: Lease Purchase-Land, Buildings</v>
      </c>
    </row>
    <row r="40" spans="1:3" x14ac:dyDescent="0.25">
      <c r="A40">
        <v>543150</v>
      </c>
      <c r="B40" t="s">
        <v>375</v>
      </c>
      <c r="C40" t="str">
        <f>GLAccountRef[[#This Row],[Code]]&amp;": "&amp;GLAccountRef[[#This Row],[Description]]</f>
        <v>543150: Lease Purchase Telecomm</v>
      </c>
    </row>
    <row r="41" spans="1:3" x14ac:dyDescent="0.25">
      <c r="A41">
        <v>548120</v>
      </c>
      <c r="B41" t="s">
        <v>385</v>
      </c>
      <c r="C41" t="str">
        <f>GLAccountRef[[#This Row],[Code]]&amp;": "&amp;GLAccountRef[[#This Row],[Description]]</f>
        <v>548120: Interest Expense - Leases</v>
      </c>
    </row>
    <row r="42" spans="1:3" x14ac:dyDescent="0.25">
      <c r="A42" t="s">
        <v>380</v>
      </c>
      <c r="B42" t="s">
        <v>381</v>
      </c>
      <c r="C42" t="str">
        <f>GLAccountRef[[#This Row],[Code]]&amp;": "&amp;GLAccountRef[[#This Row],[Description]]</f>
        <v>DEF LEASE INFLOW : Deferred inflows from Capital Leases</v>
      </c>
    </row>
    <row r="43" spans="1:3" x14ac:dyDescent="0.25">
      <c r="A43" t="s">
        <v>382</v>
      </c>
      <c r="B43" t="s">
        <v>383</v>
      </c>
      <c r="C43" t="str">
        <f>GLAccountRef[[#This Row],[Code]]&amp;": "&amp;GLAccountRef[[#This Row],[Description]]</f>
        <v>DEF LEASE OUTFLOW: Deferred Outflows from Capital Leases</v>
      </c>
    </row>
  </sheetData>
  <sheetProtection algorithmName="SHA-512" hashValue="1Plco6A7XwKgTshaHB7nyNIXS9GHxViu+kuoACkaITmcqMseEFG9wRxSnlVa5opwnUUS8KI914UAzeadOxS4Yg==" saltValue="LQh7OqdSX34n/dpZGhAMUQ==" spinCount="100000" sheet="1" objects="1" scenarios="1"/>
  <sortState xmlns:xlrd2="http://schemas.microsoft.com/office/spreadsheetml/2017/richdata2" ref="A2:B43">
    <sortCondition ref="A1"/>
  </sortState>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6"/>
  <sheetViews>
    <sheetView tabSelected="1" workbookViewId="0">
      <selection activeCell="B3" sqref="B3"/>
    </sheetView>
  </sheetViews>
  <sheetFormatPr defaultRowHeight="15" x14ac:dyDescent="0.25"/>
  <cols>
    <col min="1" max="1" width="21.42578125" customWidth="1"/>
    <col min="2" max="2" width="48.28515625" customWidth="1"/>
    <col min="3" max="3" width="48.42578125" bestFit="1" customWidth="1"/>
  </cols>
  <sheetData>
    <row r="1" spans="1:3" x14ac:dyDescent="0.25">
      <c r="A1" s="1" t="s">
        <v>257</v>
      </c>
    </row>
    <row r="3" spans="1:3" x14ac:dyDescent="0.25">
      <c r="A3" s="1" t="s">
        <v>12</v>
      </c>
      <c r="B3" s="66"/>
      <c r="C3" t="s">
        <v>694</v>
      </c>
    </row>
    <row r="4" spans="1:3" x14ac:dyDescent="0.25">
      <c r="A4" s="1"/>
    </row>
    <row r="5" spans="1:3" x14ac:dyDescent="0.25">
      <c r="A5" s="1" t="s">
        <v>13</v>
      </c>
      <c r="B5" s="66"/>
      <c r="C5" t="s">
        <v>694</v>
      </c>
    </row>
    <row r="6" spans="1:3" x14ac:dyDescent="0.25">
      <c r="A6" s="1" t="s">
        <v>696</v>
      </c>
      <c r="B6" s="66"/>
      <c r="C6" t="s">
        <v>694</v>
      </c>
    </row>
    <row r="7" spans="1:3" ht="30" x14ac:dyDescent="0.25">
      <c r="A7" s="13" t="s">
        <v>14</v>
      </c>
      <c r="B7" s="67"/>
      <c r="C7" s="12" t="s">
        <v>695</v>
      </c>
    </row>
    <row r="8" spans="1:3" x14ac:dyDescent="0.25">
      <c r="A8" s="13" t="s">
        <v>15</v>
      </c>
      <c r="B8" s="68"/>
      <c r="C8" s="12"/>
    </row>
    <row r="9" spans="1:3" x14ac:dyDescent="0.25">
      <c r="A9" s="1"/>
    </row>
    <row r="10" spans="1:3" x14ac:dyDescent="0.25">
      <c r="A10" s="1" t="s">
        <v>16</v>
      </c>
      <c r="B10" s="66"/>
      <c r="C10" t="s">
        <v>694</v>
      </c>
    </row>
    <row r="11" spans="1:3" x14ac:dyDescent="0.25">
      <c r="A11" s="1" t="s">
        <v>696</v>
      </c>
      <c r="B11" s="66"/>
      <c r="C11" t="s">
        <v>694</v>
      </c>
    </row>
    <row r="12" spans="1:3" x14ac:dyDescent="0.25">
      <c r="A12" s="13" t="s">
        <v>14</v>
      </c>
      <c r="B12" s="67"/>
      <c r="C12" s="12" t="s">
        <v>694</v>
      </c>
    </row>
    <row r="13" spans="1:3" x14ac:dyDescent="0.25">
      <c r="A13" s="13" t="s">
        <v>15</v>
      </c>
      <c r="B13" s="68"/>
      <c r="C13" s="12"/>
    </row>
    <row r="16" spans="1:3" x14ac:dyDescent="0.25">
      <c r="A16" t="s">
        <v>693</v>
      </c>
    </row>
  </sheetData>
  <sheetProtection algorithmName="SHA-512" hashValue="7FJX6sc7VFWs2IpNT2zayqZNUBt6o2G3VIrde0xmLl3BMg52zoGY6/xHQBWNdotCYIU6qgETvcAJsTKIHBvYlw==" saltValue="lylATgd00bb9dpGsMuoWsw==" spinCount="100000" sheet="1" objects="1" scenarios="1" selectLockedCells="1"/>
  <dataValidations count="1">
    <dataValidation type="list" allowBlank="1" showInputMessage="1" showErrorMessage="1" errorTitle="Input Error" error="Select the appropriate agency from the listing." promptTitle="Agency Selection" prompt="Select the reporting agency." sqref="B3" xr:uid="{00000000-0002-0000-0100-000000000000}">
      <formula1>INDIRECT("AgencyRef[Combined for Look-up]")</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E84"/>
  <sheetViews>
    <sheetView workbookViewId="0">
      <pane ySplit="2" topLeftCell="A72" activePane="bottomLeft" state="frozen"/>
      <selection pane="bottomLeft" activeCell="A84" sqref="A84:B84"/>
    </sheetView>
  </sheetViews>
  <sheetFormatPr defaultColWidth="8.85546875" defaultRowHeight="15" x14ac:dyDescent="0.25"/>
  <cols>
    <col min="1" max="1" width="11.85546875" style="136" bestFit="1" customWidth="1"/>
    <col min="2" max="2" width="36.140625" style="137" customWidth="1"/>
    <col min="3" max="3" width="13.7109375" style="136" bestFit="1" customWidth="1"/>
    <col min="4" max="4" width="17.85546875" style="136" bestFit="1" customWidth="1"/>
    <col min="5" max="5" width="75.7109375" style="137" customWidth="1"/>
    <col min="6" max="16384" width="8.85546875" style="137"/>
  </cols>
  <sheetData>
    <row r="2" spans="1:5" x14ac:dyDescent="0.25">
      <c r="A2" s="138" t="s">
        <v>397</v>
      </c>
      <c r="B2" s="139" t="s">
        <v>395</v>
      </c>
      <c r="C2" s="138" t="s">
        <v>502</v>
      </c>
      <c r="D2" s="138" t="s">
        <v>501</v>
      </c>
      <c r="E2" s="139" t="s">
        <v>396</v>
      </c>
    </row>
    <row r="3" spans="1:5" x14ac:dyDescent="0.25">
      <c r="A3" s="140" t="s">
        <v>520</v>
      </c>
      <c r="B3" s="141"/>
      <c r="C3" s="142"/>
      <c r="D3" s="142"/>
      <c r="E3" s="143"/>
    </row>
    <row r="4" spans="1:5" x14ac:dyDescent="0.25">
      <c r="A4" s="144">
        <v>1</v>
      </c>
      <c r="B4" s="145" t="s">
        <v>700</v>
      </c>
      <c r="C4" s="146"/>
      <c r="D4" s="146"/>
      <c r="E4" s="147"/>
    </row>
    <row r="5" spans="1:5" x14ac:dyDescent="0.25">
      <c r="A5" s="144">
        <v>2</v>
      </c>
      <c r="B5" s="145" t="s">
        <v>529</v>
      </c>
      <c r="C5" s="146"/>
      <c r="D5" s="146"/>
      <c r="E5" s="147"/>
    </row>
    <row r="6" spans="1:5" x14ac:dyDescent="0.25">
      <c r="A6" s="144">
        <v>3</v>
      </c>
      <c r="B6" s="145" t="s">
        <v>672</v>
      </c>
      <c r="C6" s="146"/>
      <c r="D6" s="146"/>
      <c r="E6" s="147"/>
    </row>
    <row r="7" spans="1:5" x14ac:dyDescent="0.25">
      <c r="A7" s="144"/>
      <c r="B7" s="145" t="s">
        <v>673</v>
      </c>
      <c r="C7" s="146"/>
      <c r="D7" s="146"/>
      <c r="E7" s="147"/>
    </row>
    <row r="8" spans="1:5" x14ac:dyDescent="0.25">
      <c r="A8" s="144">
        <v>4</v>
      </c>
      <c r="B8" s="145" t="s">
        <v>530</v>
      </c>
      <c r="C8" s="146"/>
      <c r="D8" s="146"/>
      <c r="E8" s="147"/>
    </row>
    <row r="9" spans="1:5" x14ac:dyDescent="0.25">
      <c r="A9" s="144">
        <v>5</v>
      </c>
      <c r="B9" s="145" t="s">
        <v>522</v>
      </c>
      <c r="C9" s="146"/>
      <c r="D9" s="146"/>
      <c r="E9" s="147"/>
    </row>
    <row r="10" spans="1:5" x14ac:dyDescent="0.25">
      <c r="A10" s="144">
        <v>6</v>
      </c>
      <c r="B10" s="145" t="s">
        <v>552</v>
      </c>
      <c r="C10" s="146"/>
      <c r="D10" s="146"/>
      <c r="E10" s="147"/>
    </row>
    <row r="11" spans="1:5" x14ac:dyDescent="0.25">
      <c r="A11" s="144">
        <v>7</v>
      </c>
      <c r="B11" s="145" t="s">
        <v>523</v>
      </c>
      <c r="C11" s="146"/>
      <c r="D11" s="146"/>
      <c r="E11" s="147"/>
    </row>
    <row r="12" spans="1:5" x14ac:dyDescent="0.25">
      <c r="A12" s="144"/>
      <c r="B12" s="145" t="s">
        <v>531</v>
      </c>
      <c r="C12" s="146"/>
      <c r="D12" s="146"/>
      <c r="E12" s="147"/>
    </row>
    <row r="13" spans="1:5" x14ac:dyDescent="0.25">
      <c r="A13" s="144">
        <v>8</v>
      </c>
      <c r="B13" s="145" t="s">
        <v>524</v>
      </c>
      <c r="C13" s="146"/>
      <c r="D13" s="146"/>
      <c r="E13" s="147"/>
    </row>
    <row r="14" spans="1:5" x14ac:dyDescent="0.25">
      <c r="A14" s="144">
        <v>9</v>
      </c>
      <c r="B14" s="145" t="s">
        <v>525</v>
      </c>
      <c r="C14" s="146"/>
      <c r="D14" s="146"/>
      <c r="E14" s="147"/>
    </row>
    <row r="15" spans="1:5" x14ac:dyDescent="0.25">
      <c r="A15" s="144"/>
      <c r="B15" s="148" t="s">
        <v>692</v>
      </c>
      <c r="C15" s="146"/>
      <c r="D15" s="146"/>
      <c r="E15" s="147"/>
    </row>
    <row r="16" spans="1:5" x14ac:dyDescent="0.25">
      <c r="A16" s="144">
        <v>10</v>
      </c>
      <c r="B16" s="145" t="s">
        <v>532</v>
      </c>
      <c r="C16" s="146"/>
      <c r="D16" s="146"/>
      <c r="E16" s="147"/>
    </row>
    <row r="17" spans="1:5" x14ac:dyDescent="0.25">
      <c r="A17" s="149"/>
      <c r="B17" s="150"/>
      <c r="C17" s="151"/>
      <c r="D17" s="151"/>
      <c r="E17" s="152"/>
    </row>
    <row r="18" spans="1:5" x14ac:dyDescent="0.25">
      <c r="A18" s="140" t="s">
        <v>521</v>
      </c>
      <c r="B18" s="141"/>
      <c r="C18" s="142"/>
      <c r="D18" s="142"/>
      <c r="E18" s="143"/>
    </row>
    <row r="19" spans="1:5" x14ac:dyDescent="0.25">
      <c r="A19" s="33" t="s">
        <v>398</v>
      </c>
      <c r="B19" s="34" t="s">
        <v>508</v>
      </c>
      <c r="C19" s="48" t="s">
        <v>9</v>
      </c>
      <c r="D19" s="48" t="s">
        <v>8</v>
      </c>
      <c r="E19" s="49" t="s">
        <v>513</v>
      </c>
    </row>
    <row r="20" spans="1:5" x14ac:dyDescent="0.25">
      <c r="A20" s="33" t="s">
        <v>404</v>
      </c>
      <c r="B20" s="34" t="s">
        <v>510</v>
      </c>
      <c r="C20" s="48" t="s">
        <v>9</v>
      </c>
      <c r="D20" s="48" t="s">
        <v>8</v>
      </c>
      <c r="E20" s="49" t="s">
        <v>514</v>
      </c>
    </row>
    <row r="21" spans="1:5" ht="240" x14ac:dyDescent="0.25">
      <c r="A21" s="33" t="s">
        <v>11</v>
      </c>
      <c r="B21" s="34" t="s">
        <v>515</v>
      </c>
      <c r="C21" s="48" t="s">
        <v>9</v>
      </c>
      <c r="D21" s="48" t="s">
        <v>516</v>
      </c>
      <c r="E21" s="49" t="s">
        <v>698</v>
      </c>
    </row>
    <row r="22" spans="1:5" ht="45" x14ac:dyDescent="0.25">
      <c r="A22" s="33" t="s">
        <v>284</v>
      </c>
      <c r="B22" s="34" t="s">
        <v>548</v>
      </c>
      <c r="C22" s="48" t="s">
        <v>9</v>
      </c>
      <c r="D22" s="48" t="s">
        <v>8</v>
      </c>
      <c r="E22" s="49" t="s">
        <v>717</v>
      </c>
    </row>
    <row r="23" spans="1:5" ht="60" x14ac:dyDescent="0.25">
      <c r="A23" s="33" t="s">
        <v>400</v>
      </c>
      <c r="B23" s="34" t="s">
        <v>461</v>
      </c>
      <c r="C23" s="48" t="s">
        <v>503</v>
      </c>
      <c r="D23" s="48" t="s">
        <v>503</v>
      </c>
      <c r="E23" s="49" t="s">
        <v>538</v>
      </c>
    </row>
    <row r="24" spans="1:5" ht="145.9" customHeight="1" x14ac:dyDescent="0.25">
      <c r="A24" s="33" t="s">
        <v>402</v>
      </c>
      <c r="B24" s="34" t="s">
        <v>528</v>
      </c>
      <c r="C24" s="48" t="s">
        <v>9</v>
      </c>
      <c r="D24" s="48" t="s">
        <v>516</v>
      </c>
      <c r="E24" s="49" t="s">
        <v>701</v>
      </c>
    </row>
    <row r="25" spans="1:5" ht="60" x14ac:dyDescent="0.25">
      <c r="A25" s="33" t="s">
        <v>405</v>
      </c>
      <c r="B25" s="34" t="s">
        <v>462</v>
      </c>
      <c r="C25" s="48" t="s">
        <v>503</v>
      </c>
      <c r="D25" s="48" t="s">
        <v>503</v>
      </c>
      <c r="E25" s="49" t="s">
        <v>541</v>
      </c>
    </row>
    <row r="26" spans="1:5" ht="60" x14ac:dyDescent="0.25">
      <c r="A26" s="33" t="s">
        <v>406</v>
      </c>
      <c r="B26" s="34" t="s">
        <v>303</v>
      </c>
      <c r="C26" s="48" t="s">
        <v>8</v>
      </c>
      <c r="D26" s="48" t="s">
        <v>8</v>
      </c>
      <c r="E26" s="49" t="s">
        <v>699</v>
      </c>
    </row>
    <row r="27" spans="1:5" x14ac:dyDescent="0.25">
      <c r="A27" s="33" t="s">
        <v>399</v>
      </c>
      <c r="B27" s="34" t="s">
        <v>301</v>
      </c>
      <c r="C27" s="48" t="s">
        <v>9</v>
      </c>
      <c r="D27" s="48" t="s">
        <v>8</v>
      </c>
      <c r="E27" s="49" t="s">
        <v>718</v>
      </c>
    </row>
    <row r="28" spans="1:5" x14ac:dyDescent="0.25">
      <c r="A28" s="33" t="s">
        <v>407</v>
      </c>
      <c r="B28" s="34" t="s">
        <v>302</v>
      </c>
      <c r="C28" s="48" t="s">
        <v>9</v>
      </c>
      <c r="D28" s="48" t="s">
        <v>8</v>
      </c>
      <c r="E28" s="49" t="s">
        <v>718</v>
      </c>
    </row>
    <row r="29" spans="1:5" ht="45" x14ac:dyDescent="0.25">
      <c r="A29" s="33" t="s">
        <v>408</v>
      </c>
      <c r="B29" s="34" t="s">
        <v>0</v>
      </c>
      <c r="C29" s="48" t="s">
        <v>8</v>
      </c>
      <c r="D29" s="48" t="s">
        <v>8</v>
      </c>
      <c r="E29" s="49" t="s">
        <v>730</v>
      </c>
    </row>
    <row r="30" spans="1:5" x14ac:dyDescent="0.25">
      <c r="A30" s="35" t="s">
        <v>409</v>
      </c>
      <c r="B30" s="36" t="s">
        <v>463</v>
      </c>
      <c r="C30" s="50" t="s">
        <v>9</v>
      </c>
      <c r="D30" s="50" t="s">
        <v>8</v>
      </c>
      <c r="E30" s="49" t="s">
        <v>729</v>
      </c>
    </row>
    <row r="31" spans="1:5" ht="30" x14ac:dyDescent="0.25">
      <c r="A31" s="35" t="s">
        <v>410</v>
      </c>
      <c r="B31" s="36" t="s">
        <v>464</v>
      </c>
      <c r="C31" s="50" t="s">
        <v>9</v>
      </c>
      <c r="D31" s="50" t="s">
        <v>8</v>
      </c>
      <c r="E31" s="49" t="s">
        <v>728</v>
      </c>
    </row>
    <row r="32" spans="1:5" ht="60" x14ac:dyDescent="0.25">
      <c r="A32" s="35" t="s">
        <v>8</v>
      </c>
      <c r="B32" s="36" t="s">
        <v>465</v>
      </c>
      <c r="C32" s="50" t="s">
        <v>8</v>
      </c>
      <c r="D32" s="50" t="s">
        <v>8</v>
      </c>
      <c r="E32" s="49" t="s">
        <v>727</v>
      </c>
    </row>
    <row r="33" spans="1:5" ht="75" x14ac:dyDescent="0.25">
      <c r="A33" s="35" t="s">
        <v>10</v>
      </c>
      <c r="B33" s="36" t="s">
        <v>466</v>
      </c>
      <c r="C33" s="50" t="s">
        <v>8</v>
      </c>
      <c r="D33" s="50" t="s">
        <v>8</v>
      </c>
      <c r="E33" s="49" t="s">
        <v>676</v>
      </c>
    </row>
    <row r="34" spans="1:5" ht="75" x14ac:dyDescent="0.25">
      <c r="A34" s="35" t="s">
        <v>401</v>
      </c>
      <c r="B34" s="36" t="s">
        <v>467</v>
      </c>
      <c r="C34" s="50" t="s">
        <v>8</v>
      </c>
      <c r="D34" s="50" t="s">
        <v>8</v>
      </c>
      <c r="E34" s="49" t="s">
        <v>726</v>
      </c>
    </row>
    <row r="35" spans="1:5" ht="75" x14ac:dyDescent="0.25">
      <c r="A35" s="35" t="s">
        <v>411</v>
      </c>
      <c r="B35" s="36" t="s">
        <v>468</v>
      </c>
      <c r="C35" s="50" t="s">
        <v>8</v>
      </c>
      <c r="D35" s="50" t="s">
        <v>8</v>
      </c>
      <c r="E35" s="49" t="s">
        <v>677</v>
      </c>
    </row>
    <row r="36" spans="1:5" ht="60" x14ac:dyDescent="0.25">
      <c r="A36" s="35" t="s">
        <v>403</v>
      </c>
      <c r="B36" s="37" t="s">
        <v>312</v>
      </c>
      <c r="C36" s="51" t="s">
        <v>8</v>
      </c>
      <c r="D36" s="51" t="s">
        <v>8</v>
      </c>
      <c r="E36" s="49" t="s">
        <v>725</v>
      </c>
    </row>
    <row r="37" spans="1:5" x14ac:dyDescent="0.25">
      <c r="A37" s="35" t="s">
        <v>412</v>
      </c>
      <c r="B37" s="37" t="s">
        <v>469</v>
      </c>
      <c r="C37" s="51" t="s">
        <v>503</v>
      </c>
      <c r="D37" s="51" t="s">
        <v>503</v>
      </c>
      <c r="E37" s="49" t="s">
        <v>539</v>
      </c>
    </row>
    <row r="38" spans="1:5" ht="30" x14ac:dyDescent="0.25">
      <c r="A38" s="38" t="s">
        <v>413</v>
      </c>
      <c r="B38" s="39" t="s">
        <v>697</v>
      </c>
      <c r="C38" s="52" t="s">
        <v>9</v>
      </c>
      <c r="D38" s="52" t="s">
        <v>8</v>
      </c>
      <c r="E38" s="49" t="s">
        <v>549</v>
      </c>
    </row>
    <row r="39" spans="1:5" ht="135" x14ac:dyDescent="0.25">
      <c r="A39" s="38" t="s">
        <v>414</v>
      </c>
      <c r="B39" s="39" t="s">
        <v>306</v>
      </c>
      <c r="C39" s="52" t="s">
        <v>9</v>
      </c>
      <c r="D39" s="52" t="s">
        <v>8</v>
      </c>
      <c r="E39" s="49" t="s">
        <v>555</v>
      </c>
    </row>
    <row r="40" spans="1:5" ht="150" x14ac:dyDescent="0.25">
      <c r="A40" s="38" t="s">
        <v>415</v>
      </c>
      <c r="B40" s="39" t="s">
        <v>307</v>
      </c>
      <c r="C40" s="52" t="s">
        <v>9</v>
      </c>
      <c r="D40" s="52" t="s">
        <v>8</v>
      </c>
      <c r="E40" s="49" t="s">
        <v>553</v>
      </c>
    </row>
    <row r="41" spans="1:5" ht="30" x14ac:dyDescent="0.25">
      <c r="A41" s="38" t="s">
        <v>416</v>
      </c>
      <c r="B41" s="39" t="s">
        <v>305</v>
      </c>
      <c r="C41" s="52" t="s">
        <v>9</v>
      </c>
      <c r="D41" s="52" t="s">
        <v>8</v>
      </c>
      <c r="E41" s="49" t="s">
        <v>716</v>
      </c>
    </row>
    <row r="42" spans="1:5" x14ac:dyDescent="0.25">
      <c r="A42" s="38" t="s">
        <v>417</v>
      </c>
      <c r="B42" s="39" t="s">
        <v>3</v>
      </c>
      <c r="C42" s="52" t="s">
        <v>8</v>
      </c>
      <c r="D42" s="52" t="s">
        <v>8</v>
      </c>
      <c r="E42" s="49" t="s">
        <v>504</v>
      </c>
    </row>
    <row r="43" spans="1:5" ht="75" x14ac:dyDescent="0.25">
      <c r="A43" s="40" t="s">
        <v>9</v>
      </c>
      <c r="B43" s="41" t="s">
        <v>4</v>
      </c>
      <c r="C43" s="53" t="s">
        <v>9</v>
      </c>
      <c r="D43" s="53" t="s">
        <v>8</v>
      </c>
      <c r="E43" s="49" t="s">
        <v>719</v>
      </c>
    </row>
    <row r="44" spans="1:5" ht="30" x14ac:dyDescent="0.25">
      <c r="A44" s="40" t="s">
        <v>418</v>
      </c>
      <c r="B44" s="41" t="s">
        <v>5</v>
      </c>
      <c r="C44" s="53" t="s">
        <v>505</v>
      </c>
      <c r="D44" s="53" t="s">
        <v>8</v>
      </c>
      <c r="E44" s="49" t="s">
        <v>720</v>
      </c>
    </row>
    <row r="45" spans="1:5" ht="30" x14ac:dyDescent="0.25">
      <c r="A45" s="40" t="s">
        <v>419</v>
      </c>
      <c r="B45" s="42" t="s">
        <v>470</v>
      </c>
      <c r="C45" s="53" t="s">
        <v>505</v>
      </c>
      <c r="D45" s="53" t="s">
        <v>8</v>
      </c>
      <c r="E45" s="49" t="s">
        <v>713</v>
      </c>
    </row>
    <row r="46" spans="1:5" ht="75" x14ac:dyDescent="0.25">
      <c r="A46" s="40" t="s">
        <v>420</v>
      </c>
      <c r="B46" s="42" t="s">
        <v>471</v>
      </c>
      <c r="C46" s="53" t="s">
        <v>505</v>
      </c>
      <c r="D46" s="53" t="s">
        <v>8</v>
      </c>
      <c r="E46" s="49" t="s">
        <v>540</v>
      </c>
    </row>
    <row r="47" spans="1:5" ht="45" x14ac:dyDescent="0.25">
      <c r="A47" s="40" t="s">
        <v>421</v>
      </c>
      <c r="B47" s="43" t="s">
        <v>472</v>
      </c>
      <c r="C47" s="53" t="s">
        <v>505</v>
      </c>
      <c r="D47" s="53" t="s">
        <v>8</v>
      </c>
      <c r="E47" s="49" t="s">
        <v>554</v>
      </c>
    </row>
    <row r="48" spans="1:5" ht="105" x14ac:dyDescent="0.25">
      <c r="A48" s="40" t="s">
        <v>422</v>
      </c>
      <c r="B48" s="41" t="s">
        <v>473</v>
      </c>
      <c r="C48" s="53" t="s">
        <v>505</v>
      </c>
      <c r="D48" s="53" t="s">
        <v>8</v>
      </c>
      <c r="E48" s="49" t="s">
        <v>721</v>
      </c>
    </row>
    <row r="49" spans="1:5" ht="45" x14ac:dyDescent="0.25">
      <c r="A49" s="40" t="s">
        <v>423</v>
      </c>
      <c r="B49" s="41" t="s">
        <v>474</v>
      </c>
      <c r="C49" s="53" t="s">
        <v>505</v>
      </c>
      <c r="D49" s="53" t="s">
        <v>8</v>
      </c>
      <c r="E49" s="49" t="s">
        <v>722</v>
      </c>
    </row>
    <row r="50" spans="1:5" ht="60" x14ac:dyDescent="0.25">
      <c r="A50" s="40" t="s">
        <v>424</v>
      </c>
      <c r="B50" s="44" t="s">
        <v>475</v>
      </c>
      <c r="C50" s="53" t="s">
        <v>505</v>
      </c>
      <c r="D50" s="53" t="s">
        <v>8</v>
      </c>
      <c r="E50" s="49" t="s">
        <v>506</v>
      </c>
    </row>
    <row r="51" spans="1:5" ht="60" x14ac:dyDescent="0.25">
      <c r="A51" s="40" t="s">
        <v>425</v>
      </c>
      <c r="B51" s="42" t="s">
        <v>596</v>
      </c>
      <c r="C51" s="53" t="s">
        <v>505</v>
      </c>
      <c r="D51" s="53" t="s">
        <v>8</v>
      </c>
      <c r="E51" s="49" t="s">
        <v>712</v>
      </c>
    </row>
    <row r="52" spans="1:5" ht="30" x14ac:dyDescent="0.25">
      <c r="A52" s="40" t="s">
        <v>426</v>
      </c>
      <c r="B52" s="42" t="s">
        <v>597</v>
      </c>
      <c r="C52" s="53" t="s">
        <v>505</v>
      </c>
      <c r="D52" s="53" t="s">
        <v>8</v>
      </c>
      <c r="E52" s="49" t="s">
        <v>711</v>
      </c>
    </row>
    <row r="53" spans="1:5" x14ac:dyDescent="0.25">
      <c r="A53" s="40" t="s">
        <v>427</v>
      </c>
      <c r="B53" s="45" t="s">
        <v>476</v>
      </c>
      <c r="C53" s="56" t="s">
        <v>503</v>
      </c>
      <c r="D53" s="53" t="s">
        <v>8</v>
      </c>
      <c r="E53" s="49" t="s">
        <v>704</v>
      </c>
    </row>
    <row r="54" spans="1:5" x14ac:dyDescent="0.25">
      <c r="A54" s="40" t="s">
        <v>428</v>
      </c>
      <c r="B54" s="43" t="s">
        <v>477</v>
      </c>
      <c r="C54" s="56" t="s">
        <v>503</v>
      </c>
      <c r="D54" s="53" t="s">
        <v>8</v>
      </c>
      <c r="E54" s="49" t="s">
        <v>704</v>
      </c>
    </row>
    <row r="55" spans="1:5" x14ac:dyDescent="0.25">
      <c r="A55" s="40" t="s">
        <v>429</v>
      </c>
      <c r="B55" s="43" t="s">
        <v>478</v>
      </c>
      <c r="C55" s="56" t="s">
        <v>503</v>
      </c>
      <c r="D55" s="53" t="s">
        <v>8</v>
      </c>
      <c r="E55" s="49" t="s">
        <v>704</v>
      </c>
    </row>
    <row r="56" spans="1:5" x14ac:dyDescent="0.25">
      <c r="A56" s="40" t="s">
        <v>430</v>
      </c>
      <c r="B56" s="43" t="s">
        <v>479</v>
      </c>
      <c r="C56" s="56" t="s">
        <v>503</v>
      </c>
      <c r="D56" s="53" t="s">
        <v>8</v>
      </c>
      <c r="E56" s="49" t="s">
        <v>704</v>
      </c>
    </row>
    <row r="57" spans="1:5" ht="60" x14ac:dyDescent="0.25">
      <c r="A57" s="40" t="s">
        <v>431</v>
      </c>
      <c r="B57" s="43" t="s">
        <v>480</v>
      </c>
      <c r="C57" s="55" t="s">
        <v>505</v>
      </c>
      <c r="D57" s="53" t="s">
        <v>8</v>
      </c>
      <c r="E57" s="49" t="s">
        <v>710</v>
      </c>
    </row>
    <row r="58" spans="1:5" x14ac:dyDescent="0.25">
      <c r="A58" s="40" t="s">
        <v>322</v>
      </c>
      <c r="B58" s="43" t="s">
        <v>481</v>
      </c>
      <c r="C58" s="55" t="s">
        <v>8</v>
      </c>
      <c r="D58" s="53" t="s">
        <v>8</v>
      </c>
      <c r="E58" s="49" t="s">
        <v>709</v>
      </c>
    </row>
    <row r="59" spans="1:5" x14ac:dyDescent="0.25">
      <c r="A59" s="40" t="s">
        <v>432</v>
      </c>
      <c r="B59" s="43" t="s">
        <v>482</v>
      </c>
      <c r="C59" s="55" t="s">
        <v>503</v>
      </c>
      <c r="D59" s="53" t="s">
        <v>8</v>
      </c>
      <c r="E59" s="49" t="s">
        <v>704</v>
      </c>
    </row>
    <row r="60" spans="1:5" ht="45" x14ac:dyDescent="0.25">
      <c r="A60" s="40" t="s">
        <v>433</v>
      </c>
      <c r="B60" s="43" t="s">
        <v>483</v>
      </c>
      <c r="C60" s="55" t="s">
        <v>505</v>
      </c>
      <c r="D60" s="53" t="s">
        <v>8</v>
      </c>
      <c r="E60" s="49" t="s">
        <v>708</v>
      </c>
    </row>
    <row r="61" spans="1:5" ht="30" x14ac:dyDescent="0.25">
      <c r="A61" s="40" t="s">
        <v>435</v>
      </c>
      <c r="B61" s="41" t="s">
        <v>484</v>
      </c>
      <c r="C61" s="53" t="s">
        <v>505</v>
      </c>
      <c r="D61" s="53" t="s">
        <v>8</v>
      </c>
      <c r="E61" s="49" t="s">
        <v>723</v>
      </c>
    </row>
    <row r="62" spans="1:5" ht="30" x14ac:dyDescent="0.25">
      <c r="A62" s="40" t="s">
        <v>434</v>
      </c>
      <c r="B62" s="41" t="s">
        <v>485</v>
      </c>
      <c r="C62" s="53" t="s">
        <v>8</v>
      </c>
      <c r="D62" s="53" t="s">
        <v>8</v>
      </c>
      <c r="E62" s="49" t="s">
        <v>707</v>
      </c>
    </row>
    <row r="63" spans="1:5" ht="45" x14ac:dyDescent="0.25">
      <c r="A63" s="40" t="s">
        <v>436</v>
      </c>
      <c r="B63" s="41" t="s">
        <v>6</v>
      </c>
      <c r="C63" s="53" t="s">
        <v>8</v>
      </c>
      <c r="D63" s="53" t="s">
        <v>8</v>
      </c>
      <c r="E63" s="49" t="s">
        <v>705</v>
      </c>
    </row>
    <row r="64" spans="1:5" ht="45" x14ac:dyDescent="0.25">
      <c r="A64" s="40" t="s">
        <v>437</v>
      </c>
      <c r="B64" s="41" t="s">
        <v>7</v>
      </c>
      <c r="C64" s="53" t="s">
        <v>8</v>
      </c>
      <c r="D64" s="53" t="s">
        <v>8</v>
      </c>
      <c r="E64" s="49" t="s">
        <v>706</v>
      </c>
    </row>
    <row r="65" spans="1:5" ht="30" x14ac:dyDescent="0.25">
      <c r="A65" s="40" t="s">
        <v>438</v>
      </c>
      <c r="B65" s="42" t="s">
        <v>486</v>
      </c>
      <c r="C65" s="54" t="s">
        <v>505</v>
      </c>
      <c r="D65" s="53" t="s">
        <v>8</v>
      </c>
      <c r="E65" s="49" t="s">
        <v>542</v>
      </c>
    </row>
    <row r="66" spans="1:5" ht="30" x14ac:dyDescent="0.25">
      <c r="A66" s="40" t="s">
        <v>439</v>
      </c>
      <c r="B66" s="42" t="s">
        <v>487</v>
      </c>
      <c r="C66" s="54" t="s">
        <v>505</v>
      </c>
      <c r="D66" s="53" t="s">
        <v>8</v>
      </c>
      <c r="E66" s="49" t="s">
        <v>543</v>
      </c>
    </row>
    <row r="67" spans="1:5" x14ac:dyDescent="0.25">
      <c r="A67" s="40" t="s">
        <v>440</v>
      </c>
      <c r="B67" s="41" t="s">
        <v>488</v>
      </c>
      <c r="C67" s="53" t="s">
        <v>505</v>
      </c>
      <c r="D67" s="53" t="s">
        <v>8</v>
      </c>
      <c r="E67" s="49" t="s">
        <v>724</v>
      </c>
    </row>
    <row r="68" spans="1:5" x14ac:dyDescent="0.25">
      <c r="A68" s="40" t="s">
        <v>441</v>
      </c>
      <c r="B68" s="43" t="s">
        <v>489</v>
      </c>
      <c r="C68" s="55" t="s">
        <v>503</v>
      </c>
      <c r="D68" s="53" t="s">
        <v>8</v>
      </c>
      <c r="E68" s="49" t="s">
        <v>704</v>
      </c>
    </row>
    <row r="69" spans="1:5" x14ac:dyDescent="0.25">
      <c r="A69" s="40" t="s">
        <v>442</v>
      </c>
      <c r="B69" s="41" t="s">
        <v>490</v>
      </c>
      <c r="C69" s="53" t="s">
        <v>8</v>
      </c>
      <c r="D69" s="53" t="s">
        <v>8</v>
      </c>
      <c r="E69" s="49" t="s">
        <v>702</v>
      </c>
    </row>
    <row r="70" spans="1:5" x14ac:dyDescent="0.25">
      <c r="A70" s="40" t="s">
        <v>526</v>
      </c>
      <c r="B70" s="41" t="s">
        <v>491</v>
      </c>
      <c r="C70" s="53" t="s">
        <v>8</v>
      </c>
      <c r="D70" s="53" t="s">
        <v>8</v>
      </c>
      <c r="E70" s="49" t="s">
        <v>507</v>
      </c>
    </row>
    <row r="71" spans="1:5" x14ac:dyDescent="0.25">
      <c r="A71" s="40" t="s">
        <v>443</v>
      </c>
      <c r="B71" s="41" t="s">
        <v>492</v>
      </c>
      <c r="C71" s="53" t="s">
        <v>8</v>
      </c>
      <c r="D71" s="53" t="s">
        <v>8</v>
      </c>
      <c r="E71" s="49" t="s">
        <v>703</v>
      </c>
    </row>
    <row r="72" spans="1:5" x14ac:dyDescent="0.25">
      <c r="A72" s="46" t="s">
        <v>444</v>
      </c>
      <c r="B72" s="47" t="s">
        <v>493</v>
      </c>
      <c r="C72" s="57"/>
      <c r="D72" s="57"/>
      <c r="E72" s="49" t="s">
        <v>500</v>
      </c>
    </row>
    <row r="73" spans="1:5" x14ac:dyDescent="0.25">
      <c r="A73" s="46" t="s">
        <v>445</v>
      </c>
      <c r="B73" s="47" t="s">
        <v>494</v>
      </c>
      <c r="C73" s="57"/>
      <c r="D73" s="57"/>
      <c r="E73" s="49" t="s">
        <v>500</v>
      </c>
    </row>
    <row r="74" spans="1:5" x14ac:dyDescent="0.25">
      <c r="A74" s="46" t="s">
        <v>446</v>
      </c>
      <c r="B74" s="47" t="s">
        <v>495</v>
      </c>
      <c r="C74" s="57"/>
      <c r="D74" s="57"/>
      <c r="E74" s="49" t="s">
        <v>500</v>
      </c>
    </row>
    <row r="75" spans="1:5" x14ac:dyDescent="0.25">
      <c r="A75" s="46" t="s">
        <v>511</v>
      </c>
      <c r="B75" s="47" t="s">
        <v>496</v>
      </c>
      <c r="C75" s="57"/>
      <c r="D75" s="57"/>
      <c r="E75" s="49" t="s">
        <v>500</v>
      </c>
    </row>
    <row r="76" spans="1:5" x14ac:dyDescent="0.25">
      <c r="A76" s="46" t="s">
        <v>512</v>
      </c>
      <c r="B76" s="47" t="s">
        <v>497</v>
      </c>
      <c r="C76" s="57"/>
      <c r="D76" s="57"/>
      <c r="E76" s="49" t="s">
        <v>500</v>
      </c>
    </row>
    <row r="77" spans="1:5" x14ac:dyDescent="0.25">
      <c r="A77" s="46" t="s">
        <v>527</v>
      </c>
      <c r="B77" s="47" t="s">
        <v>498</v>
      </c>
      <c r="C77" s="57"/>
      <c r="D77" s="57"/>
      <c r="E77" s="49" t="s">
        <v>500</v>
      </c>
    </row>
    <row r="78" spans="1:5" x14ac:dyDescent="0.25">
      <c r="A78" s="46" t="s">
        <v>544</v>
      </c>
      <c r="B78" s="47" t="s">
        <v>499</v>
      </c>
      <c r="C78" s="57"/>
      <c r="D78" s="57"/>
      <c r="E78" s="49" t="s">
        <v>500</v>
      </c>
    </row>
    <row r="84" spans="1:4" x14ac:dyDescent="0.25">
      <c r="A84" s="136" t="s">
        <v>714</v>
      </c>
      <c r="B84" s="137" t="s">
        <v>715</v>
      </c>
      <c r="C84" s="137"/>
      <c r="D84" s="137"/>
    </row>
  </sheetData>
  <sheetProtection algorithmName="SHA-512" hashValue="Jcs6pRnDFieTxk5mtbE7ndk6zzYWX892iWmQnc3ZV7Bg7uxX4FgBj6QXNB4LmwbMHkj7nVCAC21KTVsWvZKq5w==" saltValue="b6S3ElYCW4Dh5IA15bQ6OA==" spinCount="100000" sheet="1" objects="1" scenarios="1"/>
  <autoFilter ref="A2:E78" xr:uid="{00000000-0009-0000-0000-00000200000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7"/>
  <sheetViews>
    <sheetView zoomScaleNormal="100" workbookViewId="0"/>
  </sheetViews>
  <sheetFormatPr defaultRowHeight="15" x14ac:dyDescent="0.25"/>
  <cols>
    <col min="2" max="2" width="14.28515625" customWidth="1"/>
    <col min="3" max="3" width="15.140625" customWidth="1"/>
    <col min="4" max="4" width="27.7109375" customWidth="1"/>
    <col min="5" max="5" width="20.42578125" customWidth="1"/>
    <col min="6" max="6" width="28.85546875" customWidth="1"/>
    <col min="7" max="7" width="17.42578125" customWidth="1"/>
    <col min="8" max="8" width="14.140625" bestFit="1" customWidth="1"/>
    <col min="9" max="9" width="17.85546875" bestFit="1" customWidth="1"/>
    <col min="10" max="11" width="12.28515625" customWidth="1"/>
    <col min="12" max="12" width="12.42578125" customWidth="1"/>
    <col min="13" max="13" width="11.7109375" customWidth="1"/>
    <col min="14" max="15" width="10" customWidth="1"/>
    <col min="16" max="17" width="12.7109375" customWidth="1"/>
    <col min="18" max="18" width="20" bestFit="1" customWidth="1"/>
    <col min="19" max="19" width="16.28515625" bestFit="1" customWidth="1"/>
    <col min="20" max="20" width="10.5703125" bestFit="1" customWidth="1"/>
    <col min="21" max="21" width="19.7109375" customWidth="1"/>
    <col min="22" max="22" width="16.85546875" bestFit="1" customWidth="1"/>
    <col min="23" max="23" width="17.85546875" customWidth="1"/>
    <col min="24" max="24" width="19.42578125" customWidth="1"/>
  </cols>
  <sheetData>
    <row r="1" spans="1:4" x14ac:dyDescent="0.25">
      <c r="A1" s="1" t="s">
        <v>535</v>
      </c>
    </row>
    <row r="2" spans="1:4" x14ac:dyDescent="0.25">
      <c r="A2" t="s">
        <v>579</v>
      </c>
    </row>
    <row r="3" spans="1:4" x14ac:dyDescent="0.25">
      <c r="A3" t="s">
        <v>674</v>
      </c>
    </row>
    <row r="4" spans="1:4" x14ac:dyDescent="0.25">
      <c r="A4" t="s">
        <v>691</v>
      </c>
    </row>
    <row r="5" spans="1:4" x14ac:dyDescent="0.25">
      <c r="A5" t="s">
        <v>533</v>
      </c>
    </row>
    <row r="7" spans="1:4" x14ac:dyDescent="0.25">
      <c r="A7" s="64" t="s">
        <v>675</v>
      </c>
    </row>
    <row r="9" spans="1:4" x14ac:dyDescent="0.25">
      <c r="A9" t="s">
        <v>550</v>
      </c>
    </row>
    <row r="10" spans="1:4" x14ac:dyDescent="0.25">
      <c r="A10" t="s">
        <v>580</v>
      </c>
    </row>
    <row r="12" spans="1:4" x14ac:dyDescent="0.25">
      <c r="A12" s="1" t="s">
        <v>534</v>
      </c>
    </row>
    <row r="13" spans="1:4" x14ac:dyDescent="0.25">
      <c r="A13" t="s">
        <v>559</v>
      </c>
    </row>
    <row r="14" spans="1:4" x14ac:dyDescent="0.25">
      <c r="A14" t="s">
        <v>537</v>
      </c>
    </row>
    <row r="15" spans="1:4" x14ac:dyDescent="0.25">
      <c r="A15" t="s">
        <v>536</v>
      </c>
    </row>
    <row r="16" spans="1:4" x14ac:dyDescent="0.25">
      <c r="A16" s="112" t="s">
        <v>551</v>
      </c>
      <c r="B16" s="113"/>
      <c r="C16" s="113"/>
      <c r="D16" s="113"/>
    </row>
    <row r="17" spans="1:8" x14ac:dyDescent="0.25">
      <c r="A17" s="90" t="s">
        <v>556</v>
      </c>
    </row>
    <row r="18" spans="1:8" x14ac:dyDescent="0.25">
      <c r="A18" s="90" t="s">
        <v>557</v>
      </c>
    </row>
    <row r="19" spans="1:8" x14ac:dyDescent="0.25">
      <c r="A19" s="90" t="s">
        <v>581</v>
      </c>
    </row>
    <row r="20" spans="1:8" x14ac:dyDescent="0.25">
      <c r="A20" s="90" t="s">
        <v>558</v>
      </c>
    </row>
    <row r="21" spans="1:8" x14ac:dyDescent="0.25">
      <c r="A21" s="90" t="s">
        <v>560</v>
      </c>
    </row>
    <row r="22" spans="1:8" x14ac:dyDescent="0.25">
      <c r="A22" s="90" t="s">
        <v>571</v>
      </c>
    </row>
    <row r="23" spans="1:8" x14ac:dyDescent="0.25">
      <c r="B23" s="2" t="s">
        <v>11</v>
      </c>
      <c r="C23" s="2" t="s">
        <v>284</v>
      </c>
      <c r="D23" s="2" t="s">
        <v>402</v>
      </c>
      <c r="E23" s="2" t="s">
        <v>414</v>
      </c>
      <c r="F23" s="2" t="s">
        <v>415</v>
      </c>
      <c r="G23" s="2" t="s">
        <v>416</v>
      </c>
      <c r="H23" s="2"/>
    </row>
    <row r="24" spans="1:8" ht="30" x14ac:dyDescent="0.25">
      <c r="B24" s="91" t="s">
        <v>561</v>
      </c>
      <c r="C24" s="91" t="s">
        <v>546</v>
      </c>
      <c r="D24" s="69" t="s">
        <v>562</v>
      </c>
      <c r="E24" s="92" t="s">
        <v>306</v>
      </c>
      <c r="F24" s="69" t="s">
        <v>565</v>
      </c>
      <c r="G24" s="69" t="s">
        <v>305</v>
      </c>
    </row>
    <row r="25" spans="1:8" x14ac:dyDescent="0.25">
      <c r="B25" t="s">
        <v>563</v>
      </c>
      <c r="C25" t="s">
        <v>545</v>
      </c>
      <c r="D25" t="s">
        <v>564</v>
      </c>
      <c r="E25" t="s">
        <v>267</v>
      </c>
      <c r="F25" t="s">
        <v>568</v>
      </c>
      <c r="G25" t="s">
        <v>569</v>
      </c>
    </row>
    <row r="26" spans="1:8" x14ac:dyDescent="0.25">
      <c r="B26" t="s">
        <v>563</v>
      </c>
      <c r="C26" t="s">
        <v>545</v>
      </c>
      <c r="D26" t="s">
        <v>564</v>
      </c>
      <c r="E26" t="s">
        <v>566</v>
      </c>
      <c r="F26" t="s">
        <v>567</v>
      </c>
      <c r="G26" t="s">
        <v>570</v>
      </c>
    </row>
    <row r="28" spans="1:8" x14ac:dyDescent="0.25">
      <c r="A28" s="90" t="s">
        <v>572</v>
      </c>
    </row>
    <row r="29" spans="1:8" x14ac:dyDescent="0.25">
      <c r="A29" s="90" t="s">
        <v>573</v>
      </c>
    </row>
    <row r="30" spans="1:8" x14ac:dyDescent="0.25">
      <c r="A30" s="90" t="s">
        <v>574</v>
      </c>
    </row>
    <row r="31" spans="1:8" x14ac:dyDescent="0.25">
      <c r="A31" s="89" t="s">
        <v>575</v>
      </c>
    </row>
    <row r="32" spans="1:8" x14ac:dyDescent="0.25">
      <c r="A32" s="89" t="s">
        <v>576</v>
      </c>
    </row>
    <row r="33" spans="1:4" x14ac:dyDescent="0.25">
      <c r="A33" s="89" t="s">
        <v>577</v>
      </c>
    </row>
    <row r="35" spans="1:4" x14ac:dyDescent="0.25">
      <c r="A35" s="1" t="s">
        <v>578</v>
      </c>
    </row>
    <row r="36" spans="1:4" x14ac:dyDescent="0.25">
      <c r="A36" t="s">
        <v>582</v>
      </c>
    </row>
    <row r="37" spans="1:4" x14ac:dyDescent="0.25">
      <c r="A37" t="s">
        <v>583</v>
      </c>
    </row>
    <row r="38" spans="1:4" x14ac:dyDescent="0.25">
      <c r="A38" t="s">
        <v>584</v>
      </c>
    </row>
    <row r="39" spans="1:4" x14ac:dyDescent="0.25">
      <c r="A39" t="s">
        <v>585</v>
      </c>
    </row>
    <row r="40" spans="1:4" x14ac:dyDescent="0.25">
      <c r="A40" t="s">
        <v>587</v>
      </c>
    </row>
    <row r="41" spans="1:4" x14ac:dyDescent="0.25">
      <c r="A41" t="s">
        <v>588</v>
      </c>
    </row>
    <row r="43" spans="1:4" x14ac:dyDescent="0.25">
      <c r="A43" s="93" t="s">
        <v>586</v>
      </c>
    </row>
    <row r="44" spans="1:4" x14ac:dyDescent="0.25">
      <c r="A44" s="112" t="s">
        <v>551</v>
      </c>
      <c r="B44" s="113"/>
      <c r="C44" s="113"/>
      <c r="D44" s="113"/>
    </row>
    <row r="45" spans="1:4" x14ac:dyDescent="0.25">
      <c r="A45" s="90" t="s">
        <v>589</v>
      </c>
    </row>
    <row r="46" spans="1:4" x14ac:dyDescent="0.25">
      <c r="A46" s="90" t="s">
        <v>590</v>
      </c>
    </row>
    <row r="47" spans="1:4" x14ac:dyDescent="0.25">
      <c r="A47" s="90" t="s">
        <v>591</v>
      </c>
    </row>
    <row r="48" spans="1:4" x14ac:dyDescent="0.25">
      <c r="A48" s="90" t="s">
        <v>592</v>
      </c>
    </row>
    <row r="49" spans="1:24" x14ac:dyDescent="0.25">
      <c r="A49" s="90" t="s">
        <v>612</v>
      </c>
    </row>
    <row r="50" spans="1:24" x14ac:dyDescent="0.25">
      <c r="B50" s="2" t="s">
        <v>11</v>
      </c>
      <c r="C50" s="2" t="s">
        <v>284</v>
      </c>
      <c r="D50" s="2" t="s">
        <v>402</v>
      </c>
      <c r="E50" s="2" t="s">
        <v>414</v>
      </c>
      <c r="F50" s="2" t="s">
        <v>415</v>
      </c>
      <c r="G50" s="2" t="s">
        <v>416</v>
      </c>
      <c r="H50" s="2" t="s">
        <v>9</v>
      </c>
      <c r="I50" s="2" t="s">
        <v>418</v>
      </c>
      <c r="J50" s="2" t="s">
        <v>419</v>
      </c>
      <c r="K50" s="2" t="s">
        <v>420</v>
      </c>
      <c r="L50" s="2" t="s">
        <v>421</v>
      </c>
      <c r="M50" s="2" t="s">
        <v>422</v>
      </c>
      <c r="N50" s="2" t="s">
        <v>423</v>
      </c>
      <c r="O50" s="2" t="s">
        <v>424</v>
      </c>
      <c r="P50" s="2" t="s">
        <v>425</v>
      </c>
      <c r="Q50" s="2" t="s">
        <v>426</v>
      </c>
      <c r="R50" s="2" t="s">
        <v>435</v>
      </c>
      <c r="S50" s="2" t="s">
        <v>434</v>
      </c>
      <c r="T50" s="2" t="s">
        <v>436</v>
      </c>
      <c r="U50" s="2" t="s">
        <v>437</v>
      </c>
      <c r="V50" s="2" t="s">
        <v>438</v>
      </c>
      <c r="W50" s="2" t="s">
        <v>439</v>
      </c>
      <c r="X50" s="2" t="s">
        <v>440</v>
      </c>
    </row>
    <row r="51" spans="1:24" ht="30" x14ac:dyDescent="0.25">
      <c r="B51" s="91" t="s">
        <v>561</v>
      </c>
      <c r="C51" s="91" t="s">
        <v>546</v>
      </c>
      <c r="D51" s="69" t="s">
        <v>562</v>
      </c>
      <c r="E51" s="92" t="s">
        <v>306</v>
      </c>
      <c r="F51" s="69" t="s">
        <v>565</v>
      </c>
      <c r="G51" s="69" t="s">
        <v>305</v>
      </c>
      <c r="H51" s="92" t="s">
        <v>4</v>
      </c>
      <c r="I51" s="92" t="s">
        <v>5</v>
      </c>
      <c r="J51" s="94" t="s">
        <v>308</v>
      </c>
      <c r="K51" s="94" t="s">
        <v>309</v>
      </c>
      <c r="L51" s="95" t="s">
        <v>319</v>
      </c>
      <c r="M51" s="91" t="s">
        <v>318</v>
      </c>
      <c r="N51" s="91" t="s">
        <v>317</v>
      </c>
      <c r="O51" s="96" t="s">
        <v>310</v>
      </c>
      <c r="P51" s="94" t="s">
        <v>594</v>
      </c>
      <c r="Q51" s="94" t="s">
        <v>595</v>
      </c>
      <c r="R51" s="91" t="s">
        <v>331</v>
      </c>
      <c r="S51" s="91" t="s">
        <v>332</v>
      </c>
      <c r="T51" s="69" t="s">
        <v>6</v>
      </c>
      <c r="U51" s="69" t="s">
        <v>7</v>
      </c>
      <c r="V51" s="94" t="s">
        <v>333</v>
      </c>
      <c r="W51" s="94" t="s">
        <v>334</v>
      </c>
      <c r="X51" s="91" t="s">
        <v>335</v>
      </c>
    </row>
    <row r="52" spans="1:24" x14ac:dyDescent="0.25">
      <c r="B52" t="s">
        <v>563</v>
      </c>
      <c r="C52" s="17" t="s">
        <v>593</v>
      </c>
      <c r="D52" t="s">
        <v>613</v>
      </c>
      <c r="E52" t="s">
        <v>566</v>
      </c>
      <c r="F52" t="s">
        <v>614</v>
      </c>
      <c r="G52" t="s">
        <v>570</v>
      </c>
      <c r="H52" t="s">
        <v>292</v>
      </c>
      <c r="I52" t="s">
        <v>271</v>
      </c>
      <c r="J52" s="17">
        <v>44013</v>
      </c>
      <c r="K52" s="17">
        <v>49490</v>
      </c>
      <c r="L52" s="19">
        <v>10000</v>
      </c>
      <c r="M52" t="s">
        <v>321</v>
      </c>
      <c r="N52" t="s">
        <v>320</v>
      </c>
      <c r="O52" s="20">
        <v>2.2499999999999999E-2</v>
      </c>
      <c r="P52" s="17">
        <v>44013</v>
      </c>
      <c r="Q52" s="17">
        <v>45838</v>
      </c>
      <c r="R52" t="s">
        <v>598</v>
      </c>
      <c r="V52" s="17">
        <v>44013</v>
      </c>
      <c r="W52" s="17">
        <v>49490</v>
      </c>
      <c r="X52" t="s">
        <v>321</v>
      </c>
    </row>
    <row r="53" spans="1:24" x14ac:dyDescent="0.25">
      <c r="B53" t="s">
        <v>563</v>
      </c>
      <c r="C53" s="17" t="s">
        <v>593</v>
      </c>
      <c r="D53" t="s">
        <v>613</v>
      </c>
      <c r="E53" t="s">
        <v>566</v>
      </c>
      <c r="F53" t="s">
        <v>614</v>
      </c>
      <c r="G53" t="s">
        <v>570</v>
      </c>
      <c r="H53" t="s">
        <v>292</v>
      </c>
      <c r="I53" t="s">
        <v>271</v>
      </c>
      <c r="J53" s="17">
        <v>44013</v>
      </c>
      <c r="K53" s="17">
        <v>49490</v>
      </c>
      <c r="L53" s="19">
        <v>10300</v>
      </c>
      <c r="M53" t="s">
        <v>321</v>
      </c>
      <c r="N53" t="s">
        <v>320</v>
      </c>
      <c r="O53" s="20">
        <v>2.2499999999999999E-2</v>
      </c>
      <c r="P53" s="17">
        <v>45839</v>
      </c>
      <c r="Q53" s="17">
        <v>47664</v>
      </c>
      <c r="R53" t="s">
        <v>598</v>
      </c>
      <c r="V53" s="17">
        <v>44013</v>
      </c>
      <c r="W53" s="17">
        <v>49490</v>
      </c>
      <c r="X53" t="s">
        <v>321</v>
      </c>
    </row>
    <row r="54" spans="1:24" x14ac:dyDescent="0.25">
      <c r="B54" t="s">
        <v>563</v>
      </c>
      <c r="C54" s="17" t="s">
        <v>593</v>
      </c>
      <c r="D54" t="s">
        <v>613</v>
      </c>
      <c r="E54" t="s">
        <v>566</v>
      </c>
      <c r="F54" t="s">
        <v>614</v>
      </c>
      <c r="G54" t="s">
        <v>570</v>
      </c>
      <c r="H54" t="s">
        <v>292</v>
      </c>
      <c r="I54" t="s">
        <v>271</v>
      </c>
      <c r="J54" s="17">
        <v>44013</v>
      </c>
      <c r="K54" s="17">
        <v>49490</v>
      </c>
      <c r="L54" s="19">
        <v>10609</v>
      </c>
      <c r="M54" t="s">
        <v>321</v>
      </c>
      <c r="N54" t="s">
        <v>320</v>
      </c>
      <c r="O54" s="20">
        <v>2.2499999999999999E-2</v>
      </c>
      <c r="P54" s="17">
        <v>47665</v>
      </c>
      <c r="Q54" s="17">
        <v>49490</v>
      </c>
      <c r="R54" t="s">
        <v>598</v>
      </c>
      <c r="V54" s="17">
        <v>44013</v>
      </c>
      <c r="W54" s="17">
        <v>49490</v>
      </c>
      <c r="X54" t="s">
        <v>321</v>
      </c>
    </row>
    <row r="56" spans="1:24" x14ac:dyDescent="0.25">
      <c r="A56" s="90" t="s">
        <v>599</v>
      </c>
    </row>
    <row r="57" spans="1:24" x14ac:dyDescent="0.25">
      <c r="A57" s="90" t="s">
        <v>600</v>
      </c>
    </row>
    <row r="58" spans="1:24" x14ac:dyDescent="0.25">
      <c r="A58" s="90" t="s">
        <v>601</v>
      </c>
    </row>
    <row r="59" spans="1:24" x14ac:dyDescent="0.25">
      <c r="A59" s="90" t="s">
        <v>617</v>
      </c>
    </row>
    <row r="60" spans="1:24" x14ac:dyDescent="0.25">
      <c r="A60" s="89" t="s">
        <v>618</v>
      </c>
    </row>
    <row r="61" spans="1:24" x14ac:dyDescent="0.25">
      <c r="A61" s="89" t="s">
        <v>602</v>
      </c>
    </row>
    <row r="62" spans="1:24" x14ac:dyDescent="0.25">
      <c r="A62" s="89" t="s">
        <v>603</v>
      </c>
    </row>
    <row r="63" spans="1:24" x14ac:dyDescent="0.25">
      <c r="A63" s="89" t="s">
        <v>604</v>
      </c>
    </row>
    <row r="64" spans="1:24" x14ac:dyDescent="0.25">
      <c r="A64" s="89" t="s">
        <v>621</v>
      </c>
    </row>
    <row r="65" spans="1:24" x14ac:dyDescent="0.25">
      <c r="A65" s="107" t="s">
        <v>619</v>
      </c>
    </row>
    <row r="66" spans="1:24" x14ac:dyDescent="0.25">
      <c r="A66" s="89" t="s">
        <v>605</v>
      </c>
    </row>
    <row r="67" spans="1:24" x14ac:dyDescent="0.25">
      <c r="A67" s="89" t="s">
        <v>620</v>
      </c>
    </row>
    <row r="69" spans="1:24" x14ac:dyDescent="0.25">
      <c r="A69" s="93" t="s">
        <v>606</v>
      </c>
    </row>
    <row r="70" spans="1:24" x14ac:dyDescent="0.25">
      <c r="A70" s="97" t="s">
        <v>607</v>
      </c>
    </row>
    <row r="71" spans="1:24" x14ac:dyDescent="0.25">
      <c r="A71" s="112" t="s">
        <v>551</v>
      </c>
      <c r="B71" s="113"/>
      <c r="C71" s="113"/>
      <c r="D71" s="113"/>
    </row>
    <row r="72" spans="1:24" x14ac:dyDescent="0.25">
      <c r="A72" s="90" t="s">
        <v>608</v>
      </c>
    </row>
    <row r="73" spans="1:24" x14ac:dyDescent="0.25">
      <c r="A73" s="90" t="s">
        <v>610</v>
      </c>
    </row>
    <row r="74" spans="1:24" x14ac:dyDescent="0.25">
      <c r="A74" s="90" t="s">
        <v>609</v>
      </c>
    </row>
    <row r="75" spans="1:24" x14ac:dyDescent="0.25">
      <c r="A75" s="90" t="s">
        <v>655</v>
      </c>
    </row>
    <row r="76" spans="1:24" x14ac:dyDescent="0.25">
      <c r="A76" s="90" t="s">
        <v>656</v>
      </c>
    </row>
    <row r="77" spans="1:24" x14ac:dyDescent="0.25">
      <c r="A77" s="90" t="s">
        <v>657</v>
      </c>
    </row>
    <row r="78" spans="1:24" x14ac:dyDescent="0.25">
      <c r="A78" s="90" t="s">
        <v>611</v>
      </c>
    </row>
    <row r="79" spans="1:24" x14ac:dyDescent="0.25">
      <c r="B79" s="2" t="s">
        <v>11</v>
      </c>
      <c r="C79" s="2" t="s">
        <v>284</v>
      </c>
      <c r="D79" s="2" t="s">
        <v>402</v>
      </c>
      <c r="E79" s="2" t="s">
        <v>414</v>
      </c>
      <c r="F79" s="2" t="s">
        <v>415</v>
      </c>
      <c r="G79" s="2" t="s">
        <v>416</v>
      </c>
      <c r="H79" s="2" t="s">
        <v>9</v>
      </c>
      <c r="I79" s="2" t="s">
        <v>418</v>
      </c>
      <c r="J79" s="2" t="s">
        <v>419</v>
      </c>
      <c r="K79" s="2" t="s">
        <v>420</v>
      </c>
      <c r="L79" s="2" t="s">
        <v>421</v>
      </c>
      <c r="M79" s="2" t="s">
        <v>422</v>
      </c>
      <c r="N79" s="2" t="s">
        <v>423</v>
      </c>
      <c r="O79" s="2" t="s">
        <v>424</v>
      </c>
      <c r="P79" s="2" t="s">
        <v>425</v>
      </c>
      <c r="Q79" s="2" t="s">
        <v>426</v>
      </c>
      <c r="R79" s="2" t="s">
        <v>435</v>
      </c>
      <c r="S79" s="2" t="s">
        <v>434</v>
      </c>
      <c r="T79" s="2" t="s">
        <v>436</v>
      </c>
      <c r="U79" s="2" t="s">
        <v>437</v>
      </c>
      <c r="V79" s="2" t="s">
        <v>438</v>
      </c>
      <c r="W79" s="2" t="s">
        <v>439</v>
      </c>
      <c r="X79" s="2" t="s">
        <v>440</v>
      </c>
    </row>
    <row r="80" spans="1:24" ht="30" x14ac:dyDescent="0.25">
      <c r="B80" s="91" t="s">
        <v>561</v>
      </c>
      <c r="C80" s="91" t="s">
        <v>546</v>
      </c>
      <c r="D80" s="69" t="s">
        <v>562</v>
      </c>
      <c r="E80" s="92" t="s">
        <v>306</v>
      </c>
      <c r="F80" s="69" t="s">
        <v>565</v>
      </c>
      <c r="G80" s="69" t="s">
        <v>305</v>
      </c>
      <c r="H80" s="92" t="s">
        <v>4</v>
      </c>
      <c r="I80" s="92" t="s">
        <v>5</v>
      </c>
      <c r="J80" s="94" t="s">
        <v>308</v>
      </c>
      <c r="K80" s="94" t="s">
        <v>309</v>
      </c>
      <c r="L80" s="95" t="s">
        <v>319</v>
      </c>
      <c r="M80" s="91" t="s">
        <v>318</v>
      </c>
      <c r="N80" s="91" t="s">
        <v>317</v>
      </c>
      <c r="O80" s="96" t="s">
        <v>310</v>
      </c>
      <c r="P80" s="94" t="s">
        <v>594</v>
      </c>
      <c r="Q80" s="94" t="s">
        <v>595</v>
      </c>
      <c r="R80" s="91" t="s">
        <v>331</v>
      </c>
      <c r="S80" s="91" t="s">
        <v>332</v>
      </c>
      <c r="T80" s="69" t="s">
        <v>6</v>
      </c>
      <c r="U80" s="69" t="s">
        <v>7</v>
      </c>
      <c r="V80" s="94" t="s">
        <v>333</v>
      </c>
      <c r="W80" s="94" t="s">
        <v>334</v>
      </c>
      <c r="X80" s="91" t="s">
        <v>335</v>
      </c>
    </row>
    <row r="81" spans="1:24" x14ac:dyDescent="0.25">
      <c r="B81" s="99" t="s">
        <v>563</v>
      </c>
      <c r="C81" s="99" t="s">
        <v>545</v>
      </c>
      <c r="D81" s="99" t="s">
        <v>564</v>
      </c>
      <c r="E81" s="99" t="s">
        <v>566</v>
      </c>
      <c r="F81" s="99" t="s">
        <v>567</v>
      </c>
      <c r="G81" s="99" t="s">
        <v>570</v>
      </c>
      <c r="H81" s="99" t="s">
        <v>292</v>
      </c>
      <c r="I81" s="99" t="s">
        <v>271</v>
      </c>
      <c r="J81" s="100">
        <v>44013</v>
      </c>
      <c r="K81" s="100">
        <v>49490</v>
      </c>
      <c r="L81" s="101">
        <v>10000</v>
      </c>
      <c r="M81" s="99" t="s">
        <v>321</v>
      </c>
      <c r="N81" s="99" t="s">
        <v>320</v>
      </c>
      <c r="O81" s="102">
        <v>2.2499999999999999E-2</v>
      </c>
      <c r="P81" s="100">
        <v>44013</v>
      </c>
      <c r="Q81" s="100">
        <v>45838</v>
      </c>
      <c r="R81" s="99" t="s">
        <v>598</v>
      </c>
      <c r="S81" s="99"/>
      <c r="T81" s="99"/>
      <c r="U81" s="99"/>
      <c r="V81" s="100">
        <v>44013</v>
      </c>
      <c r="W81" s="100">
        <v>49490</v>
      </c>
      <c r="X81" s="99" t="s">
        <v>321</v>
      </c>
    </row>
    <row r="82" spans="1:24" x14ac:dyDescent="0.25">
      <c r="B82" s="99" t="s">
        <v>563</v>
      </c>
      <c r="C82" s="100" t="s">
        <v>593</v>
      </c>
      <c r="D82" s="99" t="s">
        <v>564</v>
      </c>
      <c r="E82" s="99" t="s">
        <v>566</v>
      </c>
      <c r="F82" s="99" t="s">
        <v>567</v>
      </c>
      <c r="G82" s="99" t="s">
        <v>570</v>
      </c>
      <c r="H82" s="99" t="s">
        <v>292</v>
      </c>
      <c r="I82" s="99" t="s">
        <v>271</v>
      </c>
      <c r="J82" s="100">
        <v>44013</v>
      </c>
      <c r="K82" s="100">
        <v>49490</v>
      </c>
      <c r="L82" s="101">
        <v>10300</v>
      </c>
      <c r="M82" s="99" t="s">
        <v>321</v>
      </c>
      <c r="N82" s="99" t="s">
        <v>320</v>
      </c>
      <c r="O82" s="102">
        <v>2.2499999999999999E-2</v>
      </c>
      <c r="P82" s="100">
        <v>45839</v>
      </c>
      <c r="Q82" s="100">
        <v>47664</v>
      </c>
      <c r="R82" s="99" t="s">
        <v>598</v>
      </c>
      <c r="S82" s="99"/>
      <c r="T82" s="99"/>
      <c r="U82" s="99"/>
      <c r="V82" s="100">
        <v>44013</v>
      </c>
      <c r="W82" s="100">
        <v>49490</v>
      </c>
      <c r="X82" s="99" t="s">
        <v>321</v>
      </c>
    </row>
    <row r="83" spans="1:24" x14ac:dyDescent="0.25">
      <c r="B83" s="99" t="s">
        <v>563</v>
      </c>
      <c r="C83" s="100" t="s">
        <v>593</v>
      </c>
      <c r="D83" s="99" t="s">
        <v>564</v>
      </c>
      <c r="E83" s="99" t="s">
        <v>566</v>
      </c>
      <c r="F83" s="99" t="s">
        <v>567</v>
      </c>
      <c r="G83" s="99" t="s">
        <v>570</v>
      </c>
      <c r="H83" s="99" t="s">
        <v>292</v>
      </c>
      <c r="I83" s="99" t="s">
        <v>271</v>
      </c>
      <c r="J83" s="100">
        <v>44013</v>
      </c>
      <c r="K83" s="100">
        <v>49490</v>
      </c>
      <c r="L83" s="101">
        <v>10609</v>
      </c>
      <c r="M83" s="99" t="s">
        <v>321</v>
      </c>
      <c r="N83" s="99" t="s">
        <v>320</v>
      </c>
      <c r="O83" s="102">
        <v>2.2499999999999999E-2</v>
      </c>
      <c r="P83" s="100">
        <v>47665</v>
      </c>
      <c r="Q83" s="100">
        <v>49490</v>
      </c>
      <c r="R83" s="99" t="s">
        <v>598</v>
      </c>
      <c r="S83" s="99"/>
      <c r="T83" s="99"/>
      <c r="U83" s="99"/>
      <c r="V83" s="100">
        <v>44013</v>
      </c>
      <c r="W83" s="100">
        <v>49490</v>
      </c>
      <c r="X83" s="99" t="s">
        <v>321</v>
      </c>
    </row>
    <row r="84" spans="1:24" x14ac:dyDescent="0.25">
      <c r="B84" s="103" t="s">
        <v>563</v>
      </c>
      <c r="C84" s="103" t="s">
        <v>545</v>
      </c>
      <c r="D84" s="103" t="s">
        <v>564</v>
      </c>
      <c r="E84" s="103" t="s">
        <v>267</v>
      </c>
      <c r="F84" s="103" t="s">
        <v>568</v>
      </c>
      <c r="G84" s="103" t="s">
        <v>569</v>
      </c>
      <c r="H84" s="103" t="s">
        <v>292</v>
      </c>
      <c r="I84" s="103" t="s">
        <v>267</v>
      </c>
      <c r="J84" s="104">
        <v>44013</v>
      </c>
      <c r="K84" s="104">
        <v>49490</v>
      </c>
      <c r="L84" s="105">
        <v>5000</v>
      </c>
      <c r="M84" s="103" t="s">
        <v>321</v>
      </c>
      <c r="N84" s="103" t="s">
        <v>320</v>
      </c>
      <c r="O84" s="106">
        <v>2.75E-2</v>
      </c>
      <c r="P84" s="104">
        <v>44013</v>
      </c>
      <c r="Q84" s="104">
        <v>45838</v>
      </c>
      <c r="R84" s="103" t="s">
        <v>598</v>
      </c>
      <c r="S84" s="103"/>
      <c r="T84" s="103"/>
      <c r="U84" s="103"/>
      <c r="V84" s="104">
        <v>44013</v>
      </c>
      <c r="W84" s="104">
        <v>49490</v>
      </c>
      <c r="X84" s="103" t="s">
        <v>321</v>
      </c>
    </row>
    <row r="85" spans="1:24" x14ac:dyDescent="0.25">
      <c r="B85" s="103" t="s">
        <v>563</v>
      </c>
      <c r="C85" s="104" t="s">
        <v>593</v>
      </c>
      <c r="D85" s="103" t="s">
        <v>564</v>
      </c>
      <c r="E85" s="103" t="s">
        <v>267</v>
      </c>
      <c r="F85" s="103" t="s">
        <v>568</v>
      </c>
      <c r="G85" s="103" t="s">
        <v>569</v>
      </c>
      <c r="H85" s="103" t="s">
        <v>292</v>
      </c>
      <c r="I85" s="103" t="s">
        <v>267</v>
      </c>
      <c r="J85" s="104">
        <v>44013</v>
      </c>
      <c r="K85" s="104">
        <v>49490</v>
      </c>
      <c r="L85" s="105">
        <v>6000</v>
      </c>
      <c r="M85" s="103" t="s">
        <v>321</v>
      </c>
      <c r="N85" s="103" t="s">
        <v>320</v>
      </c>
      <c r="O85" s="106">
        <v>2.75E-2</v>
      </c>
      <c r="P85" s="104">
        <v>45839</v>
      </c>
      <c r="Q85" s="104">
        <v>47664</v>
      </c>
      <c r="R85" s="103" t="s">
        <v>598</v>
      </c>
      <c r="S85" s="103"/>
      <c r="T85" s="103"/>
      <c r="U85" s="103"/>
      <c r="V85" s="104">
        <v>44013</v>
      </c>
      <c r="W85" s="104">
        <v>49490</v>
      </c>
      <c r="X85" s="103" t="s">
        <v>321</v>
      </c>
    </row>
    <row r="86" spans="1:24" x14ac:dyDescent="0.25">
      <c r="B86" s="103" t="s">
        <v>563</v>
      </c>
      <c r="C86" s="104" t="s">
        <v>593</v>
      </c>
      <c r="D86" s="103" t="s">
        <v>564</v>
      </c>
      <c r="E86" s="103" t="s">
        <v>267</v>
      </c>
      <c r="F86" s="103" t="s">
        <v>568</v>
      </c>
      <c r="G86" s="103" t="s">
        <v>569</v>
      </c>
      <c r="H86" s="103" t="s">
        <v>292</v>
      </c>
      <c r="I86" s="103" t="s">
        <v>267</v>
      </c>
      <c r="J86" s="104">
        <v>44013</v>
      </c>
      <c r="K86" s="104">
        <v>49490</v>
      </c>
      <c r="L86" s="105">
        <v>7000</v>
      </c>
      <c r="M86" s="103" t="s">
        <v>321</v>
      </c>
      <c r="N86" s="103" t="s">
        <v>320</v>
      </c>
      <c r="O86" s="106">
        <v>2.75E-2</v>
      </c>
      <c r="P86" s="104">
        <v>47665</v>
      </c>
      <c r="Q86" s="104">
        <v>49490</v>
      </c>
      <c r="R86" s="103" t="s">
        <v>598</v>
      </c>
      <c r="S86" s="103"/>
      <c r="T86" s="103"/>
      <c r="U86" s="103"/>
      <c r="V86" s="104">
        <v>44013</v>
      </c>
      <c r="W86" s="104">
        <v>49490</v>
      </c>
      <c r="X86" s="103" t="s">
        <v>321</v>
      </c>
    </row>
    <row r="87" spans="1:24" x14ac:dyDescent="0.25">
      <c r="B87" t="s">
        <v>563</v>
      </c>
      <c r="C87" t="s">
        <v>545</v>
      </c>
      <c r="D87" t="s">
        <v>564</v>
      </c>
      <c r="E87" t="s">
        <v>615</v>
      </c>
      <c r="F87" t="s">
        <v>616</v>
      </c>
      <c r="G87" t="s">
        <v>615</v>
      </c>
      <c r="H87" t="s">
        <v>291</v>
      </c>
      <c r="I87" s="98"/>
      <c r="J87" s="98"/>
      <c r="K87" s="98"/>
      <c r="L87" s="98"/>
      <c r="M87" s="98"/>
      <c r="N87" s="98"/>
      <c r="O87" s="98"/>
      <c r="P87" s="98"/>
      <c r="Q87" s="98"/>
      <c r="R87" s="98"/>
      <c r="S87" s="98"/>
      <c r="T87" s="98"/>
      <c r="U87" s="98"/>
      <c r="V87" s="98"/>
      <c r="W87" s="98"/>
      <c r="X87" s="98"/>
    </row>
    <row r="89" spans="1:24" x14ac:dyDescent="0.25">
      <c r="A89" s="90" t="s">
        <v>658</v>
      </c>
    </row>
    <row r="90" spans="1:24" x14ac:dyDescent="0.25">
      <c r="A90" s="90" t="s">
        <v>659</v>
      </c>
    </row>
    <row r="91" spans="1:24" x14ac:dyDescent="0.25">
      <c r="A91" s="89" t="s">
        <v>660</v>
      </c>
    </row>
    <row r="92" spans="1:24" x14ac:dyDescent="0.25">
      <c r="A92" s="89" t="s">
        <v>661</v>
      </c>
    </row>
    <row r="93" spans="1:24" x14ac:dyDescent="0.25">
      <c r="A93" s="89" t="s">
        <v>662</v>
      </c>
    </row>
    <row r="94" spans="1:24" x14ac:dyDescent="0.25">
      <c r="A94" s="89" t="s">
        <v>663</v>
      </c>
    </row>
    <row r="95" spans="1:24" x14ac:dyDescent="0.25">
      <c r="A95" s="89" t="s">
        <v>664</v>
      </c>
    </row>
    <row r="96" spans="1:24" x14ac:dyDescent="0.25">
      <c r="A96" s="89" t="s">
        <v>665</v>
      </c>
    </row>
    <row r="97" spans="1:1" x14ac:dyDescent="0.25">
      <c r="A97" s="89" t="s">
        <v>666</v>
      </c>
    </row>
    <row r="98" spans="1:1" x14ac:dyDescent="0.25">
      <c r="A98" s="89" t="s">
        <v>667</v>
      </c>
    </row>
    <row r="99" spans="1:1" x14ac:dyDescent="0.25">
      <c r="A99" s="89" t="s">
        <v>668</v>
      </c>
    </row>
    <row r="100" spans="1:1" x14ac:dyDescent="0.25">
      <c r="A100" s="89" t="s">
        <v>669</v>
      </c>
    </row>
    <row r="101" spans="1:1" x14ac:dyDescent="0.25">
      <c r="A101" s="107" t="s">
        <v>619</v>
      </c>
    </row>
    <row r="102" spans="1:1" x14ac:dyDescent="0.25">
      <c r="A102" s="89" t="s">
        <v>670</v>
      </c>
    </row>
    <row r="103" spans="1:1" x14ac:dyDescent="0.25">
      <c r="A103" s="89" t="s">
        <v>671</v>
      </c>
    </row>
    <row r="105" spans="1:1" x14ac:dyDescent="0.25">
      <c r="A105" s="89"/>
    </row>
    <row r="106" spans="1:1" x14ac:dyDescent="0.25">
      <c r="A106" s="89"/>
    </row>
    <row r="107" spans="1:1" x14ac:dyDescent="0.25">
      <c r="A107" s="89"/>
    </row>
  </sheetData>
  <sheetProtection algorithmName="SHA-512" hashValue="28r+wU9c13xE0FYfdjon2A5X8pP5VXFitjF/m7vugYyH/HccAryaB9KexDgtXeTOxDhOP6XVsmTI35ErI3vjzw==" saltValue="8jGb7GkROQjHmbldPbJ5ow==" spinCount="100000"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H57"/>
  <sheetViews>
    <sheetView topLeftCell="U1" workbookViewId="0">
      <pane ySplit="5" topLeftCell="A25" activePane="bottomLeft" state="frozen"/>
      <selection pane="bottomLeft" activeCell="Y29" sqref="Y29"/>
    </sheetView>
  </sheetViews>
  <sheetFormatPr defaultRowHeight="15" x14ac:dyDescent="0.25"/>
  <cols>
    <col min="1" max="1" width="8.85546875" customWidth="1"/>
    <col min="2" max="2" width="23.42578125" bestFit="1" customWidth="1"/>
    <col min="3" max="3" width="22.28515625" bestFit="1" customWidth="1"/>
    <col min="4" max="4" width="15.140625" customWidth="1"/>
    <col min="5" max="5" width="15.5703125" bestFit="1" customWidth="1"/>
    <col min="6" max="6" width="50.7109375" customWidth="1"/>
    <col min="7" max="7" width="15" bestFit="1" customWidth="1"/>
    <col min="8" max="8" width="27.5703125" bestFit="1" customWidth="1"/>
    <col min="9" max="9" width="22.42578125" customWidth="1"/>
    <col min="10" max="10" width="18.85546875" bestFit="1" customWidth="1"/>
    <col min="11" max="11" width="50.140625" customWidth="1"/>
    <col min="12" max="17" width="17.7109375" style="17" customWidth="1"/>
    <col min="18" max="18" width="37.28515625" bestFit="1" customWidth="1"/>
    <col min="19" max="19" width="15.140625" style="3" bestFit="1" customWidth="1"/>
    <col min="20" max="20" width="13.5703125" style="3" customWidth="1"/>
    <col min="21" max="21" width="21" bestFit="1" customWidth="1"/>
    <col min="22" max="22" width="40.7109375" customWidth="1"/>
    <col min="23" max="23" width="22.140625" bestFit="1" customWidth="1"/>
    <col min="24" max="24" width="35.140625" customWidth="1"/>
    <col min="25" max="25" width="17.42578125" customWidth="1"/>
    <col min="26" max="26" width="22.85546875" customWidth="1"/>
    <col min="27" max="28" width="14.28515625" style="17" bestFit="1" customWidth="1"/>
    <col min="29" max="29" width="15.7109375" style="19" customWidth="1"/>
    <col min="30" max="30" width="14.85546875" bestFit="1" customWidth="1"/>
    <col min="31" max="31" width="13.42578125" bestFit="1" customWidth="1"/>
    <col min="32" max="32" width="12.85546875" style="20" customWidth="1"/>
    <col min="33" max="34" width="15.7109375" style="17" customWidth="1"/>
    <col min="35" max="35" width="15.140625" style="15" bestFit="1" customWidth="1"/>
    <col min="36" max="36" width="17.7109375" style="19" bestFit="1" customWidth="1"/>
    <col min="37" max="38" width="17.7109375" style="19" customWidth="1"/>
    <col min="39" max="39" width="20.7109375" style="19" bestFit="1" customWidth="1"/>
    <col min="40" max="40" width="18.42578125" style="19" bestFit="1" customWidth="1"/>
    <col min="41" max="42" width="17.7109375" style="19" customWidth="1"/>
    <col min="43" max="43" width="25.85546875" customWidth="1"/>
    <col min="44" max="44" width="20.85546875" bestFit="1" customWidth="1"/>
    <col min="45" max="45" width="22.7109375" customWidth="1"/>
    <col min="46" max="46" width="21.85546875" customWidth="1"/>
    <col min="47" max="47" width="23" style="17" customWidth="1"/>
    <col min="48" max="48" width="22.140625" style="17" customWidth="1"/>
    <col min="49" max="49" width="21.42578125" style="3" bestFit="1" customWidth="1"/>
    <col min="50" max="50" width="21.42578125" customWidth="1"/>
    <col min="51" max="51" width="25.5703125" customWidth="1"/>
    <col min="52" max="52" width="15.42578125" style="3" customWidth="1"/>
    <col min="53" max="53" width="18" customWidth="1"/>
    <col min="54" max="54" width="31.85546875" bestFit="1" customWidth="1"/>
    <col min="55" max="55" width="36.140625" bestFit="1" customWidth="1"/>
    <col min="56" max="56" width="27.5703125" bestFit="1" customWidth="1"/>
    <col min="57" max="57" width="30" bestFit="1" customWidth="1"/>
    <col min="58" max="58" width="28.85546875" bestFit="1" customWidth="1"/>
    <col min="59" max="59" width="29.85546875" bestFit="1" customWidth="1"/>
    <col min="60" max="60" width="35.28515625" bestFit="1" customWidth="1"/>
  </cols>
  <sheetData>
    <row r="1" spans="1:60" x14ac:dyDescent="0.25">
      <c r="A1" s="58" t="s">
        <v>519</v>
      </c>
      <c r="B1" s="59"/>
      <c r="C1" s="59"/>
      <c r="D1" s="59"/>
      <c r="E1" s="59"/>
      <c r="F1" s="58" t="s">
        <v>519</v>
      </c>
      <c r="G1" s="59"/>
      <c r="H1" s="59"/>
      <c r="I1" s="59"/>
      <c r="J1" s="58" t="s">
        <v>519</v>
      </c>
      <c r="K1" s="59"/>
      <c r="L1" s="60"/>
      <c r="M1" s="60"/>
      <c r="N1" s="60"/>
      <c r="O1" s="58" t="s">
        <v>519</v>
      </c>
      <c r="P1" s="60"/>
      <c r="Q1" s="60"/>
      <c r="R1" s="59"/>
      <c r="S1" s="61"/>
      <c r="T1" s="65" t="s">
        <v>519</v>
      </c>
      <c r="U1" s="58"/>
      <c r="V1" s="59"/>
      <c r="W1" s="59"/>
      <c r="X1" s="59"/>
      <c r="Y1" s="58" t="s">
        <v>519</v>
      </c>
      <c r="Z1" s="59"/>
      <c r="AA1" s="60"/>
      <c r="AB1" s="60"/>
      <c r="AC1" s="62"/>
      <c r="AD1" s="59"/>
      <c r="AE1" s="59"/>
      <c r="AF1" s="58" t="s">
        <v>519</v>
      </c>
      <c r="AG1" s="60"/>
      <c r="AH1" s="60"/>
      <c r="AI1" s="63"/>
      <c r="AJ1" s="62"/>
      <c r="AK1" s="62"/>
      <c r="AL1" s="58" t="s">
        <v>519</v>
      </c>
      <c r="AM1" s="62"/>
      <c r="AN1" s="62"/>
      <c r="AO1" s="62"/>
      <c r="AP1" s="62"/>
      <c r="AQ1" s="58" t="s">
        <v>519</v>
      </c>
      <c r="AR1" s="59"/>
      <c r="AS1" s="59"/>
      <c r="AT1" s="59"/>
      <c r="AU1" s="60"/>
      <c r="AV1" s="58" t="s">
        <v>519</v>
      </c>
      <c r="AW1" s="61"/>
      <c r="AX1" s="59"/>
      <c r="AY1" s="59"/>
      <c r="AZ1" s="61"/>
      <c r="BA1" s="58" t="s">
        <v>519</v>
      </c>
      <c r="BB1" s="59"/>
      <c r="BC1" s="59"/>
      <c r="BD1" s="59"/>
      <c r="BE1" s="58" t="s">
        <v>519</v>
      </c>
      <c r="BF1" s="59"/>
      <c r="BG1" s="59"/>
      <c r="BH1" s="59"/>
    </row>
    <row r="2" spans="1:60" x14ac:dyDescent="0.25">
      <c r="A2" s="70" t="s">
        <v>325</v>
      </c>
      <c r="B2" s="71"/>
      <c r="C2" s="71"/>
      <c r="D2" s="71"/>
      <c r="E2" s="71"/>
      <c r="F2" s="71"/>
      <c r="G2" s="71"/>
      <c r="H2" s="71"/>
      <c r="I2" s="71"/>
      <c r="J2" s="71"/>
      <c r="K2" s="71"/>
      <c r="L2" s="72"/>
      <c r="M2" s="72"/>
      <c r="N2" s="72"/>
      <c r="O2" s="72"/>
      <c r="P2" s="72"/>
      <c r="Q2" s="73"/>
      <c r="R2" s="74"/>
      <c r="S2" s="75"/>
      <c r="T2" s="76" t="s">
        <v>324</v>
      </c>
      <c r="U2" s="77"/>
      <c r="V2" s="78"/>
      <c r="W2" s="78"/>
      <c r="X2" s="79"/>
      <c r="Y2" s="80" t="s">
        <v>323</v>
      </c>
      <c r="Z2" s="81"/>
      <c r="AA2" s="82"/>
      <c r="AB2" s="82"/>
      <c r="AC2" s="83"/>
      <c r="AD2" s="84" t="s">
        <v>323</v>
      </c>
      <c r="AE2" s="81"/>
      <c r="AF2" s="85"/>
      <c r="AG2" s="82"/>
      <c r="AH2" s="82"/>
      <c r="AI2" s="84" t="s">
        <v>323</v>
      </c>
      <c r="AJ2" s="83"/>
      <c r="AK2" s="83"/>
      <c r="AL2" s="83"/>
      <c r="AM2" s="84" t="s">
        <v>323</v>
      </c>
      <c r="AN2" s="83"/>
      <c r="AO2" s="83"/>
      <c r="AP2" s="83"/>
      <c r="AQ2" s="84" t="s">
        <v>323</v>
      </c>
      <c r="AR2" s="84"/>
      <c r="AS2" s="81"/>
      <c r="AT2" s="81"/>
      <c r="AU2" s="86" t="s">
        <v>323</v>
      </c>
      <c r="AV2" s="82"/>
      <c r="AW2" s="87"/>
      <c r="AX2" s="81"/>
      <c r="AY2" s="86" t="s">
        <v>323</v>
      </c>
      <c r="AZ2" s="86"/>
      <c r="BA2" s="81"/>
      <c r="BB2" s="88" t="str">
        <f>"Blank: " &amp; COUNTIF(LesseeBase[RoU Assets
G/L Account],"")</f>
        <v>Blank: 52</v>
      </c>
      <c r="BC2" s="88" t="str">
        <f>"Blank: " &amp; COUNTIF(LesseeBase[Accum Amortiz
G/L Account],"")</f>
        <v>Blank: 52</v>
      </c>
      <c r="BD2" s="88" t="str">
        <f>"Blank: " &amp; COUNTIF(LesseeBase[S-T Lease Liability
G/L Account],"")</f>
        <v>Blank: 52</v>
      </c>
      <c r="BE2" s="88" t="str">
        <f>"Blank: " &amp; COUNTIF(LesseeBase[L-T Lease Liability
G/L Account],"")</f>
        <v>Blank: 52</v>
      </c>
      <c r="BF2" s="88" t="str">
        <f>"Blank: " &amp; COUNTIF(LesseeBase[Lease Operating Exp
G/L Account],"")</f>
        <v>Blank: 52</v>
      </c>
      <c r="BG2" s="88" t="str">
        <f>"Blank: " &amp; COUNTIF(LesseeBase[RoUA Amortiz. Exp.
G/L Account],"")</f>
        <v>Blank: 52</v>
      </c>
      <c r="BH2" s="88" t="str">
        <f>"Blank: " &amp; COUNTIF(LesseeBase[Lease Interest Exp
G/L Account],"")</f>
        <v>Blank: 52</v>
      </c>
    </row>
    <row r="3" spans="1:60" x14ac:dyDescent="0.25">
      <c r="C3" s="32" t="str">
        <f>"Error: " &amp; COUNTIF(LesseeBase[AgreementCode],"")</f>
        <v>Error: 51</v>
      </c>
      <c r="D3" s="32" t="str">
        <f>"Error: " &amp; COUNTIF(LesseeBase[Multi-
Record],"")</f>
        <v>Error: 0</v>
      </c>
      <c r="E3" s="26" t="str">
        <f>"Error: " &amp; COUNTIFS(LesseeBase[AgrmtCode
Uniq Test],"&gt;1",LesseeBase[Multi-
Record],"None")</f>
        <v>Error: 0</v>
      </c>
      <c r="F3" s="32" t="str">
        <f>"Error: " &amp; COUNTIF(LesseeBase[AgreementTitle],"")</f>
        <v>Error: 51</v>
      </c>
      <c r="G3" s="26" t="str">
        <f>"Error: " &amp; COUNTIFS(LesseeBase[AgrmtTitle
Uniq Test],"&gt;1",LesseeBase[Multi-
Record],"None")</f>
        <v>Error: 0</v>
      </c>
      <c r="H3" s="3" t="s">
        <v>256</v>
      </c>
      <c r="I3" s="32" t="str">
        <f>"Error: " &amp; COUNTIF(LesseeBase[AgreementType],"")</f>
        <v>Error: 52</v>
      </c>
      <c r="J3" s="32" t="str">
        <f>"Error: " &amp; COUNTIF(LesseeBase[AgreementStatus],"")</f>
        <v>Error: 52</v>
      </c>
      <c r="K3" s="26" t="str">
        <f>"Error: " &amp; COUNTIF(LesseeBase[AgreementDescription],"")</f>
        <v>Error: 52</v>
      </c>
      <c r="L3" s="26" t="str">
        <f>"Error: " &amp; COUNTIF(LesseeBase[Initial Period
Start Date],"")</f>
        <v>Error: 52</v>
      </c>
      <c r="M3" s="26" t="str">
        <f>"Error: " &amp; COUNTIF(LesseeBase[Initial Period
End Date],"")</f>
        <v>Error: 52</v>
      </c>
      <c r="N3" s="16" t="s">
        <v>256</v>
      </c>
      <c r="O3" s="16" t="s">
        <v>256</v>
      </c>
      <c r="P3" s="16" t="s">
        <v>256</v>
      </c>
      <c r="Q3" s="16" t="s">
        <v>256</v>
      </c>
      <c r="R3" t="s">
        <v>256</v>
      </c>
      <c r="S3" s="26" t="str">
        <f>"Error: " &amp; COUNTIF(LesseeBase[Comments
Length], "&gt; 300")</f>
        <v>Error: 0</v>
      </c>
      <c r="T3" s="32" t="str">
        <f>"Error: " &amp; COUNTIF(LesseeBase[Multi-
Record2],"")</f>
        <v>Error: 0</v>
      </c>
      <c r="U3" s="32" t="str">
        <f>"Error: " &amp; COUNTIF(LesseeBase[ProvisionReference],"")</f>
        <v>Error: 0</v>
      </c>
      <c r="V3" s="32" t="str">
        <f>"Error: " &amp; COUNTIF(LesseeBase[ProvisionDescription],"")</f>
        <v>Error: 51</v>
      </c>
      <c r="W3" s="32" t="str">
        <f>"Error: " &amp; COUNTIF(LesseeBase[ProvisionType],"")+COUNTIF(LesseeBase[ProvisionType],0)</f>
        <v>Error: 52</v>
      </c>
      <c r="X3" s="3" t="s">
        <v>256</v>
      </c>
      <c r="Y3" s="26" t="str">
        <f>"Error: " &amp; COUNTIF(LesseeBase[ReportingType],"")</f>
        <v>Error: 0</v>
      </c>
      <c r="Z3" s="26" t="str">
        <f>"Error: " &amp; COUNTIF(LesseeBase[ReportingCategory],"")+COUNTIF(LesseeBase[ReportingCategory],0)</f>
        <v>Error: 52</v>
      </c>
      <c r="AA3" s="26" t="str">
        <f>"Error: " &amp; COUNTIF(LesseeBase[Reporting
StartDate],"")</f>
        <v>Error: 52</v>
      </c>
      <c r="AB3" s="26" t="str">
        <f>"Error: " &amp; COUNTIF(LesseeBase[Reporting
EndDate],"") + COUNTIF(LesseeBase[Reporting
EndDate],0)</f>
        <v>Error: 52</v>
      </c>
      <c r="AC3" s="26" t="str">
        <f>"Error: " &amp; COUNTIF(LesseeBase[Payment
Amount],"")+COUNTIF(LesseeBase[Payment
Amount],0)</f>
        <v>Error: 52</v>
      </c>
      <c r="AD3" s="26" t="str">
        <f>"Error: " &amp; COUNTIF(LesseeBase[Payment
Frequency],"")</f>
        <v>Error: 52</v>
      </c>
      <c r="AE3" s="26" t="str">
        <f>"Error: " &amp; COUNTIF(LesseeBase[Payment
Timing],"")</f>
        <v>Error: 52</v>
      </c>
      <c r="AF3" s="26" t="str">
        <f>"Error: " &amp; COUNTIF(LesseeBase[Annual
Rate],"")+COUNTIF(LesseeBase[Annual
Rate],0)</f>
        <v>Error: 52</v>
      </c>
      <c r="AG3" s="26" t="str">
        <f>"Error: " &amp; COUNTIF(LesseeBase[Payment
StartDate],"")</f>
        <v>Error: 52</v>
      </c>
      <c r="AH3" s="26" t="str">
        <f>"Error: " &amp; COUNTIF(LesseeBase[Payment
EndDate],"") + COUNTIF(LesseeBase[Payment
EndDate],0)</f>
        <v>Error: 52</v>
      </c>
      <c r="AI3" s="25" t="s">
        <v>326</v>
      </c>
      <c r="AJ3" s="25" t="s">
        <v>326</v>
      </c>
      <c r="AK3" s="25" t="s">
        <v>326</v>
      </c>
      <c r="AL3" s="25" t="s">
        <v>326</v>
      </c>
      <c r="AM3" s="26" t="str">
        <f>"Error: " &amp; COUNTIF(LesseeBase[Total
CapitalizedValue],"")+COUNTIF(LesseeBase[Total
CapitalizedValue],0)</f>
        <v>Error: 0</v>
      </c>
      <c r="AN3" s="26" t="str">
        <f>"Error: " &amp; COUNTIF(LesseeBase[Capitalized
ResidualValue],"")+COUNTIF(LesseeBase[Capitalized
ResidualValue],"&lt;0")</f>
        <v>Error: 52</v>
      </c>
      <c r="AO3" s="25" t="s">
        <v>326</v>
      </c>
      <c r="AP3" s="26" t="str">
        <f>"Error: " &amp; COUNTIF(LesseeBase[Amount to be
Amortized],"")+COUNTIF(LesseeBase[Amount to be
Amortized],0)</f>
        <v>Error: 0</v>
      </c>
      <c r="AQ3" s="26" t="str">
        <f>"Error: " &amp; COUNTIF(LesseeBase[RoU Asset
AmortizationMethod],"")</f>
        <v>Error: 0</v>
      </c>
      <c r="AR3" s="26" t="str">
        <f>"Error: " &amp; COUNTIF(LesseeBase[DecliningBalance
Percentage],"Enter %")</f>
        <v>Error: 0</v>
      </c>
      <c r="AS3" s="26" t="str">
        <f>"Error: " &amp; COUNTIF(LesseeBase[UsageBase],"Enter Usage Base")</f>
        <v>Error: 0</v>
      </c>
      <c r="AT3" s="26" t="str">
        <f>"Error: "&amp;COUNTIF(LesseeBase[UsageUnitMeasure],"Enter Usage UoM")</f>
        <v>Error: 0</v>
      </c>
      <c r="AU3" s="26" t="str">
        <f>"Error: " &amp; COUNTIF(LesseeBase[RoU Amortization
StartDate],"")</f>
        <v>Error: 52</v>
      </c>
      <c r="AV3" s="26" t="str">
        <f>"Error: " &amp; COUNTIF(LesseeBase[RoU Amortization
EndDate],"") + COUNTIF(LesseeBase[RoU Amortization
EndDate],0)</f>
        <v>Error: 52</v>
      </c>
      <c r="AW3" s="26" t="str">
        <f>"Error: " &amp; COUNTIF(LesseeBase[RoU Amortization
Frequency],"")</f>
        <v>Error: 0</v>
      </c>
      <c r="AX3" s="25" t="s">
        <v>326</v>
      </c>
      <c r="AY3" s="25" t="s">
        <v>256</v>
      </c>
      <c r="AZ3" s="25" t="s">
        <v>256</v>
      </c>
      <c r="BA3" s="25" t="s">
        <v>256</v>
      </c>
      <c r="BB3" s="29" t="s">
        <v>394</v>
      </c>
      <c r="BC3" s="30"/>
      <c r="BD3" s="30"/>
      <c r="BE3" s="30"/>
      <c r="BF3" s="30"/>
      <c r="BG3" s="30"/>
      <c r="BH3" s="31"/>
    </row>
    <row r="4" spans="1:60" x14ac:dyDescent="0.25">
      <c r="C4" s="117" t="s">
        <v>679</v>
      </c>
      <c r="F4" s="118" t="s">
        <v>679</v>
      </c>
      <c r="R4" s="118" t="s">
        <v>682</v>
      </c>
      <c r="V4" s="118" t="s">
        <v>683</v>
      </c>
    </row>
    <row r="5" spans="1:60" ht="30" x14ac:dyDescent="0.25">
      <c r="A5" t="s">
        <v>508</v>
      </c>
      <c r="B5" t="s">
        <v>510</v>
      </c>
      <c r="C5" s="14" t="s">
        <v>678</v>
      </c>
      <c r="D5" s="14" t="s">
        <v>546</v>
      </c>
      <c r="E5" s="14" t="s">
        <v>304</v>
      </c>
      <c r="F5" t="s">
        <v>680</v>
      </c>
      <c r="G5" s="14" t="s">
        <v>300</v>
      </c>
      <c r="H5" t="s">
        <v>303</v>
      </c>
      <c r="I5" t="s">
        <v>301</v>
      </c>
      <c r="J5" t="s">
        <v>302</v>
      </c>
      <c r="K5" t="s">
        <v>0</v>
      </c>
      <c r="L5" s="18" t="s">
        <v>388</v>
      </c>
      <c r="M5" s="18" t="s">
        <v>389</v>
      </c>
      <c r="N5" s="18" t="s">
        <v>390</v>
      </c>
      <c r="O5" s="18" t="s">
        <v>391</v>
      </c>
      <c r="P5" s="18" t="s">
        <v>392</v>
      </c>
      <c r="Q5" s="18" t="s">
        <v>393</v>
      </c>
      <c r="R5" t="s">
        <v>681</v>
      </c>
      <c r="S5" s="14" t="s">
        <v>311</v>
      </c>
      <c r="T5" s="14" t="s">
        <v>547</v>
      </c>
      <c r="U5" s="12" t="s">
        <v>306</v>
      </c>
      <c r="V5" t="s">
        <v>565</v>
      </c>
      <c r="W5" t="s">
        <v>305</v>
      </c>
      <c r="X5" t="s">
        <v>3</v>
      </c>
      <c r="Y5" s="12" t="s">
        <v>4</v>
      </c>
      <c r="Z5" s="12" t="s">
        <v>5</v>
      </c>
      <c r="AA5" s="18" t="s">
        <v>308</v>
      </c>
      <c r="AB5" s="18" t="s">
        <v>309</v>
      </c>
      <c r="AC5" s="22" t="s">
        <v>319</v>
      </c>
      <c r="AD5" s="14" t="s">
        <v>318</v>
      </c>
      <c r="AE5" s="14" t="s">
        <v>317</v>
      </c>
      <c r="AF5" s="21" t="s">
        <v>310</v>
      </c>
      <c r="AG5" s="18" t="s">
        <v>594</v>
      </c>
      <c r="AH5" s="18" t="s">
        <v>595</v>
      </c>
      <c r="AI5" s="23" t="s">
        <v>313</v>
      </c>
      <c r="AJ5" s="24" t="s">
        <v>314</v>
      </c>
      <c r="AK5" s="24" t="s">
        <v>316</v>
      </c>
      <c r="AL5" s="24" t="s">
        <v>315</v>
      </c>
      <c r="AM5" s="22" t="s">
        <v>327</v>
      </c>
      <c r="AN5" s="22" t="s">
        <v>328</v>
      </c>
      <c r="AO5" s="24" t="s">
        <v>329</v>
      </c>
      <c r="AP5" s="22" t="s">
        <v>330</v>
      </c>
      <c r="AQ5" s="14" t="s">
        <v>331</v>
      </c>
      <c r="AR5" s="14" t="s">
        <v>332</v>
      </c>
      <c r="AS5" t="s">
        <v>6</v>
      </c>
      <c r="AT5" t="s">
        <v>7</v>
      </c>
      <c r="AU5" s="18" t="s">
        <v>333</v>
      </c>
      <c r="AV5" s="18" t="s">
        <v>334</v>
      </c>
      <c r="AW5" s="14" t="s">
        <v>335</v>
      </c>
      <c r="AX5" s="24" t="s">
        <v>336</v>
      </c>
      <c r="AY5" s="14" t="s">
        <v>337</v>
      </c>
      <c r="AZ5" s="14" t="s">
        <v>338</v>
      </c>
      <c r="BA5" s="14" t="s">
        <v>339</v>
      </c>
      <c r="BB5" s="28" t="s">
        <v>340</v>
      </c>
      <c r="BC5" s="28" t="s">
        <v>341</v>
      </c>
      <c r="BD5" s="28" t="s">
        <v>342</v>
      </c>
      <c r="BE5" s="28" t="s">
        <v>386</v>
      </c>
      <c r="BF5" s="28" t="s">
        <v>344</v>
      </c>
      <c r="BG5" s="28" t="s">
        <v>343</v>
      </c>
      <c r="BH5" s="28" t="s">
        <v>345</v>
      </c>
    </row>
    <row r="6" spans="1:60" x14ac:dyDescent="0.25">
      <c r="A6" s="119" t="s">
        <v>509</v>
      </c>
      <c r="B6" s="119">
        <f>'Agency Cover'!$B$3</f>
        <v>0</v>
      </c>
      <c r="C6" s="119"/>
      <c r="D6" s="119" t="s">
        <v>291</v>
      </c>
      <c r="E6" s="125">
        <f>COUNTIF(LesseeBase[AgreementCode],LesseeBase[[#This Row],[AgreementCode]])</f>
        <v>0</v>
      </c>
      <c r="F6" s="119"/>
      <c r="G6" s="125">
        <f>COUNTIF(LesseeBase[AgreementTitle],LesseeBase[[#This Row],[AgreementTitle]])</f>
        <v>0</v>
      </c>
      <c r="H6" s="119"/>
      <c r="I6" s="119"/>
      <c r="J6" s="119"/>
      <c r="K6" s="119"/>
      <c r="L6" s="121"/>
      <c r="M6" s="121"/>
      <c r="N6" s="121"/>
      <c r="O6" s="121"/>
      <c r="P6" s="121"/>
      <c r="Q6" s="121"/>
      <c r="R6" s="121"/>
      <c r="S6" s="126">
        <f>LEN(LesseeBase[[#This Row],[Comments]])</f>
        <v>0</v>
      </c>
      <c r="T6" s="122" t="str">
        <f>LesseeBase[[#This Row],[Multi-
Record]]</f>
        <v>None</v>
      </c>
      <c r="U6" s="119">
        <f>LesseeBase[[#This Row],[AgreementCode]]</f>
        <v>0</v>
      </c>
      <c r="V6" s="119" t="str">
        <f>LEFT(LesseeBase[[#This Row],[AgreementTitle]],50)</f>
        <v/>
      </c>
      <c r="W6" s="125">
        <f>LesseeBase[[#This Row],[AgreementType]]</f>
        <v>0</v>
      </c>
      <c r="X6" s="119"/>
      <c r="Y6"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6" s="125">
        <f>LesseeBase[[#This Row],[ProvisionType]]</f>
        <v>0</v>
      </c>
      <c r="AA6" s="121"/>
      <c r="AB6" s="121">
        <f>IF(LesseeBase[[#This Row],[Incl. Options
End Date]]&gt;0,LesseeBase[[#This Row],[Incl. Options
End Date]],LesseeBase[[#This Row],[Initial Period
End Date]])</f>
        <v>0</v>
      </c>
      <c r="AC6" s="123"/>
      <c r="AD6" s="119"/>
      <c r="AE6" s="119"/>
      <c r="AF6" s="124"/>
      <c r="AG6" s="121"/>
      <c r="AH6" s="121"/>
      <c r="AI6" s="125" t="e" cm="1">
        <f t="array" ref="AI6">ROUND(ROUND((LesseeBase[[#This Row],[Payment
EndDate]]-LesseeBase[[#This Row],[Payment
StartDate]])/365,2)*_xlfn.IFS(LesseeBase[[#This Row],[Payment
Frequency]]="MO",12,LesseeBase[[#This Row],[Payment
Frequency]]="QT",4,LesseeBase[[#This Row],[Payment
Frequency]]="SA",2,LesseeBase[[#This Row],[Payment
Frequency]]="AN",1),0)</f>
        <v>#N/A</v>
      </c>
      <c r="AJ6" s="123" t="e">
        <f>ROUND(LesseeBase[[#This Row],[Payment
Amount]]*LesseeBase[[#This Row],[Number of
 Payments]],2)</f>
        <v>#N/A</v>
      </c>
      <c r="AK6"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6" s="123" t="e">
        <f>IF(LesseeBase[[#This Row],[Multi-
Record2]]="Multi-Amount", "calc on import",LesseeBase[[#This Row],[Total Amount
of Payments]]-LesseeBase[[#This Row],[Present
Value]])</f>
        <v>#N/A</v>
      </c>
      <c r="AM6" s="123" t="e">
        <f>LesseeBase[[#This Row],[Present
Value]]</f>
        <v>#DIV/0!</v>
      </c>
      <c r="AN6" s="123"/>
      <c r="AO6" s="123" t="e">
        <f>IF(LesseeBase[[#This Row],[Multi-
Record2]]="Multi-Amount", "calc on import",LesseeBase[[#This Row],[Total
CapitalizedValue]]-LesseeBase[[#This Row],[Capitalized
ResidualValue]])</f>
        <v>#DIV/0!</v>
      </c>
      <c r="AP6" s="123" t="e">
        <f>LesseeBase[[#This Row],[Calc Amount
to Amortize]]</f>
        <v>#DIV/0!</v>
      </c>
      <c r="AQ6" s="119" t="s">
        <v>296</v>
      </c>
      <c r="AR6" s="125" t="str">
        <f>IF(LesseeBase[[#This Row],[RoU Asset
AmortizationMethod]] = "Declining Balance", "Enter %","")</f>
        <v/>
      </c>
      <c r="AS6" s="125" t="str">
        <f>IF(LesseeBase[[#This Row],[RoU Asset
AmortizationMethod]]="Usage Based","Enter Usage Base","")</f>
        <v/>
      </c>
      <c r="AT6" s="125" t="str">
        <f>IF(LesseeBase[[#This Row],[RoU Asset
AmortizationMethod]]="Usage Based","Enter Usage UoM","")</f>
        <v/>
      </c>
      <c r="AU6" s="121"/>
      <c r="AV6" s="121">
        <f>IF(LesseeBase[[#This Row],[Incl. Options
End Date]]&gt;0,LesseeBase[[#This Row],[Incl. Options
End Date]],LesseeBase[[#This Row],[Initial Period
End Date]])</f>
        <v>0</v>
      </c>
      <c r="AW6" s="122" t="s">
        <v>321</v>
      </c>
      <c r="AX6" s="125" cm="1">
        <f t="array" ref="AX6">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6" s="119"/>
      <c r="AZ6" s="122"/>
      <c r="BA6" s="119"/>
      <c r="BB6" s="119"/>
      <c r="BC6" s="119"/>
      <c r="BD6" s="119"/>
      <c r="BE6" s="119"/>
      <c r="BF6" s="119"/>
      <c r="BG6" s="119"/>
      <c r="BH6" s="119"/>
    </row>
    <row r="7" spans="1:60" x14ac:dyDescent="0.25">
      <c r="A7" s="119" t="s">
        <v>509</v>
      </c>
      <c r="B7" s="119">
        <f>'Agency Cover'!$B$3</f>
        <v>0</v>
      </c>
      <c r="C7" s="119"/>
      <c r="D7" s="119" t="s">
        <v>291</v>
      </c>
      <c r="E7" s="125">
        <f>COUNTIF(LesseeBase[AgreementCode],LesseeBase[[#This Row],[AgreementCode]])</f>
        <v>0</v>
      </c>
      <c r="F7" s="119"/>
      <c r="G7" s="125">
        <f>COUNTIF(LesseeBase[AgreementTitle],LesseeBase[[#This Row],[AgreementTitle]])</f>
        <v>0</v>
      </c>
      <c r="H7" s="119"/>
      <c r="I7" s="119"/>
      <c r="J7" s="119"/>
      <c r="K7" s="119"/>
      <c r="L7" s="121"/>
      <c r="M7" s="121"/>
      <c r="N7" s="121"/>
      <c r="O7" s="121"/>
      <c r="P7" s="121"/>
      <c r="Q7" s="121"/>
      <c r="R7" s="121"/>
      <c r="S7" s="126">
        <f>LEN(LesseeBase[[#This Row],[Comments]])</f>
        <v>0</v>
      </c>
      <c r="T7" s="122" t="str">
        <f>LesseeBase[[#This Row],[Multi-
Record]]</f>
        <v>None</v>
      </c>
      <c r="U7" s="119">
        <f>LesseeBase[[#This Row],[AgreementCode]]</f>
        <v>0</v>
      </c>
      <c r="V7" s="119" t="str">
        <f>LEFT(LesseeBase[[#This Row],[AgreementTitle]],50)</f>
        <v/>
      </c>
      <c r="W7" s="125">
        <f>LesseeBase[[#This Row],[AgreementType]]</f>
        <v>0</v>
      </c>
      <c r="X7" s="119"/>
      <c r="Y7"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7" s="125">
        <f>LesseeBase[[#This Row],[ProvisionType]]</f>
        <v>0</v>
      </c>
      <c r="AA7" s="121"/>
      <c r="AB7" s="121">
        <f>IF(LesseeBase[[#This Row],[Incl. Options
End Date]]&gt;0,LesseeBase[[#This Row],[Incl. Options
End Date]],LesseeBase[[#This Row],[Initial Period
End Date]])</f>
        <v>0</v>
      </c>
      <c r="AC7" s="123"/>
      <c r="AD7" s="119"/>
      <c r="AE7" s="119"/>
      <c r="AF7" s="124"/>
      <c r="AG7" s="121"/>
      <c r="AH7" s="121"/>
      <c r="AI7" s="125" t="e" cm="1">
        <f t="array" ref="AI7">ROUND(ROUND((LesseeBase[[#This Row],[Payment
EndDate]]-LesseeBase[[#This Row],[Payment
StartDate]])/365,2)*_xlfn.IFS(LesseeBase[[#This Row],[Payment
Frequency]]="MO",12,LesseeBase[[#This Row],[Payment
Frequency]]="QT",4,LesseeBase[[#This Row],[Payment
Frequency]]="SA",2,LesseeBase[[#This Row],[Payment
Frequency]]="AN",1),0)</f>
        <v>#N/A</v>
      </c>
      <c r="AJ7" s="123" t="e">
        <f>ROUND(LesseeBase[[#This Row],[Payment
Amount]]*LesseeBase[[#This Row],[Number of
 Payments]],2)</f>
        <v>#N/A</v>
      </c>
      <c r="AK7"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7" s="123" t="e">
        <f>IF(LesseeBase[[#This Row],[Multi-
Record2]]="Multi-Amount", "calc on import",LesseeBase[[#This Row],[Total Amount
of Payments]]-LesseeBase[[#This Row],[Present
Value]])</f>
        <v>#N/A</v>
      </c>
      <c r="AM7" s="123" t="e">
        <f>LesseeBase[[#This Row],[Present
Value]]</f>
        <v>#DIV/0!</v>
      </c>
      <c r="AN7" s="123"/>
      <c r="AO7" s="123" t="e">
        <f>IF(LesseeBase[[#This Row],[Multi-
Record2]]="Multi-Amount", "calc on import",LesseeBase[[#This Row],[Total
CapitalizedValue]]-LesseeBase[[#This Row],[Capitalized
ResidualValue]])</f>
        <v>#DIV/0!</v>
      </c>
      <c r="AP7" s="123" t="e">
        <f>LesseeBase[[#This Row],[Calc Amount
to Amortize]]</f>
        <v>#DIV/0!</v>
      </c>
      <c r="AQ7" s="119" t="s">
        <v>296</v>
      </c>
      <c r="AR7" s="125" t="str">
        <f>IF(LesseeBase[[#This Row],[RoU Asset
AmortizationMethod]] = "Declining Balance", "Enter %","")</f>
        <v/>
      </c>
      <c r="AS7" s="125" t="str">
        <f>IF(LesseeBase[[#This Row],[RoU Asset
AmortizationMethod]]="Usage Based","Enter Usage Base","")</f>
        <v/>
      </c>
      <c r="AT7" s="125" t="str">
        <f>IF(LesseeBase[[#This Row],[RoU Asset
AmortizationMethod]]="Usage Based","Enter Usage UoM","")</f>
        <v/>
      </c>
      <c r="AU7" s="121"/>
      <c r="AV7" s="121">
        <f>IF(LesseeBase[[#This Row],[Incl. Options
End Date]]&gt;0,LesseeBase[[#This Row],[Incl. Options
End Date]],LesseeBase[[#This Row],[Initial Period
End Date]])</f>
        <v>0</v>
      </c>
      <c r="AW7" s="122" t="s">
        <v>321</v>
      </c>
      <c r="AX7" s="125" cm="1">
        <f t="array" ref="AX7">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7" s="119"/>
      <c r="AZ7" s="122"/>
      <c r="BA7" s="119"/>
      <c r="BB7" s="119"/>
      <c r="BC7" s="119"/>
      <c r="BD7" s="119"/>
      <c r="BE7" s="119"/>
      <c r="BF7" s="119"/>
      <c r="BG7" s="119"/>
      <c r="BH7" s="119"/>
    </row>
    <row r="8" spans="1:60" x14ac:dyDescent="0.25">
      <c r="A8" s="119" t="s">
        <v>509</v>
      </c>
      <c r="B8" s="119">
        <f>'Agency Cover'!$B$3</f>
        <v>0</v>
      </c>
      <c r="C8" s="119"/>
      <c r="D8" s="119" t="s">
        <v>291</v>
      </c>
      <c r="E8" s="125">
        <f>COUNTIF(LesseeBase[AgreementCode],LesseeBase[[#This Row],[AgreementCode]])</f>
        <v>0</v>
      </c>
      <c r="F8" s="119"/>
      <c r="G8" s="125">
        <f>COUNTIF(LesseeBase[AgreementTitle],LesseeBase[[#This Row],[AgreementTitle]])</f>
        <v>0</v>
      </c>
      <c r="H8" s="119"/>
      <c r="I8" s="119"/>
      <c r="J8" s="119"/>
      <c r="K8" s="119"/>
      <c r="L8" s="121"/>
      <c r="M8" s="121"/>
      <c r="N8" s="121"/>
      <c r="O8" s="121"/>
      <c r="P8" s="121"/>
      <c r="Q8" s="121"/>
      <c r="R8" s="121"/>
      <c r="S8" s="126">
        <f>LEN(LesseeBase[[#This Row],[Comments]])</f>
        <v>0</v>
      </c>
      <c r="T8" s="122" t="str">
        <f>LesseeBase[[#This Row],[Multi-
Record]]</f>
        <v>None</v>
      </c>
      <c r="U8" s="119">
        <f>LesseeBase[[#This Row],[AgreementCode]]</f>
        <v>0</v>
      </c>
      <c r="V8" s="119" t="str">
        <f>LEFT(LesseeBase[[#This Row],[AgreementTitle]],50)</f>
        <v/>
      </c>
      <c r="W8" s="125">
        <f>LesseeBase[[#This Row],[AgreementType]]</f>
        <v>0</v>
      </c>
      <c r="X8" s="119"/>
      <c r="Y8"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8" s="125">
        <f>LesseeBase[[#This Row],[ProvisionType]]</f>
        <v>0</v>
      </c>
      <c r="AA8" s="121"/>
      <c r="AB8" s="121">
        <f>IF(LesseeBase[[#This Row],[Incl. Options
End Date]]&gt;0,LesseeBase[[#This Row],[Incl. Options
End Date]],LesseeBase[[#This Row],[Initial Period
End Date]])</f>
        <v>0</v>
      </c>
      <c r="AC8" s="123"/>
      <c r="AD8" s="119"/>
      <c r="AE8" s="119"/>
      <c r="AF8" s="124"/>
      <c r="AG8" s="121"/>
      <c r="AH8" s="121"/>
      <c r="AI8" s="125" t="e" cm="1">
        <f t="array" ref="AI8">ROUND(ROUND((LesseeBase[[#This Row],[Payment
EndDate]]-LesseeBase[[#This Row],[Payment
StartDate]])/365,2)*_xlfn.IFS(LesseeBase[[#This Row],[Payment
Frequency]]="MO",12,LesseeBase[[#This Row],[Payment
Frequency]]="QT",4,LesseeBase[[#This Row],[Payment
Frequency]]="SA",2,LesseeBase[[#This Row],[Payment
Frequency]]="AN",1),0)</f>
        <v>#N/A</v>
      </c>
      <c r="AJ8" s="123" t="e">
        <f>ROUND(LesseeBase[[#This Row],[Payment
Amount]]*LesseeBase[[#This Row],[Number of
 Payments]],2)</f>
        <v>#N/A</v>
      </c>
      <c r="AK8"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8" s="123" t="e">
        <f>IF(LesseeBase[[#This Row],[Multi-
Record2]]="Multi-Amount", "calc on import",LesseeBase[[#This Row],[Total Amount
of Payments]]-LesseeBase[[#This Row],[Present
Value]])</f>
        <v>#N/A</v>
      </c>
      <c r="AM8" s="123" t="e">
        <f>LesseeBase[[#This Row],[Present
Value]]</f>
        <v>#DIV/0!</v>
      </c>
      <c r="AN8" s="123"/>
      <c r="AO8" s="123" t="e">
        <f>IF(LesseeBase[[#This Row],[Multi-
Record2]]="Multi-Amount", "calc on import",LesseeBase[[#This Row],[Total
CapitalizedValue]]-LesseeBase[[#This Row],[Capitalized
ResidualValue]])</f>
        <v>#DIV/0!</v>
      </c>
      <c r="AP8" s="123" t="e">
        <f>LesseeBase[[#This Row],[Calc Amount
to Amortize]]</f>
        <v>#DIV/0!</v>
      </c>
      <c r="AQ8" s="119" t="s">
        <v>296</v>
      </c>
      <c r="AR8" s="125" t="str">
        <f>IF(LesseeBase[[#This Row],[RoU Asset
AmortizationMethod]] = "Declining Balance", "Enter %","")</f>
        <v/>
      </c>
      <c r="AS8" s="125" t="str">
        <f>IF(LesseeBase[[#This Row],[RoU Asset
AmortizationMethod]]="Usage Based","Enter Usage Base","")</f>
        <v/>
      </c>
      <c r="AT8" s="125" t="str">
        <f>IF(LesseeBase[[#This Row],[RoU Asset
AmortizationMethod]]="Usage Based","Enter Usage UoM","")</f>
        <v/>
      </c>
      <c r="AU8" s="121"/>
      <c r="AV8" s="121">
        <f>IF(LesseeBase[[#This Row],[Incl. Options
End Date]]&gt;0,LesseeBase[[#This Row],[Incl. Options
End Date]],LesseeBase[[#This Row],[Initial Period
End Date]])</f>
        <v>0</v>
      </c>
      <c r="AW8" s="122" t="s">
        <v>321</v>
      </c>
      <c r="AX8" s="125" cm="1">
        <f t="array" ref="AX8">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8" s="119"/>
      <c r="AZ8" s="122"/>
      <c r="BA8" s="119"/>
      <c r="BB8" s="119"/>
      <c r="BC8" s="119"/>
      <c r="BD8" s="119"/>
      <c r="BE8" s="119"/>
      <c r="BF8" s="119"/>
      <c r="BG8" s="119"/>
      <c r="BH8" s="119"/>
    </row>
    <row r="9" spans="1:60" x14ac:dyDescent="0.25">
      <c r="A9" s="119" t="s">
        <v>509</v>
      </c>
      <c r="B9" s="119">
        <f>'Agency Cover'!$B$3</f>
        <v>0</v>
      </c>
      <c r="C9" s="119"/>
      <c r="D9" s="119" t="s">
        <v>291</v>
      </c>
      <c r="E9" s="125">
        <f>COUNTIF(LesseeBase[AgreementCode],LesseeBase[[#This Row],[AgreementCode]])</f>
        <v>0</v>
      </c>
      <c r="F9" s="119"/>
      <c r="G9" s="125">
        <f>COUNTIF(LesseeBase[AgreementTitle],LesseeBase[[#This Row],[AgreementTitle]])</f>
        <v>0</v>
      </c>
      <c r="H9" s="119"/>
      <c r="I9" s="119"/>
      <c r="J9" s="119"/>
      <c r="K9" s="119"/>
      <c r="L9" s="121"/>
      <c r="M9" s="121"/>
      <c r="N9" s="121"/>
      <c r="O9" s="121"/>
      <c r="P9" s="121"/>
      <c r="Q9" s="121"/>
      <c r="R9" s="121"/>
      <c r="S9" s="126">
        <f>LEN(LesseeBase[[#This Row],[Comments]])</f>
        <v>0</v>
      </c>
      <c r="T9" s="122" t="str">
        <f>LesseeBase[[#This Row],[Multi-
Record]]</f>
        <v>None</v>
      </c>
      <c r="U9" s="119">
        <f>LesseeBase[[#This Row],[AgreementCode]]</f>
        <v>0</v>
      </c>
      <c r="V9" s="119" t="str">
        <f>LEFT(LesseeBase[[#This Row],[AgreementTitle]],50)</f>
        <v/>
      </c>
      <c r="W9" s="125">
        <f>LesseeBase[[#This Row],[AgreementType]]</f>
        <v>0</v>
      </c>
      <c r="X9" s="119"/>
      <c r="Y9"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9" s="125">
        <f>LesseeBase[[#This Row],[ProvisionType]]</f>
        <v>0</v>
      </c>
      <c r="AA9" s="121"/>
      <c r="AB9" s="121">
        <f>IF(LesseeBase[[#This Row],[Incl. Options
End Date]]&gt;0,LesseeBase[[#This Row],[Incl. Options
End Date]],LesseeBase[[#This Row],[Initial Period
End Date]])</f>
        <v>0</v>
      </c>
      <c r="AC9" s="123"/>
      <c r="AD9" s="119"/>
      <c r="AE9" s="119"/>
      <c r="AF9" s="124"/>
      <c r="AG9" s="121"/>
      <c r="AH9" s="121"/>
      <c r="AI9" s="125" t="e" cm="1">
        <f t="array" ref="AI9">ROUND(ROUND((LesseeBase[[#This Row],[Payment
EndDate]]-LesseeBase[[#This Row],[Payment
StartDate]])/365,2)*_xlfn.IFS(LesseeBase[[#This Row],[Payment
Frequency]]="MO",12,LesseeBase[[#This Row],[Payment
Frequency]]="QT",4,LesseeBase[[#This Row],[Payment
Frequency]]="SA",2,LesseeBase[[#This Row],[Payment
Frequency]]="AN",1),0)</f>
        <v>#N/A</v>
      </c>
      <c r="AJ9" s="123" t="e">
        <f>ROUND(LesseeBase[[#This Row],[Payment
Amount]]*LesseeBase[[#This Row],[Number of
 Payments]],2)</f>
        <v>#N/A</v>
      </c>
      <c r="AK9"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9" s="123" t="e">
        <f>IF(LesseeBase[[#This Row],[Multi-
Record2]]="Multi-Amount", "calc on import",LesseeBase[[#This Row],[Total Amount
of Payments]]-LesseeBase[[#This Row],[Present
Value]])</f>
        <v>#N/A</v>
      </c>
      <c r="AM9" s="123" t="e">
        <f>LesseeBase[[#This Row],[Present
Value]]</f>
        <v>#DIV/0!</v>
      </c>
      <c r="AN9" s="123"/>
      <c r="AO9" s="123" t="e">
        <f>IF(LesseeBase[[#This Row],[Multi-
Record2]]="Multi-Amount", "calc on import",LesseeBase[[#This Row],[Total
CapitalizedValue]]-LesseeBase[[#This Row],[Capitalized
ResidualValue]])</f>
        <v>#DIV/0!</v>
      </c>
      <c r="AP9" s="123" t="e">
        <f>LesseeBase[[#This Row],[Calc Amount
to Amortize]]</f>
        <v>#DIV/0!</v>
      </c>
      <c r="AQ9" s="119" t="s">
        <v>296</v>
      </c>
      <c r="AR9" s="125" t="str">
        <f>IF(LesseeBase[[#This Row],[RoU Asset
AmortizationMethod]] = "Declining Balance", "Enter %","")</f>
        <v/>
      </c>
      <c r="AS9" s="125" t="str">
        <f>IF(LesseeBase[[#This Row],[RoU Asset
AmortizationMethod]]="Usage Based","Enter Usage Base","")</f>
        <v/>
      </c>
      <c r="AT9" s="125" t="str">
        <f>IF(LesseeBase[[#This Row],[RoU Asset
AmortizationMethod]]="Usage Based","Enter Usage UoM","")</f>
        <v/>
      </c>
      <c r="AU9" s="121"/>
      <c r="AV9" s="121">
        <f>IF(LesseeBase[[#This Row],[Incl. Options
End Date]]&gt;0,LesseeBase[[#This Row],[Incl. Options
End Date]],LesseeBase[[#This Row],[Initial Period
End Date]])</f>
        <v>0</v>
      </c>
      <c r="AW9" s="122" t="s">
        <v>321</v>
      </c>
      <c r="AX9" s="125" cm="1">
        <f t="array" ref="AX9">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9" s="119"/>
      <c r="AZ9" s="122"/>
      <c r="BA9" s="119"/>
      <c r="BB9" s="119"/>
      <c r="BC9" s="119"/>
      <c r="BD9" s="119"/>
      <c r="BE9" s="119"/>
      <c r="BF9" s="119"/>
      <c r="BG9" s="119"/>
      <c r="BH9" s="119"/>
    </row>
    <row r="10" spans="1:60" x14ac:dyDescent="0.25">
      <c r="A10" s="119" t="s">
        <v>509</v>
      </c>
      <c r="B10" s="119">
        <f>'Agency Cover'!$B$3</f>
        <v>0</v>
      </c>
      <c r="C10" s="119"/>
      <c r="D10" s="119" t="s">
        <v>291</v>
      </c>
      <c r="E10" s="125">
        <f>COUNTIF(LesseeBase[AgreementCode],LesseeBase[[#This Row],[AgreementCode]])</f>
        <v>0</v>
      </c>
      <c r="F10" s="119"/>
      <c r="G10" s="125">
        <f>COUNTIF(LesseeBase[AgreementTitle],LesseeBase[[#This Row],[AgreementTitle]])</f>
        <v>0</v>
      </c>
      <c r="H10" s="119"/>
      <c r="I10" s="119"/>
      <c r="J10" s="119"/>
      <c r="K10" s="119"/>
      <c r="L10" s="121"/>
      <c r="M10" s="121"/>
      <c r="N10" s="121"/>
      <c r="O10" s="121"/>
      <c r="P10" s="121"/>
      <c r="Q10" s="121"/>
      <c r="R10" s="121"/>
      <c r="S10" s="126">
        <f>LEN(LesseeBase[[#This Row],[Comments]])</f>
        <v>0</v>
      </c>
      <c r="T10" s="122" t="str">
        <f>LesseeBase[[#This Row],[Multi-
Record]]</f>
        <v>None</v>
      </c>
      <c r="U10" s="119">
        <f>LesseeBase[[#This Row],[AgreementCode]]</f>
        <v>0</v>
      </c>
      <c r="V10" s="119" t="str">
        <f>LEFT(LesseeBase[[#This Row],[AgreementTitle]],50)</f>
        <v/>
      </c>
      <c r="W10" s="125">
        <f>LesseeBase[[#This Row],[AgreementType]]</f>
        <v>0</v>
      </c>
      <c r="X10" s="119"/>
      <c r="Y10"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0" s="125">
        <f>LesseeBase[[#This Row],[ProvisionType]]</f>
        <v>0</v>
      </c>
      <c r="AA10" s="121"/>
      <c r="AB10" s="121">
        <f>IF(LesseeBase[[#This Row],[Incl. Options
End Date]]&gt;0,LesseeBase[[#This Row],[Incl. Options
End Date]],LesseeBase[[#This Row],[Initial Period
End Date]])</f>
        <v>0</v>
      </c>
      <c r="AC10" s="123"/>
      <c r="AD10" s="119"/>
      <c r="AE10" s="119"/>
      <c r="AF10" s="124"/>
      <c r="AG10" s="121"/>
      <c r="AH10" s="121"/>
      <c r="AI10" s="125" t="e" cm="1">
        <f t="array" ref="AI10">ROUND(ROUND((LesseeBase[[#This Row],[Payment
EndDate]]-LesseeBase[[#This Row],[Payment
StartDate]])/365,2)*_xlfn.IFS(LesseeBase[[#This Row],[Payment
Frequency]]="MO",12,LesseeBase[[#This Row],[Payment
Frequency]]="QT",4,LesseeBase[[#This Row],[Payment
Frequency]]="SA",2,LesseeBase[[#This Row],[Payment
Frequency]]="AN",1),0)</f>
        <v>#N/A</v>
      </c>
      <c r="AJ10" s="123" t="e">
        <f>ROUND(LesseeBase[[#This Row],[Payment
Amount]]*LesseeBase[[#This Row],[Number of
 Payments]],2)</f>
        <v>#N/A</v>
      </c>
      <c r="AK10"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0" s="123" t="e">
        <f>IF(LesseeBase[[#This Row],[Multi-
Record2]]="Multi-Amount", "calc on import",LesseeBase[[#This Row],[Total Amount
of Payments]]-LesseeBase[[#This Row],[Present
Value]])</f>
        <v>#N/A</v>
      </c>
      <c r="AM10" s="123" t="e">
        <f>LesseeBase[[#This Row],[Present
Value]]</f>
        <v>#DIV/0!</v>
      </c>
      <c r="AN10" s="123"/>
      <c r="AO10" s="123" t="e">
        <f>IF(LesseeBase[[#This Row],[Multi-
Record2]]="Multi-Amount", "calc on import",LesseeBase[[#This Row],[Total
CapitalizedValue]]-LesseeBase[[#This Row],[Capitalized
ResidualValue]])</f>
        <v>#DIV/0!</v>
      </c>
      <c r="AP10" s="123" t="e">
        <f>LesseeBase[[#This Row],[Calc Amount
to Amortize]]</f>
        <v>#DIV/0!</v>
      </c>
      <c r="AQ10" s="119" t="s">
        <v>296</v>
      </c>
      <c r="AR10" s="125" t="str">
        <f>IF(LesseeBase[[#This Row],[RoU Asset
AmortizationMethod]] = "Declining Balance", "Enter %","")</f>
        <v/>
      </c>
      <c r="AS10" s="125" t="str">
        <f>IF(LesseeBase[[#This Row],[RoU Asset
AmortizationMethod]]="Usage Based","Enter Usage Base","")</f>
        <v/>
      </c>
      <c r="AT10" s="125" t="str">
        <f>IF(LesseeBase[[#This Row],[RoU Asset
AmortizationMethod]]="Usage Based","Enter Usage UoM","")</f>
        <v/>
      </c>
      <c r="AU10" s="121"/>
      <c r="AV10" s="121">
        <f>IF(LesseeBase[[#This Row],[Incl. Options
End Date]]&gt;0,LesseeBase[[#This Row],[Incl. Options
End Date]],LesseeBase[[#This Row],[Initial Period
End Date]])</f>
        <v>0</v>
      </c>
      <c r="AW10" s="122" t="s">
        <v>321</v>
      </c>
      <c r="AX10" s="125" cm="1">
        <f t="array" ref="AX10">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0" s="119"/>
      <c r="AZ10" s="122"/>
      <c r="BA10" s="119"/>
      <c r="BB10" s="119"/>
      <c r="BC10" s="119"/>
      <c r="BD10" s="119"/>
      <c r="BE10" s="119"/>
      <c r="BF10" s="119"/>
      <c r="BG10" s="119"/>
      <c r="BH10" s="119"/>
    </row>
    <row r="11" spans="1:60" x14ac:dyDescent="0.25">
      <c r="A11" s="119" t="s">
        <v>509</v>
      </c>
      <c r="B11" s="119">
        <f>'Agency Cover'!$B$3</f>
        <v>0</v>
      </c>
      <c r="C11" s="119"/>
      <c r="D11" s="119" t="s">
        <v>291</v>
      </c>
      <c r="E11" s="125">
        <f>COUNTIF(LesseeBase[AgreementCode],LesseeBase[[#This Row],[AgreementCode]])</f>
        <v>0</v>
      </c>
      <c r="F11" s="119"/>
      <c r="G11" s="125">
        <f>COUNTIF(LesseeBase[AgreementTitle],LesseeBase[[#This Row],[AgreementTitle]])</f>
        <v>0</v>
      </c>
      <c r="H11" s="119"/>
      <c r="I11" s="119"/>
      <c r="J11" s="119"/>
      <c r="K11" s="119"/>
      <c r="L11" s="121"/>
      <c r="M11" s="121"/>
      <c r="N11" s="121"/>
      <c r="O11" s="121"/>
      <c r="P11" s="121"/>
      <c r="Q11" s="121"/>
      <c r="R11" s="121"/>
      <c r="S11" s="126">
        <f>LEN(LesseeBase[[#This Row],[Comments]])</f>
        <v>0</v>
      </c>
      <c r="T11" s="122" t="str">
        <f>LesseeBase[[#This Row],[Multi-
Record]]</f>
        <v>None</v>
      </c>
      <c r="U11" s="119">
        <f>LesseeBase[[#This Row],[AgreementCode]]</f>
        <v>0</v>
      </c>
      <c r="V11" s="119" t="str">
        <f>LEFT(LesseeBase[[#This Row],[AgreementTitle]],50)</f>
        <v/>
      </c>
      <c r="W11" s="125">
        <f>LesseeBase[[#This Row],[AgreementType]]</f>
        <v>0</v>
      </c>
      <c r="X11" s="119"/>
      <c r="Y11"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1" s="125">
        <f>LesseeBase[[#This Row],[ProvisionType]]</f>
        <v>0</v>
      </c>
      <c r="AA11" s="121"/>
      <c r="AB11" s="121">
        <f>IF(LesseeBase[[#This Row],[Incl. Options
End Date]]&gt;0,LesseeBase[[#This Row],[Incl. Options
End Date]],LesseeBase[[#This Row],[Initial Period
End Date]])</f>
        <v>0</v>
      </c>
      <c r="AC11" s="123"/>
      <c r="AD11" s="119"/>
      <c r="AE11" s="119"/>
      <c r="AF11" s="124"/>
      <c r="AG11" s="121"/>
      <c r="AH11" s="121"/>
      <c r="AI11" s="125" t="e" cm="1">
        <f t="array" ref="AI11">ROUND(ROUND((LesseeBase[[#This Row],[Payment
EndDate]]-LesseeBase[[#This Row],[Payment
StartDate]])/365,2)*_xlfn.IFS(LesseeBase[[#This Row],[Payment
Frequency]]="MO",12,LesseeBase[[#This Row],[Payment
Frequency]]="QT",4,LesseeBase[[#This Row],[Payment
Frequency]]="SA",2,LesseeBase[[#This Row],[Payment
Frequency]]="AN",1),0)</f>
        <v>#N/A</v>
      </c>
      <c r="AJ11" s="123" t="e">
        <f>ROUND(LesseeBase[[#This Row],[Payment
Amount]]*LesseeBase[[#This Row],[Number of
 Payments]],2)</f>
        <v>#N/A</v>
      </c>
      <c r="AK11"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1" s="123" t="e">
        <f>IF(LesseeBase[[#This Row],[Multi-
Record2]]="Multi-Amount", "calc on import",LesseeBase[[#This Row],[Total Amount
of Payments]]-LesseeBase[[#This Row],[Present
Value]])</f>
        <v>#N/A</v>
      </c>
      <c r="AM11" s="123" t="e">
        <f>LesseeBase[[#This Row],[Present
Value]]</f>
        <v>#DIV/0!</v>
      </c>
      <c r="AN11" s="123"/>
      <c r="AO11" s="123" t="e">
        <f>IF(LesseeBase[[#This Row],[Multi-
Record2]]="Multi-Amount", "calc on import",LesseeBase[[#This Row],[Total
CapitalizedValue]]-LesseeBase[[#This Row],[Capitalized
ResidualValue]])</f>
        <v>#DIV/0!</v>
      </c>
      <c r="AP11" s="123" t="e">
        <f>LesseeBase[[#This Row],[Calc Amount
to Amortize]]</f>
        <v>#DIV/0!</v>
      </c>
      <c r="AQ11" s="119" t="s">
        <v>296</v>
      </c>
      <c r="AR11" s="125" t="str">
        <f>IF(LesseeBase[[#This Row],[RoU Asset
AmortizationMethod]] = "Declining Balance", "Enter %","")</f>
        <v/>
      </c>
      <c r="AS11" s="125" t="str">
        <f>IF(LesseeBase[[#This Row],[RoU Asset
AmortizationMethod]]="Usage Based","Enter Usage Base","")</f>
        <v/>
      </c>
      <c r="AT11" s="125" t="str">
        <f>IF(LesseeBase[[#This Row],[RoU Asset
AmortizationMethod]]="Usage Based","Enter Usage UoM","")</f>
        <v/>
      </c>
      <c r="AU11" s="121"/>
      <c r="AV11" s="121">
        <f>IF(LesseeBase[[#This Row],[Incl. Options
End Date]]&gt;0,LesseeBase[[#This Row],[Incl. Options
End Date]],LesseeBase[[#This Row],[Initial Period
End Date]])</f>
        <v>0</v>
      </c>
      <c r="AW11" s="122" t="s">
        <v>321</v>
      </c>
      <c r="AX11" s="125" cm="1">
        <f t="array" ref="AX11">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1" s="119"/>
      <c r="AZ11" s="122"/>
      <c r="BA11" s="119"/>
      <c r="BB11" s="119"/>
      <c r="BC11" s="119"/>
      <c r="BD11" s="119"/>
      <c r="BE11" s="119"/>
      <c r="BF11" s="119"/>
      <c r="BG11" s="119"/>
      <c r="BH11" s="119"/>
    </row>
    <row r="12" spans="1:60" x14ac:dyDescent="0.25">
      <c r="A12" s="119" t="s">
        <v>509</v>
      </c>
      <c r="B12" s="119">
        <f>'Agency Cover'!$B$3</f>
        <v>0</v>
      </c>
      <c r="C12" s="119"/>
      <c r="D12" s="119" t="s">
        <v>291</v>
      </c>
      <c r="E12" s="125">
        <f>COUNTIF(LesseeBase[AgreementCode],LesseeBase[[#This Row],[AgreementCode]])</f>
        <v>0</v>
      </c>
      <c r="F12" s="119"/>
      <c r="G12" s="125">
        <f>COUNTIF(LesseeBase[AgreementTitle],LesseeBase[[#This Row],[AgreementTitle]])</f>
        <v>0</v>
      </c>
      <c r="H12" s="119"/>
      <c r="I12" s="119"/>
      <c r="J12" s="119"/>
      <c r="K12" s="119"/>
      <c r="L12" s="121"/>
      <c r="M12" s="121"/>
      <c r="N12" s="121"/>
      <c r="O12" s="121"/>
      <c r="P12" s="121"/>
      <c r="Q12" s="121"/>
      <c r="R12" s="121"/>
      <c r="S12" s="126">
        <f>LEN(LesseeBase[[#This Row],[Comments]])</f>
        <v>0</v>
      </c>
      <c r="T12" s="122" t="str">
        <f>LesseeBase[[#This Row],[Multi-
Record]]</f>
        <v>None</v>
      </c>
      <c r="U12" s="119">
        <f>LesseeBase[[#This Row],[AgreementCode]]</f>
        <v>0</v>
      </c>
      <c r="V12" s="119" t="str">
        <f>LEFT(LesseeBase[[#This Row],[AgreementTitle]],50)</f>
        <v/>
      </c>
      <c r="W12" s="125">
        <f>LesseeBase[[#This Row],[AgreementType]]</f>
        <v>0</v>
      </c>
      <c r="X12" s="119"/>
      <c r="Y12"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2" s="125">
        <f>LesseeBase[[#This Row],[ProvisionType]]</f>
        <v>0</v>
      </c>
      <c r="AA12" s="121"/>
      <c r="AB12" s="121">
        <f>IF(LesseeBase[[#This Row],[Incl. Options
End Date]]&gt;0,LesseeBase[[#This Row],[Incl. Options
End Date]],LesseeBase[[#This Row],[Initial Period
End Date]])</f>
        <v>0</v>
      </c>
      <c r="AC12" s="123"/>
      <c r="AD12" s="119"/>
      <c r="AE12" s="119"/>
      <c r="AF12" s="124"/>
      <c r="AG12" s="121"/>
      <c r="AH12" s="121"/>
      <c r="AI12" s="125" t="e" cm="1">
        <f t="array" ref="AI12">ROUND(ROUND((LesseeBase[[#This Row],[Payment
EndDate]]-LesseeBase[[#This Row],[Payment
StartDate]])/365,2)*_xlfn.IFS(LesseeBase[[#This Row],[Payment
Frequency]]="MO",12,LesseeBase[[#This Row],[Payment
Frequency]]="QT",4,LesseeBase[[#This Row],[Payment
Frequency]]="SA",2,LesseeBase[[#This Row],[Payment
Frequency]]="AN",1),0)</f>
        <v>#N/A</v>
      </c>
      <c r="AJ12" s="123" t="e">
        <f>ROUND(LesseeBase[[#This Row],[Payment
Amount]]*LesseeBase[[#This Row],[Number of
 Payments]],2)</f>
        <v>#N/A</v>
      </c>
      <c r="AK12"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2" s="123" t="e">
        <f>IF(LesseeBase[[#This Row],[Multi-
Record2]]="Multi-Amount", "calc on import",LesseeBase[[#This Row],[Total Amount
of Payments]]-LesseeBase[[#This Row],[Present
Value]])</f>
        <v>#N/A</v>
      </c>
      <c r="AM12" s="123" t="e">
        <f>LesseeBase[[#This Row],[Present
Value]]</f>
        <v>#DIV/0!</v>
      </c>
      <c r="AN12" s="123"/>
      <c r="AO12" s="123" t="e">
        <f>IF(LesseeBase[[#This Row],[Multi-
Record2]]="Multi-Amount", "calc on import",LesseeBase[[#This Row],[Total
CapitalizedValue]]-LesseeBase[[#This Row],[Capitalized
ResidualValue]])</f>
        <v>#DIV/0!</v>
      </c>
      <c r="AP12" s="123" t="e">
        <f>LesseeBase[[#This Row],[Calc Amount
to Amortize]]</f>
        <v>#DIV/0!</v>
      </c>
      <c r="AQ12" s="119" t="s">
        <v>296</v>
      </c>
      <c r="AR12" s="125" t="str">
        <f>IF(LesseeBase[[#This Row],[RoU Asset
AmortizationMethod]] = "Declining Balance", "Enter %","")</f>
        <v/>
      </c>
      <c r="AS12" s="125" t="str">
        <f>IF(LesseeBase[[#This Row],[RoU Asset
AmortizationMethod]]="Usage Based","Enter Usage Base","")</f>
        <v/>
      </c>
      <c r="AT12" s="125" t="str">
        <f>IF(LesseeBase[[#This Row],[RoU Asset
AmortizationMethod]]="Usage Based","Enter Usage UoM","")</f>
        <v/>
      </c>
      <c r="AU12" s="121"/>
      <c r="AV12" s="121">
        <f>IF(LesseeBase[[#This Row],[Incl. Options
End Date]]&gt;0,LesseeBase[[#This Row],[Incl. Options
End Date]],LesseeBase[[#This Row],[Initial Period
End Date]])</f>
        <v>0</v>
      </c>
      <c r="AW12" s="122" t="s">
        <v>321</v>
      </c>
      <c r="AX12" s="125" cm="1">
        <f t="array" ref="AX12">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2" s="119"/>
      <c r="AZ12" s="122"/>
      <c r="BA12" s="119"/>
      <c r="BB12" s="119"/>
      <c r="BC12" s="119"/>
      <c r="BD12" s="119"/>
      <c r="BE12" s="119"/>
      <c r="BF12" s="119"/>
      <c r="BG12" s="119"/>
      <c r="BH12" s="119"/>
    </row>
    <row r="13" spans="1:60" x14ac:dyDescent="0.25">
      <c r="A13" s="119" t="s">
        <v>509</v>
      </c>
      <c r="B13" s="119">
        <f>'Agency Cover'!$B$3</f>
        <v>0</v>
      </c>
      <c r="C13" s="119"/>
      <c r="D13" s="119" t="s">
        <v>291</v>
      </c>
      <c r="E13" s="125">
        <f>COUNTIF(LesseeBase[AgreementCode],LesseeBase[[#This Row],[AgreementCode]])</f>
        <v>0</v>
      </c>
      <c r="F13" s="119"/>
      <c r="G13" s="125">
        <f>COUNTIF(LesseeBase[AgreementTitle],LesseeBase[[#This Row],[AgreementTitle]])</f>
        <v>0</v>
      </c>
      <c r="H13" s="119"/>
      <c r="I13" s="119"/>
      <c r="J13" s="119"/>
      <c r="K13" s="119"/>
      <c r="L13" s="121"/>
      <c r="M13" s="121"/>
      <c r="N13" s="121"/>
      <c r="O13" s="121"/>
      <c r="P13" s="121"/>
      <c r="Q13" s="121"/>
      <c r="R13" s="121"/>
      <c r="S13" s="126">
        <f>LEN(LesseeBase[[#This Row],[Comments]])</f>
        <v>0</v>
      </c>
      <c r="T13" s="122" t="str">
        <f>LesseeBase[[#This Row],[Multi-
Record]]</f>
        <v>None</v>
      </c>
      <c r="U13" s="119">
        <f>LesseeBase[[#This Row],[AgreementCode]]</f>
        <v>0</v>
      </c>
      <c r="V13" s="119" t="str">
        <f>LEFT(LesseeBase[[#This Row],[AgreementTitle]],50)</f>
        <v/>
      </c>
      <c r="W13" s="125">
        <f>LesseeBase[[#This Row],[AgreementType]]</f>
        <v>0</v>
      </c>
      <c r="X13" s="119"/>
      <c r="Y13"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3" s="125">
        <f>LesseeBase[[#This Row],[ProvisionType]]</f>
        <v>0</v>
      </c>
      <c r="AA13" s="121"/>
      <c r="AB13" s="121">
        <f>IF(LesseeBase[[#This Row],[Incl. Options
End Date]]&gt;0,LesseeBase[[#This Row],[Incl. Options
End Date]],LesseeBase[[#This Row],[Initial Period
End Date]])</f>
        <v>0</v>
      </c>
      <c r="AC13" s="123"/>
      <c r="AD13" s="119"/>
      <c r="AE13" s="119"/>
      <c r="AF13" s="124"/>
      <c r="AG13" s="121"/>
      <c r="AH13" s="121"/>
      <c r="AI13" s="125" t="e" cm="1">
        <f t="array" ref="AI13">ROUND(ROUND((LesseeBase[[#This Row],[Payment
EndDate]]-LesseeBase[[#This Row],[Payment
StartDate]])/365,2)*_xlfn.IFS(LesseeBase[[#This Row],[Payment
Frequency]]="MO",12,LesseeBase[[#This Row],[Payment
Frequency]]="QT",4,LesseeBase[[#This Row],[Payment
Frequency]]="SA",2,LesseeBase[[#This Row],[Payment
Frequency]]="AN",1),0)</f>
        <v>#N/A</v>
      </c>
      <c r="AJ13" s="123" t="e">
        <f>ROUND(LesseeBase[[#This Row],[Payment
Amount]]*LesseeBase[[#This Row],[Number of
 Payments]],2)</f>
        <v>#N/A</v>
      </c>
      <c r="AK13"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3" s="123" t="e">
        <f>IF(LesseeBase[[#This Row],[Multi-
Record2]]="Multi-Amount", "calc on import",LesseeBase[[#This Row],[Total Amount
of Payments]]-LesseeBase[[#This Row],[Present
Value]])</f>
        <v>#N/A</v>
      </c>
      <c r="AM13" s="123" t="e">
        <f>LesseeBase[[#This Row],[Present
Value]]</f>
        <v>#DIV/0!</v>
      </c>
      <c r="AN13" s="123"/>
      <c r="AO13" s="123" t="e">
        <f>IF(LesseeBase[[#This Row],[Multi-
Record2]]="Multi-Amount", "calc on import",LesseeBase[[#This Row],[Total
CapitalizedValue]]-LesseeBase[[#This Row],[Capitalized
ResidualValue]])</f>
        <v>#DIV/0!</v>
      </c>
      <c r="AP13" s="123" t="e">
        <f>LesseeBase[[#This Row],[Calc Amount
to Amortize]]</f>
        <v>#DIV/0!</v>
      </c>
      <c r="AQ13" s="119" t="s">
        <v>296</v>
      </c>
      <c r="AR13" s="125" t="str">
        <f>IF(LesseeBase[[#This Row],[RoU Asset
AmortizationMethod]] = "Declining Balance", "Enter %","")</f>
        <v/>
      </c>
      <c r="AS13" s="125" t="str">
        <f>IF(LesseeBase[[#This Row],[RoU Asset
AmortizationMethod]]="Usage Based","Enter Usage Base","")</f>
        <v/>
      </c>
      <c r="AT13" s="125" t="str">
        <f>IF(LesseeBase[[#This Row],[RoU Asset
AmortizationMethod]]="Usage Based","Enter Usage UoM","")</f>
        <v/>
      </c>
      <c r="AU13" s="121"/>
      <c r="AV13" s="121">
        <f>IF(LesseeBase[[#This Row],[Incl. Options
End Date]]&gt;0,LesseeBase[[#This Row],[Incl. Options
End Date]],LesseeBase[[#This Row],[Initial Period
End Date]])</f>
        <v>0</v>
      </c>
      <c r="AW13" s="122" t="s">
        <v>321</v>
      </c>
      <c r="AX13" s="125" cm="1">
        <f t="array" ref="AX13">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3" s="119"/>
      <c r="AZ13" s="122"/>
      <c r="BA13" s="119"/>
      <c r="BB13" s="119"/>
      <c r="BC13" s="119"/>
      <c r="BD13" s="119"/>
      <c r="BE13" s="119"/>
      <c r="BF13" s="119"/>
      <c r="BG13" s="119"/>
      <c r="BH13" s="119"/>
    </row>
    <row r="14" spans="1:60" x14ac:dyDescent="0.25">
      <c r="A14" s="119" t="s">
        <v>509</v>
      </c>
      <c r="B14" s="119">
        <f>'Agency Cover'!$B$3</f>
        <v>0</v>
      </c>
      <c r="C14" s="119"/>
      <c r="D14" s="119" t="s">
        <v>291</v>
      </c>
      <c r="E14" s="125">
        <f>COUNTIF(LesseeBase[AgreementCode],LesseeBase[[#This Row],[AgreementCode]])</f>
        <v>0</v>
      </c>
      <c r="F14" s="119"/>
      <c r="G14" s="125">
        <f>COUNTIF(LesseeBase[AgreementTitle],LesseeBase[[#This Row],[AgreementTitle]])</f>
        <v>0</v>
      </c>
      <c r="H14" s="119"/>
      <c r="I14" s="119"/>
      <c r="J14" s="119"/>
      <c r="K14" s="119"/>
      <c r="L14" s="121"/>
      <c r="M14" s="121"/>
      <c r="N14" s="121"/>
      <c r="O14" s="121"/>
      <c r="P14" s="121"/>
      <c r="Q14" s="121"/>
      <c r="R14" s="121"/>
      <c r="S14" s="126">
        <f>LEN(LesseeBase[[#This Row],[Comments]])</f>
        <v>0</v>
      </c>
      <c r="T14" s="122" t="str">
        <f>LesseeBase[[#This Row],[Multi-
Record]]</f>
        <v>None</v>
      </c>
      <c r="U14" s="119">
        <f>LesseeBase[[#This Row],[AgreementCode]]</f>
        <v>0</v>
      </c>
      <c r="V14" s="119" t="str">
        <f>LEFT(LesseeBase[[#This Row],[AgreementTitle]],50)</f>
        <v/>
      </c>
      <c r="W14" s="125">
        <f>LesseeBase[[#This Row],[AgreementType]]</f>
        <v>0</v>
      </c>
      <c r="X14" s="119"/>
      <c r="Y14"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4" s="125">
        <f>LesseeBase[[#This Row],[ProvisionType]]</f>
        <v>0</v>
      </c>
      <c r="AA14" s="121"/>
      <c r="AB14" s="121">
        <f>IF(LesseeBase[[#This Row],[Incl. Options
End Date]]&gt;0,LesseeBase[[#This Row],[Incl. Options
End Date]],LesseeBase[[#This Row],[Initial Period
End Date]])</f>
        <v>0</v>
      </c>
      <c r="AC14" s="123"/>
      <c r="AD14" s="119"/>
      <c r="AE14" s="119"/>
      <c r="AF14" s="124"/>
      <c r="AG14" s="121"/>
      <c r="AH14" s="121"/>
      <c r="AI14" s="125" t="e" cm="1">
        <f t="array" ref="AI14">ROUND(ROUND((LesseeBase[[#This Row],[Payment
EndDate]]-LesseeBase[[#This Row],[Payment
StartDate]])/365,2)*_xlfn.IFS(LesseeBase[[#This Row],[Payment
Frequency]]="MO",12,LesseeBase[[#This Row],[Payment
Frequency]]="QT",4,LesseeBase[[#This Row],[Payment
Frequency]]="SA",2,LesseeBase[[#This Row],[Payment
Frequency]]="AN",1),0)</f>
        <v>#N/A</v>
      </c>
      <c r="AJ14" s="123" t="e">
        <f>ROUND(LesseeBase[[#This Row],[Payment
Amount]]*LesseeBase[[#This Row],[Number of
 Payments]],2)</f>
        <v>#N/A</v>
      </c>
      <c r="AK14"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4" s="123" t="e">
        <f>IF(LesseeBase[[#This Row],[Multi-
Record2]]="Multi-Amount", "calc on import",LesseeBase[[#This Row],[Total Amount
of Payments]]-LesseeBase[[#This Row],[Present
Value]])</f>
        <v>#N/A</v>
      </c>
      <c r="AM14" s="123" t="e">
        <f>LesseeBase[[#This Row],[Present
Value]]</f>
        <v>#DIV/0!</v>
      </c>
      <c r="AN14" s="123"/>
      <c r="AO14" s="123" t="e">
        <f>IF(LesseeBase[[#This Row],[Multi-
Record2]]="Multi-Amount", "calc on import",LesseeBase[[#This Row],[Total
CapitalizedValue]]-LesseeBase[[#This Row],[Capitalized
ResidualValue]])</f>
        <v>#DIV/0!</v>
      </c>
      <c r="AP14" s="123" t="e">
        <f>LesseeBase[[#This Row],[Calc Amount
to Amortize]]</f>
        <v>#DIV/0!</v>
      </c>
      <c r="AQ14" s="119" t="s">
        <v>296</v>
      </c>
      <c r="AR14" s="125" t="str">
        <f>IF(LesseeBase[[#This Row],[RoU Asset
AmortizationMethod]] = "Declining Balance", "Enter %","")</f>
        <v/>
      </c>
      <c r="AS14" s="125" t="str">
        <f>IF(LesseeBase[[#This Row],[RoU Asset
AmortizationMethod]]="Usage Based","Enter Usage Base","")</f>
        <v/>
      </c>
      <c r="AT14" s="125" t="str">
        <f>IF(LesseeBase[[#This Row],[RoU Asset
AmortizationMethod]]="Usage Based","Enter Usage UoM","")</f>
        <v/>
      </c>
      <c r="AU14" s="121"/>
      <c r="AV14" s="121">
        <f>IF(LesseeBase[[#This Row],[Incl. Options
End Date]]&gt;0,LesseeBase[[#This Row],[Incl. Options
End Date]],LesseeBase[[#This Row],[Initial Period
End Date]])</f>
        <v>0</v>
      </c>
      <c r="AW14" s="122" t="s">
        <v>321</v>
      </c>
      <c r="AX14" s="125" cm="1">
        <f t="array" ref="AX14">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4" s="119"/>
      <c r="AZ14" s="122"/>
      <c r="BA14" s="119"/>
      <c r="BB14" s="119"/>
      <c r="BC14" s="119"/>
      <c r="BD14" s="119"/>
      <c r="BE14" s="119"/>
      <c r="BF14" s="119"/>
      <c r="BG14" s="119"/>
      <c r="BH14" s="119"/>
    </row>
    <row r="15" spans="1:60" x14ac:dyDescent="0.25">
      <c r="A15" s="119" t="s">
        <v>509</v>
      </c>
      <c r="B15" s="119">
        <f>'Agency Cover'!$B$3</f>
        <v>0</v>
      </c>
      <c r="C15" s="119"/>
      <c r="D15" s="119" t="s">
        <v>291</v>
      </c>
      <c r="E15" s="125">
        <f>COUNTIF(LesseeBase[AgreementCode],LesseeBase[[#This Row],[AgreementCode]])</f>
        <v>0</v>
      </c>
      <c r="F15" s="119"/>
      <c r="G15" s="125">
        <f>COUNTIF(LesseeBase[AgreementTitle],LesseeBase[[#This Row],[AgreementTitle]])</f>
        <v>0</v>
      </c>
      <c r="H15" s="119"/>
      <c r="I15" s="119"/>
      <c r="J15" s="119"/>
      <c r="K15" s="119"/>
      <c r="L15" s="121"/>
      <c r="M15" s="121"/>
      <c r="N15" s="121"/>
      <c r="O15" s="121"/>
      <c r="P15" s="121"/>
      <c r="Q15" s="121"/>
      <c r="R15" s="121"/>
      <c r="S15" s="126">
        <f>LEN(LesseeBase[[#This Row],[Comments]])</f>
        <v>0</v>
      </c>
      <c r="T15" s="122" t="str">
        <f>LesseeBase[[#This Row],[Multi-
Record]]</f>
        <v>None</v>
      </c>
      <c r="U15" s="119">
        <f>LesseeBase[[#This Row],[AgreementCode]]</f>
        <v>0</v>
      </c>
      <c r="V15" s="119" t="str">
        <f>LEFT(LesseeBase[[#This Row],[AgreementTitle]],50)</f>
        <v/>
      </c>
      <c r="W15" s="125">
        <f>LesseeBase[[#This Row],[AgreementType]]</f>
        <v>0</v>
      </c>
      <c r="X15" s="119"/>
      <c r="Y15"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5" s="125">
        <f>LesseeBase[[#This Row],[ProvisionType]]</f>
        <v>0</v>
      </c>
      <c r="AA15" s="121"/>
      <c r="AB15" s="121">
        <f>IF(LesseeBase[[#This Row],[Incl. Options
End Date]]&gt;0,LesseeBase[[#This Row],[Incl. Options
End Date]],LesseeBase[[#This Row],[Initial Period
End Date]])</f>
        <v>0</v>
      </c>
      <c r="AC15" s="123"/>
      <c r="AD15" s="119"/>
      <c r="AE15" s="119"/>
      <c r="AF15" s="124"/>
      <c r="AG15" s="121"/>
      <c r="AH15" s="121"/>
      <c r="AI15" s="125" t="e" cm="1">
        <f t="array" ref="AI15">ROUND(ROUND((LesseeBase[[#This Row],[Payment
EndDate]]-LesseeBase[[#This Row],[Payment
StartDate]])/365,2)*_xlfn.IFS(LesseeBase[[#This Row],[Payment
Frequency]]="MO",12,LesseeBase[[#This Row],[Payment
Frequency]]="QT",4,LesseeBase[[#This Row],[Payment
Frequency]]="SA",2,LesseeBase[[#This Row],[Payment
Frequency]]="AN",1),0)</f>
        <v>#N/A</v>
      </c>
      <c r="AJ15" s="123" t="e">
        <f>ROUND(LesseeBase[[#This Row],[Payment
Amount]]*LesseeBase[[#This Row],[Number of
 Payments]],2)</f>
        <v>#N/A</v>
      </c>
      <c r="AK15"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5" s="123" t="e">
        <f>IF(LesseeBase[[#This Row],[Multi-
Record2]]="Multi-Amount", "calc on import",LesseeBase[[#This Row],[Total Amount
of Payments]]-LesseeBase[[#This Row],[Present
Value]])</f>
        <v>#N/A</v>
      </c>
      <c r="AM15" s="123" t="e">
        <f>LesseeBase[[#This Row],[Present
Value]]</f>
        <v>#DIV/0!</v>
      </c>
      <c r="AN15" s="123"/>
      <c r="AO15" s="123" t="e">
        <f>IF(LesseeBase[[#This Row],[Multi-
Record2]]="Multi-Amount", "calc on import",LesseeBase[[#This Row],[Total
CapitalizedValue]]-LesseeBase[[#This Row],[Capitalized
ResidualValue]])</f>
        <v>#DIV/0!</v>
      </c>
      <c r="AP15" s="123" t="e">
        <f>LesseeBase[[#This Row],[Calc Amount
to Amortize]]</f>
        <v>#DIV/0!</v>
      </c>
      <c r="AQ15" s="119" t="s">
        <v>296</v>
      </c>
      <c r="AR15" s="125" t="str">
        <f>IF(LesseeBase[[#This Row],[RoU Asset
AmortizationMethod]] = "Declining Balance", "Enter %","")</f>
        <v/>
      </c>
      <c r="AS15" s="125" t="str">
        <f>IF(LesseeBase[[#This Row],[RoU Asset
AmortizationMethod]]="Usage Based","Enter Usage Base","")</f>
        <v/>
      </c>
      <c r="AT15" s="125" t="str">
        <f>IF(LesseeBase[[#This Row],[RoU Asset
AmortizationMethod]]="Usage Based","Enter Usage UoM","")</f>
        <v/>
      </c>
      <c r="AU15" s="121"/>
      <c r="AV15" s="121">
        <f>IF(LesseeBase[[#This Row],[Incl. Options
End Date]]&gt;0,LesseeBase[[#This Row],[Incl. Options
End Date]],LesseeBase[[#This Row],[Initial Period
End Date]])</f>
        <v>0</v>
      </c>
      <c r="AW15" s="122" t="s">
        <v>321</v>
      </c>
      <c r="AX15" s="125" cm="1">
        <f t="array" ref="AX15">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5" s="119"/>
      <c r="AZ15" s="122"/>
      <c r="BA15" s="119"/>
      <c r="BB15" s="119"/>
      <c r="BC15" s="119"/>
      <c r="BD15" s="119"/>
      <c r="BE15" s="119"/>
      <c r="BF15" s="119"/>
      <c r="BG15" s="119"/>
      <c r="BH15" s="119"/>
    </row>
    <row r="16" spans="1:60" x14ac:dyDescent="0.25">
      <c r="A16" s="119" t="s">
        <v>509</v>
      </c>
      <c r="B16" s="119">
        <f>'Agency Cover'!$B$3</f>
        <v>0</v>
      </c>
      <c r="C16" s="119"/>
      <c r="D16" s="119" t="s">
        <v>291</v>
      </c>
      <c r="E16" s="125">
        <f>COUNTIF(LesseeBase[AgreementCode],LesseeBase[[#This Row],[AgreementCode]])</f>
        <v>0</v>
      </c>
      <c r="F16" s="119"/>
      <c r="G16" s="125">
        <f>COUNTIF(LesseeBase[AgreementTitle],LesseeBase[[#This Row],[AgreementTitle]])</f>
        <v>0</v>
      </c>
      <c r="H16" s="119"/>
      <c r="I16" s="119"/>
      <c r="J16" s="119"/>
      <c r="K16" s="119"/>
      <c r="L16" s="121"/>
      <c r="M16" s="121"/>
      <c r="N16" s="121"/>
      <c r="O16" s="121"/>
      <c r="P16" s="121"/>
      <c r="Q16" s="121"/>
      <c r="R16" s="121"/>
      <c r="S16" s="126">
        <f>LEN(LesseeBase[[#This Row],[Comments]])</f>
        <v>0</v>
      </c>
      <c r="T16" s="122" t="str">
        <f>LesseeBase[[#This Row],[Multi-
Record]]</f>
        <v>None</v>
      </c>
      <c r="U16" s="119">
        <f>LesseeBase[[#This Row],[AgreementCode]]</f>
        <v>0</v>
      </c>
      <c r="V16" s="119" t="str">
        <f>LEFT(LesseeBase[[#This Row],[AgreementTitle]],50)</f>
        <v/>
      </c>
      <c r="W16" s="125">
        <f>LesseeBase[[#This Row],[AgreementType]]</f>
        <v>0</v>
      </c>
      <c r="X16" s="119"/>
      <c r="Y16"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6" s="125">
        <f>LesseeBase[[#This Row],[ProvisionType]]</f>
        <v>0</v>
      </c>
      <c r="AA16" s="121"/>
      <c r="AB16" s="121">
        <f>IF(LesseeBase[[#This Row],[Incl. Options
End Date]]&gt;0,LesseeBase[[#This Row],[Incl. Options
End Date]],LesseeBase[[#This Row],[Initial Period
End Date]])</f>
        <v>0</v>
      </c>
      <c r="AC16" s="123"/>
      <c r="AD16" s="119"/>
      <c r="AE16" s="119"/>
      <c r="AF16" s="124"/>
      <c r="AG16" s="121"/>
      <c r="AH16" s="121"/>
      <c r="AI16" s="125" t="e" cm="1">
        <f t="array" ref="AI16">ROUND(ROUND((LesseeBase[[#This Row],[Payment
EndDate]]-LesseeBase[[#This Row],[Payment
StartDate]])/365,2)*_xlfn.IFS(LesseeBase[[#This Row],[Payment
Frequency]]="MO",12,LesseeBase[[#This Row],[Payment
Frequency]]="QT",4,LesseeBase[[#This Row],[Payment
Frequency]]="SA",2,LesseeBase[[#This Row],[Payment
Frequency]]="AN",1),0)</f>
        <v>#N/A</v>
      </c>
      <c r="AJ16" s="123" t="e">
        <f>ROUND(LesseeBase[[#This Row],[Payment
Amount]]*LesseeBase[[#This Row],[Number of
 Payments]],2)</f>
        <v>#N/A</v>
      </c>
      <c r="AK16"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6" s="123" t="e">
        <f>IF(LesseeBase[[#This Row],[Multi-
Record2]]="Multi-Amount", "calc on import",LesseeBase[[#This Row],[Total Amount
of Payments]]-LesseeBase[[#This Row],[Present
Value]])</f>
        <v>#N/A</v>
      </c>
      <c r="AM16" s="123" t="e">
        <f>LesseeBase[[#This Row],[Present
Value]]</f>
        <v>#DIV/0!</v>
      </c>
      <c r="AN16" s="123"/>
      <c r="AO16" s="123" t="e">
        <f>IF(LesseeBase[[#This Row],[Multi-
Record2]]="Multi-Amount", "calc on import",LesseeBase[[#This Row],[Total
CapitalizedValue]]-LesseeBase[[#This Row],[Capitalized
ResidualValue]])</f>
        <v>#DIV/0!</v>
      </c>
      <c r="AP16" s="123" t="e">
        <f>LesseeBase[[#This Row],[Calc Amount
to Amortize]]</f>
        <v>#DIV/0!</v>
      </c>
      <c r="AQ16" s="119" t="s">
        <v>296</v>
      </c>
      <c r="AR16" s="125" t="str">
        <f>IF(LesseeBase[[#This Row],[RoU Asset
AmortizationMethod]] = "Declining Balance", "Enter %","")</f>
        <v/>
      </c>
      <c r="AS16" s="125" t="str">
        <f>IF(LesseeBase[[#This Row],[RoU Asset
AmortizationMethod]]="Usage Based","Enter Usage Base","")</f>
        <v/>
      </c>
      <c r="AT16" s="125" t="str">
        <f>IF(LesseeBase[[#This Row],[RoU Asset
AmortizationMethod]]="Usage Based","Enter Usage UoM","")</f>
        <v/>
      </c>
      <c r="AU16" s="121"/>
      <c r="AV16" s="121">
        <f>IF(LesseeBase[[#This Row],[Incl. Options
End Date]]&gt;0,LesseeBase[[#This Row],[Incl. Options
End Date]],LesseeBase[[#This Row],[Initial Period
End Date]])</f>
        <v>0</v>
      </c>
      <c r="AW16" s="122" t="s">
        <v>321</v>
      </c>
      <c r="AX16" s="125" cm="1">
        <f t="array" ref="AX16">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6" s="119"/>
      <c r="AZ16" s="122"/>
      <c r="BA16" s="119"/>
      <c r="BB16" s="119"/>
      <c r="BC16" s="119"/>
      <c r="BD16" s="119"/>
      <c r="BE16" s="119"/>
      <c r="BF16" s="119"/>
      <c r="BG16" s="119"/>
      <c r="BH16" s="119"/>
    </row>
    <row r="17" spans="1:60" x14ac:dyDescent="0.25">
      <c r="A17" s="119" t="s">
        <v>509</v>
      </c>
      <c r="B17" s="119">
        <f>'Agency Cover'!$B$3</f>
        <v>0</v>
      </c>
      <c r="C17" s="119"/>
      <c r="D17" s="119" t="s">
        <v>291</v>
      </c>
      <c r="E17" s="125">
        <f>COUNTIF(LesseeBase[AgreementCode],LesseeBase[[#This Row],[AgreementCode]])</f>
        <v>0</v>
      </c>
      <c r="F17" s="119"/>
      <c r="G17" s="125">
        <f>COUNTIF(LesseeBase[AgreementTitle],LesseeBase[[#This Row],[AgreementTitle]])</f>
        <v>0</v>
      </c>
      <c r="H17" s="119"/>
      <c r="I17" s="119"/>
      <c r="J17" s="119"/>
      <c r="K17" s="119"/>
      <c r="L17" s="121"/>
      <c r="M17" s="121"/>
      <c r="N17" s="121"/>
      <c r="O17" s="121"/>
      <c r="P17" s="121"/>
      <c r="Q17" s="121"/>
      <c r="R17" s="121"/>
      <c r="S17" s="126">
        <f>LEN(LesseeBase[[#This Row],[Comments]])</f>
        <v>0</v>
      </c>
      <c r="T17" s="122" t="str">
        <f>LesseeBase[[#This Row],[Multi-
Record]]</f>
        <v>None</v>
      </c>
      <c r="U17" s="119">
        <f>LesseeBase[[#This Row],[AgreementCode]]</f>
        <v>0</v>
      </c>
      <c r="V17" s="119" t="str">
        <f>LEFT(LesseeBase[[#This Row],[AgreementTitle]],50)</f>
        <v/>
      </c>
      <c r="W17" s="125">
        <f>LesseeBase[[#This Row],[AgreementType]]</f>
        <v>0</v>
      </c>
      <c r="X17" s="119"/>
      <c r="Y17"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7" s="125">
        <f>LesseeBase[[#This Row],[ProvisionType]]</f>
        <v>0</v>
      </c>
      <c r="AA17" s="121"/>
      <c r="AB17" s="121">
        <f>IF(LesseeBase[[#This Row],[Incl. Options
End Date]]&gt;0,LesseeBase[[#This Row],[Incl. Options
End Date]],LesseeBase[[#This Row],[Initial Period
End Date]])</f>
        <v>0</v>
      </c>
      <c r="AC17" s="123"/>
      <c r="AD17" s="119"/>
      <c r="AE17" s="119"/>
      <c r="AF17" s="124"/>
      <c r="AG17" s="121"/>
      <c r="AH17" s="121"/>
      <c r="AI17" s="125" t="e" cm="1">
        <f t="array" ref="AI17">ROUND(ROUND((LesseeBase[[#This Row],[Payment
EndDate]]-LesseeBase[[#This Row],[Payment
StartDate]])/365,2)*_xlfn.IFS(LesseeBase[[#This Row],[Payment
Frequency]]="MO",12,LesseeBase[[#This Row],[Payment
Frequency]]="QT",4,LesseeBase[[#This Row],[Payment
Frequency]]="SA",2,LesseeBase[[#This Row],[Payment
Frequency]]="AN",1),0)</f>
        <v>#N/A</v>
      </c>
      <c r="AJ17" s="123" t="e">
        <f>ROUND(LesseeBase[[#This Row],[Payment
Amount]]*LesseeBase[[#This Row],[Number of
 Payments]],2)</f>
        <v>#N/A</v>
      </c>
      <c r="AK17"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7" s="123" t="e">
        <f>IF(LesseeBase[[#This Row],[Multi-
Record2]]="Multi-Amount", "calc on import",LesseeBase[[#This Row],[Total Amount
of Payments]]-LesseeBase[[#This Row],[Present
Value]])</f>
        <v>#N/A</v>
      </c>
      <c r="AM17" s="123" t="e">
        <f>LesseeBase[[#This Row],[Present
Value]]</f>
        <v>#DIV/0!</v>
      </c>
      <c r="AN17" s="123"/>
      <c r="AO17" s="123" t="e">
        <f>IF(LesseeBase[[#This Row],[Multi-
Record2]]="Multi-Amount", "calc on import",LesseeBase[[#This Row],[Total
CapitalizedValue]]-LesseeBase[[#This Row],[Capitalized
ResidualValue]])</f>
        <v>#DIV/0!</v>
      </c>
      <c r="AP17" s="123" t="e">
        <f>LesseeBase[[#This Row],[Calc Amount
to Amortize]]</f>
        <v>#DIV/0!</v>
      </c>
      <c r="AQ17" s="119" t="s">
        <v>296</v>
      </c>
      <c r="AR17" s="125" t="str">
        <f>IF(LesseeBase[[#This Row],[RoU Asset
AmortizationMethod]] = "Declining Balance", "Enter %","")</f>
        <v/>
      </c>
      <c r="AS17" s="125" t="str">
        <f>IF(LesseeBase[[#This Row],[RoU Asset
AmortizationMethod]]="Usage Based","Enter Usage Base","")</f>
        <v/>
      </c>
      <c r="AT17" s="125" t="str">
        <f>IF(LesseeBase[[#This Row],[RoU Asset
AmortizationMethod]]="Usage Based","Enter Usage UoM","")</f>
        <v/>
      </c>
      <c r="AU17" s="121"/>
      <c r="AV17" s="121">
        <f>IF(LesseeBase[[#This Row],[Incl. Options
End Date]]&gt;0,LesseeBase[[#This Row],[Incl. Options
End Date]],LesseeBase[[#This Row],[Initial Period
End Date]])</f>
        <v>0</v>
      </c>
      <c r="AW17" s="122" t="s">
        <v>321</v>
      </c>
      <c r="AX17" s="125" cm="1">
        <f t="array" ref="AX17">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7" s="119"/>
      <c r="AZ17" s="122"/>
      <c r="BA17" s="119"/>
      <c r="BB17" s="119"/>
      <c r="BC17" s="119"/>
      <c r="BD17" s="119"/>
      <c r="BE17" s="119"/>
      <c r="BF17" s="119"/>
      <c r="BG17" s="119"/>
      <c r="BH17" s="119"/>
    </row>
    <row r="18" spans="1:60" x14ac:dyDescent="0.25">
      <c r="A18" s="119" t="s">
        <v>509</v>
      </c>
      <c r="B18" s="119">
        <f>'Agency Cover'!$B$3</f>
        <v>0</v>
      </c>
      <c r="C18" s="119"/>
      <c r="D18" s="119" t="s">
        <v>291</v>
      </c>
      <c r="E18" s="125">
        <f>COUNTIF(LesseeBase[AgreementCode],LesseeBase[[#This Row],[AgreementCode]])</f>
        <v>0</v>
      </c>
      <c r="F18" s="119"/>
      <c r="G18" s="125">
        <f>COUNTIF(LesseeBase[AgreementTitle],LesseeBase[[#This Row],[AgreementTitle]])</f>
        <v>0</v>
      </c>
      <c r="H18" s="119"/>
      <c r="I18" s="119"/>
      <c r="J18" s="119"/>
      <c r="K18" s="119"/>
      <c r="L18" s="121"/>
      <c r="M18" s="121"/>
      <c r="N18" s="121"/>
      <c r="O18" s="121"/>
      <c r="P18" s="121"/>
      <c r="Q18" s="121"/>
      <c r="R18" s="121"/>
      <c r="S18" s="126">
        <f>LEN(LesseeBase[[#This Row],[Comments]])</f>
        <v>0</v>
      </c>
      <c r="T18" s="122" t="str">
        <f>LesseeBase[[#This Row],[Multi-
Record]]</f>
        <v>None</v>
      </c>
      <c r="U18" s="119">
        <f>LesseeBase[[#This Row],[AgreementCode]]</f>
        <v>0</v>
      </c>
      <c r="V18" s="119" t="str">
        <f>LEFT(LesseeBase[[#This Row],[AgreementTitle]],50)</f>
        <v/>
      </c>
      <c r="W18" s="125">
        <f>LesseeBase[[#This Row],[AgreementType]]</f>
        <v>0</v>
      </c>
      <c r="X18" s="119"/>
      <c r="Y18"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8" s="125">
        <f>LesseeBase[[#This Row],[ProvisionType]]</f>
        <v>0</v>
      </c>
      <c r="AA18" s="121"/>
      <c r="AB18" s="121">
        <f>IF(LesseeBase[[#This Row],[Incl. Options
End Date]]&gt;0,LesseeBase[[#This Row],[Incl. Options
End Date]],LesseeBase[[#This Row],[Initial Period
End Date]])</f>
        <v>0</v>
      </c>
      <c r="AC18" s="123"/>
      <c r="AD18" s="119"/>
      <c r="AE18" s="119"/>
      <c r="AF18" s="124"/>
      <c r="AG18" s="121"/>
      <c r="AH18" s="121"/>
      <c r="AI18" s="125" t="e" cm="1">
        <f t="array" ref="AI18">ROUND(ROUND((LesseeBase[[#This Row],[Payment
EndDate]]-LesseeBase[[#This Row],[Payment
StartDate]])/365,2)*_xlfn.IFS(LesseeBase[[#This Row],[Payment
Frequency]]="MO",12,LesseeBase[[#This Row],[Payment
Frequency]]="QT",4,LesseeBase[[#This Row],[Payment
Frequency]]="SA",2,LesseeBase[[#This Row],[Payment
Frequency]]="AN",1),0)</f>
        <v>#N/A</v>
      </c>
      <c r="AJ18" s="123" t="e">
        <f>ROUND(LesseeBase[[#This Row],[Payment
Amount]]*LesseeBase[[#This Row],[Number of
 Payments]],2)</f>
        <v>#N/A</v>
      </c>
      <c r="AK18"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8" s="123" t="e">
        <f>IF(LesseeBase[[#This Row],[Multi-
Record2]]="Multi-Amount", "calc on import",LesseeBase[[#This Row],[Total Amount
of Payments]]-LesseeBase[[#This Row],[Present
Value]])</f>
        <v>#N/A</v>
      </c>
      <c r="AM18" s="123" t="e">
        <f>LesseeBase[[#This Row],[Present
Value]]</f>
        <v>#DIV/0!</v>
      </c>
      <c r="AN18" s="123"/>
      <c r="AO18" s="123" t="e">
        <f>IF(LesseeBase[[#This Row],[Multi-
Record2]]="Multi-Amount", "calc on import",LesseeBase[[#This Row],[Total
CapitalizedValue]]-LesseeBase[[#This Row],[Capitalized
ResidualValue]])</f>
        <v>#DIV/0!</v>
      </c>
      <c r="AP18" s="123" t="e">
        <f>LesseeBase[[#This Row],[Calc Amount
to Amortize]]</f>
        <v>#DIV/0!</v>
      </c>
      <c r="AQ18" s="119" t="s">
        <v>296</v>
      </c>
      <c r="AR18" s="125" t="str">
        <f>IF(LesseeBase[[#This Row],[RoU Asset
AmortizationMethod]] = "Declining Balance", "Enter %","")</f>
        <v/>
      </c>
      <c r="AS18" s="125" t="str">
        <f>IF(LesseeBase[[#This Row],[RoU Asset
AmortizationMethod]]="Usage Based","Enter Usage Base","")</f>
        <v/>
      </c>
      <c r="AT18" s="125" t="str">
        <f>IF(LesseeBase[[#This Row],[RoU Asset
AmortizationMethod]]="Usage Based","Enter Usage UoM","")</f>
        <v/>
      </c>
      <c r="AU18" s="121"/>
      <c r="AV18" s="121">
        <f>IF(LesseeBase[[#This Row],[Incl. Options
End Date]]&gt;0,LesseeBase[[#This Row],[Incl. Options
End Date]],LesseeBase[[#This Row],[Initial Period
End Date]])</f>
        <v>0</v>
      </c>
      <c r="AW18" s="122" t="s">
        <v>321</v>
      </c>
      <c r="AX18" s="125" cm="1">
        <f t="array" ref="AX18">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8" s="119"/>
      <c r="AZ18" s="122"/>
      <c r="BA18" s="119"/>
      <c r="BB18" s="119"/>
      <c r="BC18" s="119"/>
      <c r="BD18" s="119"/>
      <c r="BE18" s="119"/>
      <c r="BF18" s="119"/>
      <c r="BG18" s="119"/>
      <c r="BH18" s="119"/>
    </row>
    <row r="19" spans="1:60" x14ac:dyDescent="0.25">
      <c r="A19" s="119" t="s">
        <v>509</v>
      </c>
      <c r="B19" s="119">
        <f>'Agency Cover'!$B$3</f>
        <v>0</v>
      </c>
      <c r="C19" s="119"/>
      <c r="D19" s="119" t="s">
        <v>291</v>
      </c>
      <c r="E19" s="125">
        <f>COUNTIF(LesseeBase[AgreementCode],LesseeBase[[#This Row],[AgreementCode]])</f>
        <v>0</v>
      </c>
      <c r="F19" s="119"/>
      <c r="G19" s="125">
        <f>COUNTIF(LesseeBase[AgreementTitle],LesseeBase[[#This Row],[AgreementTitle]])</f>
        <v>0</v>
      </c>
      <c r="H19" s="119"/>
      <c r="I19" s="119"/>
      <c r="J19" s="119"/>
      <c r="K19" s="119"/>
      <c r="L19" s="121"/>
      <c r="M19" s="121"/>
      <c r="N19" s="121"/>
      <c r="O19" s="121"/>
      <c r="P19" s="121"/>
      <c r="Q19" s="121"/>
      <c r="R19" s="121"/>
      <c r="S19" s="126">
        <f>LEN(LesseeBase[[#This Row],[Comments]])</f>
        <v>0</v>
      </c>
      <c r="T19" s="122" t="str">
        <f>LesseeBase[[#This Row],[Multi-
Record]]</f>
        <v>None</v>
      </c>
      <c r="U19" s="119">
        <f>LesseeBase[[#This Row],[AgreementCode]]</f>
        <v>0</v>
      </c>
      <c r="V19" s="119" t="str">
        <f>LEFT(LesseeBase[[#This Row],[AgreementTitle]],50)</f>
        <v/>
      </c>
      <c r="W19" s="125">
        <f>LesseeBase[[#This Row],[AgreementType]]</f>
        <v>0</v>
      </c>
      <c r="X19" s="119"/>
      <c r="Y19"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19" s="125">
        <f>LesseeBase[[#This Row],[ProvisionType]]</f>
        <v>0</v>
      </c>
      <c r="AA19" s="121"/>
      <c r="AB19" s="121">
        <f>IF(LesseeBase[[#This Row],[Incl. Options
End Date]]&gt;0,LesseeBase[[#This Row],[Incl. Options
End Date]],LesseeBase[[#This Row],[Initial Period
End Date]])</f>
        <v>0</v>
      </c>
      <c r="AC19" s="123"/>
      <c r="AD19" s="119"/>
      <c r="AE19" s="119"/>
      <c r="AF19" s="124"/>
      <c r="AG19" s="121"/>
      <c r="AH19" s="121"/>
      <c r="AI19" s="125" t="e" cm="1">
        <f t="array" ref="AI19">ROUND(ROUND((LesseeBase[[#This Row],[Payment
EndDate]]-LesseeBase[[#This Row],[Payment
StartDate]])/365,2)*_xlfn.IFS(LesseeBase[[#This Row],[Payment
Frequency]]="MO",12,LesseeBase[[#This Row],[Payment
Frequency]]="QT",4,LesseeBase[[#This Row],[Payment
Frequency]]="SA",2,LesseeBase[[#This Row],[Payment
Frequency]]="AN",1),0)</f>
        <v>#N/A</v>
      </c>
      <c r="AJ19" s="123" t="e">
        <f>ROUND(LesseeBase[[#This Row],[Payment
Amount]]*LesseeBase[[#This Row],[Number of
 Payments]],2)</f>
        <v>#N/A</v>
      </c>
      <c r="AK19"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19" s="123" t="e">
        <f>IF(LesseeBase[[#This Row],[Multi-
Record2]]="Multi-Amount", "calc on import",LesseeBase[[#This Row],[Total Amount
of Payments]]-LesseeBase[[#This Row],[Present
Value]])</f>
        <v>#N/A</v>
      </c>
      <c r="AM19" s="123" t="e">
        <f>LesseeBase[[#This Row],[Present
Value]]</f>
        <v>#DIV/0!</v>
      </c>
      <c r="AN19" s="123"/>
      <c r="AO19" s="123" t="e">
        <f>IF(LesseeBase[[#This Row],[Multi-
Record2]]="Multi-Amount", "calc on import",LesseeBase[[#This Row],[Total
CapitalizedValue]]-LesseeBase[[#This Row],[Capitalized
ResidualValue]])</f>
        <v>#DIV/0!</v>
      </c>
      <c r="AP19" s="123" t="e">
        <f>LesseeBase[[#This Row],[Calc Amount
to Amortize]]</f>
        <v>#DIV/0!</v>
      </c>
      <c r="AQ19" s="119" t="s">
        <v>296</v>
      </c>
      <c r="AR19" s="125" t="str">
        <f>IF(LesseeBase[[#This Row],[RoU Asset
AmortizationMethod]] = "Declining Balance", "Enter %","")</f>
        <v/>
      </c>
      <c r="AS19" s="125" t="str">
        <f>IF(LesseeBase[[#This Row],[RoU Asset
AmortizationMethod]]="Usage Based","Enter Usage Base","")</f>
        <v/>
      </c>
      <c r="AT19" s="125" t="str">
        <f>IF(LesseeBase[[#This Row],[RoU Asset
AmortizationMethod]]="Usage Based","Enter Usage UoM","")</f>
        <v/>
      </c>
      <c r="AU19" s="121"/>
      <c r="AV19" s="121">
        <f>IF(LesseeBase[[#This Row],[Incl. Options
End Date]]&gt;0,LesseeBase[[#This Row],[Incl. Options
End Date]],LesseeBase[[#This Row],[Initial Period
End Date]])</f>
        <v>0</v>
      </c>
      <c r="AW19" s="122" t="s">
        <v>321</v>
      </c>
      <c r="AX19" s="125" cm="1">
        <f t="array" ref="AX19">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19" s="119"/>
      <c r="AZ19" s="122"/>
      <c r="BA19" s="119"/>
      <c r="BB19" s="119"/>
      <c r="BC19" s="119"/>
      <c r="BD19" s="119"/>
      <c r="BE19" s="119"/>
      <c r="BF19" s="119"/>
      <c r="BG19" s="119"/>
      <c r="BH19" s="119"/>
    </row>
    <row r="20" spans="1:60" x14ac:dyDescent="0.25">
      <c r="A20" s="119" t="s">
        <v>509</v>
      </c>
      <c r="B20" s="119">
        <f>'Agency Cover'!$B$3</f>
        <v>0</v>
      </c>
      <c r="C20" s="119"/>
      <c r="D20" s="119" t="s">
        <v>291</v>
      </c>
      <c r="E20" s="125">
        <f>COUNTIF(LesseeBase[AgreementCode],LesseeBase[[#This Row],[AgreementCode]])</f>
        <v>0</v>
      </c>
      <c r="F20" s="119"/>
      <c r="G20" s="125">
        <f>COUNTIF(LesseeBase[AgreementTitle],LesseeBase[[#This Row],[AgreementTitle]])</f>
        <v>0</v>
      </c>
      <c r="H20" s="119"/>
      <c r="I20" s="119"/>
      <c r="J20" s="119"/>
      <c r="K20" s="119"/>
      <c r="L20" s="121"/>
      <c r="M20" s="121"/>
      <c r="N20" s="121"/>
      <c r="O20" s="121"/>
      <c r="P20" s="121"/>
      <c r="Q20" s="121"/>
      <c r="R20" s="121"/>
      <c r="S20" s="126">
        <f>LEN(LesseeBase[[#This Row],[Comments]])</f>
        <v>0</v>
      </c>
      <c r="T20" s="122" t="str">
        <f>LesseeBase[[#This Row],[Multi-
Record]]</f>
        <v>None</v>
      </c>
      <c r="U20" s="119">
        <f>LesseeBase[[#This Row],[AgreementCode]]</f>
        <v>0</v>
      </c>
      <c r="V20" s="119" t="str">
        <f>LEFT(LesseeBase[[#This Row],[AgreementTitle]],50)</f>
        <v/>
      </c>
      <c r="W20" s="125">
        <f>LesseeBase[[#This Row],[AgreementType]]</f>
        <v>0</v>
      </c>
      <c r="X20" s="119"/>
      <c r="Y20"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20" s="125">
        <f>LesseeBase[[#This Row],[ProvisionType]]</f>
        <v>0</v>
      </c>
      <c r="AA20" s="121"/>
      <c r="AB20" s="121">
        <f>IF(LesseeBase[[#This Row],[Incl. Options
End Date]]&gt;0,LesseeBase[[#This Row],[Incl. Options
End Date]],LesseeBase[[#This Row],[Initial Period
End Date]])</f>
        <v>0</v>
      </c>
      <c r="AC20" s="123"/>
      <c r="AD20" s="119"/>
      <c r="AE20" s="119"/>
      <c r="AF20" s="124"/>
      <c r="AG20" s="121"/>
      <c r="AH20" s="121"/>
      <c r="AI20" s="125" t="e" cm="1">
        <f t="array" ref="AI20">ROUND(ROUND((LesseeBase[[#This Row],[Payment
EndDate]]-LesseeBase[[#This Row],[Payment
StartDate]])/365,2)*_xlfn.IFS(LesseeBase[[#This Row],[Payment
Frequency]]="MO",12,LesseeBase[[#This Row],[Payment
Frequency]]="QT",4,LesseeBase[[#This Row],[Payment
Frequency]]="SA",2,LesseeBase[[#This Row],[Payment
Frequency]]="AN",1),0)</f>
        <v>#N/A</v>
      </c>
      <c r="AJ20" s="123" t="e">
        <f>ROUND(LesseeBase[[#This Row],[Payment
Amount]]*LesseeBase[[#This Row],[Number of
 Payments]],2)</f>
        <v>#N/A</v>
      </c>
      <c r="AK20"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0" s="123" t="e">
        <f>IF(LesseeBase[[#This Row],[Multi-
Record2]]="Multi-Amount", "calc on import",LesseeBase[[#This Row],[Total Amount
of Payments]]-LesseeBase[[#This Row],[Present
Value]])</f>
        <v>#N/A</v>
      </c>
      <c r="AM20" s="123" t="e">
        <f>LesseeBase[[#This Row],[Present
Value]]</f>
        <v>#DIV/0!</v>
      </c>
      <c r="AN20" s="123"/>
      <c r="AO20" s="123" t="e">
        <f>IF(LesseeBase[[#This Row],[Multi-
Record2]]="Multi-Amount", "calc on import",LesseeBase[[#This Row],[Total
CapitalizedValue]]-LesseeBase[[#This Row],[Capitalized
ResidualValue]])</f>
        <v>#DIV/0!</v>
      </c>
      <c r="AP20" s="123" t="e">
        <f>LesseeBase[[#This Row],[Calc Amount
to Amortize]]</f>
        <v>#DIV/0!</v>
      </c>
      <c r="AQ20" s="119" t="s">
        <v>296</v>
      </c>
      <c r="AR20" s="125" t="str">
        <f>IF(LesseeBase[[#This Row],[RoU Asset
AmortizationMethod]] = "Declining Balance", "Enter %","")</f>
        <v/>
      </c>
      <c r="AS20" s="125" t="str">
        <f>IF(LesseeBase[[#This Row],[RoU Asset
AmortizationMethod]]="Usage Based","Enter Usage Base","")</f>
        <v/>
      </c>
      <c r="AT20" s="125" t="str">
        <f>IF(LesseeBase[[#This Row],[RoU Asset
AmortizationMethod]]="Usage Based","Enter Usage UoM","")</f>
        <v/>
      </c>
      <c r="AU20" s="121"/>
      <c r="AV20" s="121">
        <f>IF(LesseeBase[[#This Row],[Incl. Options
End Date]]&gt;0,LesseeBase[[#This Row],[Incl. Options
End Date]],LesseeBase[[#This Row],[Initial Period
End Date]])</f>
        <v>0</v>
      </c>
      <c r="AW20" s="122" t="s">
        <v>321</v>
      </c>
      <c r="AX20" s="125" cm="1">
        <f t="array" ref="AX20">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0" s="119"/>
      <c r="AZ20" s="122"/>
      <c r="BA20" s="119"/>
      <c r="BB20" s="119"/>
      <c r="BC20" s="119"/>
      <c r="BD20" s="119"/>
      <c r="BE20" s="119"/>
      <c r="BF20" s="119"/>
      <c r="BG20" s="119"/>
      <c r="BH20" s="119"/>
    </row>
    <row r="21" spans="1:60" x14ac:dyDescent="0.25">
      <c r="A21" s="119" t="s">
        <v>509</v>
      </c>
      <c r="B21" s="119">
        <f>'Agency Cover'!$B$3</f>
        <v>0</v>
      </c>
      <c r="C21" s="119"/>
      <c r="D21" s="119" t="s">
        <v>291</v>
      </c>
      <c r="E21" s="125">
        <f>COUNTIF(LesseeBase[AgreementCode],LesseeBase[[#This Row],[AgreementCode]])</f>
        <v>0</v>
      </c>
      <c r="F21" s="119"/>
      <c r="G21" s="125">
        <f>COUNTIF(LesseeBase[AgreementTitle],LesseeBase[[#This Row],[AgreementTitle]])</f>
        <v>0</v>
      </c>
      <c r="H21" s="119"/>
      <c r="I21" s="119"/>
      <c r="J21" s="119"/>
      <c r="K21" s="119"/>
      <c r="L21" s="121"/>
      <c r="M21" s="121"/>
      <c r="N21" s="121"/>
      <c r="O21" s="121"/>
      <c r="P21" s="121"/>
      <c r="Q21" s="121"/>
      <c r="R21" s="121"/>
      <c r="S21" s="126">
        <f>LEN(LesseeBase[[#This Row],[Comments]])</f>
        <v>0</v>
      </c>
      <c r="T21" s="122" t="str">
        <f>LesseeBase[[#This Row],[Multi-
Record]]</f>
        <v>None</v>
      </c>
      <c r="U21" s="119">
        <f>LesseeBase[[#This Row],[AgreementCode]]</f>
        <v>0</v>
      </c>
      <c r="V21" s="119" t="str">
        <f>LEFT(LesseeBase[[#This Row],[AgreementTitle]],50)</f>
        <v/>
      </c>
      <c r="W21" s="125">
        <f>LesseeBase[[#This Row],[AgreementType]]</f>
        <v>0</v>
      </c>
      <c r="X21" s="119"/>
      <c r="Y21"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21" s="125">
        <f>LesseeBase[[#This Row],[ProvisionType]]</f>
        <v>0</v>
      </c>
      <c r="AA21" s="121"/>
      <c r="AB21" s="121">
        <f>IF(LesseeBase[[#This Row],[Incl. Options
End Date]]&gt;0,LesseeBase[[#This Row],[Incl. Options
End Date]],LesseeBase[[#This Row],[Initial Period
End Date]])</f>
        <v>0</v>
      </c>
      <c r="AC21" s="123"/>
      <c r="AD21" s="119"/>
      <c r="AE21" s="119"/>
      <c r="AF21" s="124"/>
      <c r="AG21" s="121"/>
      <c r="AH21" s="121"/>
      <c r="AI21" s="125" t="e" cm="1">
        <f t="array" ref="AI21">ROUND(ROUND((LesseeBase[[#This Row],[Payment
EndDate]]-LesseeBase[[#This Row],[Payment
StartDate]])/365,2)*_xlfn.IFS(LesseeBase[[#This Row],[Payment
Frequency]]="MO",12,LesseeBase[[#This Row],[Payment
Frequency]]="QT",4,LesseeBase[[#This Row],[Payment
Frequency]]="SA",2,LesseeBase[[#This Row],[Payment
Frequency]]="AN",1),0)</f>
        <v>#N/A</v>
      </c>
      <c r="AJ21" s="123" t="e">
        <f>ROUND(LesseeBase[[#This Row],[Payment
Amount]]*LesseeBase[[#This Row],[Number of
 Payments]],2)</f>
        <v>#N/A</v>
      </c>
      <c r="AK21"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1" s="123" t="e">
        <f>IF(LesseeBase[[#This Row],[Multi-
Record2]]="Multi-Amount", "calc on import",LesseeBase[[#This Row],[Total Amount
of Payments]]-LesseeBase[[#This Row],[Present
Value]])</f>
        <v>#N/A</v>
      </c>
      <c r="AM21" s="123" t="e">
        <f>LesseeBase[[#This Row],[Present
Value]]</f>
        <v>#DIV/0!</v>
      </c>
      <c r="AN21" s="123"/>
      <c r="AO21" s="123" t="e">
        <f>IF(LesseeBase[[#This Row],[Multi-
Record2]]="Multi-Amount", "calc on import",LesseeBase[[#This Row],[Total
CapitalizedValue]]-LesseeBase[[#This Row],[Capitalized
ResidualValue]])</f>
        <v>#DIV/0!</v>
      </c>
      <c r="AP21" s="123" t="e">
        <f>LesseeBase[[#This Row],[Calc Amount
to Amortize]]</f>
        <v>#DIV/0!</v>
      </c>
      <c r="AQ21" s="119" t="s">
        <v>296</v>
      </c>
      <c r="AR21" s="125" t="str">
        <f>IF(LesseeBase[[#This Row],[RoU Asset
AmortizationMethod]] = "Declining Balance", "Enter %","")</f>
        <v/>
      </c>
      <c r="AS21" s="125" t="str">
        <f>IF(LesseeBase[[#This Row],[RoU Asset
AmortizationMethod]]="Usage Based","Enter Usage Base","")</f>
        <v/>
      </c>
      <c r="AT21" s="125" t="str">
        <f>IF(LesseeBase[[#This Row],[RoU Asset
AmortizationMethod]]="Usage Based","Enter Usage UoM","")</f>
        <v/>
      </c>
      <c r="AU21" s="121"/>
      <c r="AV21" s="121">
        <f>IF(LesseeBase[[#This Row],[Incl. Options
End Date]]&gt;0,LesseeBase[[#This Row],[Incl. Options
End Date]],LesseeBase[[#This Row],[Initial Period
End Date]])</f>
        <v>0</v>
      </c>
      <c r="AW21" s="122" t="s">
        <v>321</v>
      </c>
      <c r="AX21" s="125" cm="1">
        <f t="array" ref="AX21">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1" s="119"/>
      <c r="AZ21" s="122"/>
      <c r="BA21" s="119"/>
      <c r="BB21" s="119"/>
      <c r="BC21" s="119"/>
      <c r="BD21" s="119"/>
      <c r="BE21" s="119"/>
      <c r="BF21" s="119"/>
      <c r="BG21" s="119"/>
      <c r="BH21" s="119"/>
    </row>
    <row r="22" spans="1:60" x14ac:dyDescent="0.25">
      <c r="A22" s="119" t="s">
        <v>509</v>
      </c>
      <c r="B22" s="119">
        <f>'Agency Cover'!$B$3</f>
        <v>0</v>
      </c>
      <c r="C22" s="119"/>
      <c r="D22" s="119" t="s">
        <v>291</v>
      </c>
      <c r="E22" s="125">
        <f>COUNTIF(LesseeBase[AgreementCode],LesseeBase[[#This Row],[AgreementCode]])</f>
        <v>0</v>
      </c>
      <c r="F22" s="119"/>
      <c r="G22" s="125">
        <f>COUNTIF(LesseeBase[AgreementTitle],LesseeBase[[#This Row],[AgreementTitle]])</f>
        <v>0</v>
      </c>
      <c r="H22" s="119"/>
      <c r="I22" s="119"/>
      <c r="J22" s="119"/>
      <c r="K22" s="119"/>
      <c r="L22" s="121"/>
      <c r="M22" s="121"/>
      <c r="N22" s="121"/>
      <c r="O22" s="121"/>
      <c r="P22" s="121"/>
      <c r="Q22" s="121"/>
      <c r="R22" s="121"/>
      <c r="S22" s="126">
        <f>LEN(LesseeBase[[#This Row],[Comments]])</f>
        <v>0</v>
      </c>
      <c r="T22" s="122" t="str">
        <f>LesseeBase[[#This Row],[Multi-
Record]]</f>
        <v>None</v>
      </c>
      <c r="U22" s="119">
        <f>LesseeBase[[#This Row],[AgreementCode]]</f>
        <v>0</v>
      </c>
      <c r="V22" s="119" t="str">
        <f>LEFT(LesseeBase[[#This Row],[AgreementTitle]],50)</f>
        <v/>
      </c>
      <c r="W22" s="125">
        <f>LesseeBase[[#This Row],[AgreementType]]</f>
        <v>0</v>
      </c>
      <c r="X22" s="119"/>
      <c r="Y22"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22" s="125">
        <f>LesseeBase[[#This Row],[ProvisionType]]</f>
        <v>0</v>
      </c>
      <c r="AA22" s="121"/>
      <c r="AB22" s="121">
        <f>IF(LesseeBase[[#This Row],[Incl. Options
End Date]]&gt;0,LesseeBase[[#This Row],[Incl. Options
End Date]],LesseeBase[[#This Row],[Initial Period
End Date]])</f>
        <v>0</v>
      </c>
      <c r="AC22" s="123"/>
      <c r="AD22" s="119"/>
      <c r="AE22" s="119"/>
      <c r="AF22" s="124"/>
      <c r="AG22" s="121"/>
      <c r="AH22" s="121"/>
      <c r="AI22" s="125" t="e" cm="1">
        <f t="array" ref="AI22">ROUND(ROUND((LesseeBase[[#This Row],[Payment
EndDate]]-LesseeBase[[#This Row],[Payment
StartDate]])/365,2)*_xlfn.IFS(LesseeBase[[#This Row],[Payment
Frequency]]="MO",12,LesseeBase[[#This Row],[Payment
Frequency]]="QT",4,LesseeBase[[#This Row],[Payment
Frequency]]="SA",2,LesseeBase[[#This Row],[Payment
Frequency]]="AN",1),0)</f>
        <v>#N/A</v>
      </c>
      <c r="AJ22" s="123" t="e">
        <f>ROUND(LesseeBase[[#This Row],[Payment
Amount]]*LesseeBase[[#This Row],[Number of
 Payments]],2)</f>
        <v>#N/A</v>
      </c>
      <c r="AK22"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2" s="123" t="e">
        <f>IF(LesseeBase[[#This Row],[Multi-
Record2]]="Multi-Amount", "calc on import",LesseeBase[[#This Row],[Total Amount
of Payments]]-LesseeBase[[#This Row],[Present
Value]])</f>
        <v>#N/A</v>
      </c>
      <c r="AM22" s="123" t="e">
        <f>LesseeBase[[#This Row],[Present
Value]]</f>
        <v>#DIV/0!</v>
      </c>
      <c r="AN22" s="123"/>
      <c r="AO22" s="123" t="e">
        <f>IF(LesseeBase[[#This Row],[Multi-
Record2]]="Multi-Amount", "calc on import",LesseeBase[[#This Row],[Total
CapitalizedValue]]-LesseeBase[[#This Row],[Capitalized
ResidualValue]])</f>
        <v>#DIV/0!</v>
      </c>
      <c r="AP22" s="123" t="e">
        <f>LesseeBase[[#This Row],[Calc Amount
to Amortize]]</f>
        <v>#DIV/0!</v>
      </c>
      <c r="AQ22" s="119" t="s">
        <v>296</v>
      </c>
      <c r="AR22" s="125" t="str">
        <f>IF(LesseeBase[[#This Row],[RoU Asset
AmortizationMethod]] = "Declining Balance", "Enter %","")</f>
        <v/>
      </c>
      <c r="AS22" s="125" t="str">
        <f>IF(LesseeBase[[#This Row],[RoU Asset
AmortizationMethod]]="Usage Based","Enter Usage Base","")</f>
        <v/>
      </c>
      <c r="AT22" s="125" t="str">
        <f>IF(LesseeBase[[#This Row],[RoU Asset
AmortizationMethod]]="Usage Based","Enter Usage UoM","")</f>
        <v/>
      </c>
      <c r="AU22" s="121"/>
      <c r="AV22" s="121">
        <f>IF(LesseeBase[[#This Row],[Incl. Options
End Date]]&gt;0,LesseeBase[[#This Row],[Incl. Options
End Date]],LesseeBase[[#This Row],[Initial Period
End Date]])</f>
        <v>0</v>
      </c>
      <c r="AW22" s="122" t="s">
        <v>321</v>
      </c>
      <c r="AX22" s="125" cm="1">
        <f t="array" ref="AX22">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2" s="119"/>
      <c r="AZ22" s="122"/>
      <c r="BA22" s="119"/>
      <c r="BB22" s="119"/>
      <c r="BC22" s="119"/>
      <c r="BD22" s="119"/>
      <c r="BE22" s="119"/>
      <c r="BF22" s="119"/>
      <c r="BG22" s="119"/>
      <c r="BH22" s="119"/>
    </row>
    <row r="23" spans="1:60" x14ac:dyDescent="0.25">
      <c r="A23" s="119" t="s">
        <v>509</v>
      </c>
      <c r="B23" s="119">
        <f>'Agency Cover'!$B$3</f>
        <v>0</v>
      </c>
      <c r="C23" s="119"/>
      <c r="D23" s="119" t="s">
        <v>291</v>
      </c>
      <c r="E23" s="125">
        <f>COUNTIF(LesseeBase[AgreementCode],LesseeBase[[#This Row],[AgreementCode]])</f>
        <v>0</v>
      </c>
      <c r="F23" s="119"/>
      <c r="G23" s="125">
        <f>COUNTIF(LesseeBase[AgreementTitle],LesseeBase[[#This Row],[AgreementTitle]])</f>
        <v>0</v>
      </c>
      <c r="H23" s="119"/>
      <c r="I23" s="119"/>
      <c r="J23" s="119"/>
      <c r="K23" s="119"/>
      <c r="L23" s="121"/>
      <c r="M23" s="121"/>
      <c r="N23" s="121"/>
      <c r="O23" s="121"/>
      <c r="P23" s="121"/>
      <c r="Q23" s="121"/>
      <c r="R23" s="121"/>
      <c r="S23" s="126">
        <f>LEN(LesseeBase[[#This Row],[Comments]])</f>
        <v>0</v>
      </c>
      <c r="T23" s="122" t="str">
        <f>LesseeBase[[#This Row],[Multi-
Record]]</f>
        <v>None</v>
      </c>
      <c r="U23" s="119">
        <f>LesseeBase[[#This Row],[AgreementCode]]</f>
        <v>0</v>
      </c>
      <c r="V23" s="119" t="str">
        <f>LEFT(LesseeBase[[#This Row],[AgreementTitle]],50)</f>
        <v/>
      </c>
      <c r="W23" s="125">
        <f>LesseeBase[[#This Row],[AgreementType]]</f>
        <v>0</v>
      </c>
      <c r="X23" s="119"/>
      <c r="Y23"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23" s="125">
        <f>LesseeBase[[#This Row],[ProvisionType]]</f>
        <v>0</v>
      </c>
      <c r="AA23" s="121"/>
      <c r="AB23" s="121">
        <f>IF(LesseeBase[[#This Row],[Incl. Options
End Date]]&gt;0,LesseeBase[[#This Row],[Incl. Options
End Date]],LesseeBase[[#This Row],[Initial Period
End Date]])</f>
        <v>0</v>
      </c>
      <c r="AC23" s="123"/>
      <c r="AD23" s="119"/>
      <c r="AE23" s="119"/>
      <c r="AF23" s="124"/>
      <c r="AG23" s="121"/>
      <c r="AH23" s="121"/>
      <c r="AI23" s="125" t="e" cm="1">
        <f t="array" ref="AI23">ROUND(ROUND((LesseeBase[[#This Row],[Payment
EndDate]]-LesseeBase[[#This Row],[Payment
StartDate]])/365,2)*_xlfn.IFS(LesseeBase[[#This Row],[Payment
Frequency]]="MO",12,LesseeBase[[#This Row],[Payment
Frequency]]="QT",4,LesseeBase[[#This Row],[Payment
Frequency]]="SA",2,LesseeBase[[#This Row],[Payment
Frequency]]="AN",1),0)</f>
        <v>#N/A</v>
      </c>
      <c r="AJ23" s="123" t="e">
        <f>ROUND(LesseeBase[[#This Row],[Payment
Amount]]*LesseeBase[[#This Row],[Number of
 Payments]],2)</f>
        <v>#N/A</v>
      </c>
      <c r="AK23"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3" s="123" t="e">
        <f>IF(LesseeBase[[#This Row],[Multi-
Record2]]="Multi-Amount", "calc on import",LesseeBase[[#This Row],[Total Amount
of Payments]]-LesseeBase[[#This Row],[Present
Value]])</f>
        <v>#N/A</v>
      </c>
      <c r="AM23" s="123" t="e">
        <f>LesseeBase[[#This Row],[Present
Value]]</f>
        <v>#DIV/0!</v>
      </c>
      <c r="AN23" s="123"/>
      <c r="AO23" s="123" t="e">
        <f>IF(LesseeBase[[#This Row],[Multi-
Record2]]="Multi-Amount", "calc on import",LesseeBase[[#This Row],[Total
CapitalizedValue]]-LesseeBase[[#This Row],[Capitalized
ResidualValue]])</f>
        <v>#DIV/0!</v>
      </c>
      <c r="AP23" s="123" t="e">
        <f>LesseeBase[[#This Row],[Calc Amount
to Amortize]]</f>
        <v>#DIV/0!</v>
      </c>
      <c r="AQ23" s="119" t="s">
        <v>296</v>
      </c>
      <c r="AR23" s="125" t="str">
        <f>IF(LesseeBase[[#This Row],[RoU Asset
AmortizationMethod]] = "Declining Balance", "Enter %","")</f>
        <v/>
      </c>
      <c r="AS23" s="125" t="str">
        <f>IF(LesseeBase[[#This Row],[RoU Asset
AmortizationMethod]]="Usage Based","Enter Usage Base","")</f>
        <v/>
      </c>
      <c r="AT23" s="125" t="str">
        <f>IF(LesseeBase[[#This Row],[RoU Asset
AmortizationMethod]]="Usage Based","Enter Usage UoM","")</f>
        <v/>
      </c>
      <c r="AU23" s="121"/>
      <c r="AV23" s="121">
        <f>IF(LesseeBase[[#This Row],[Incl. Options
End Date]]&gt;0,LesseeBase[[#This Row],[Incl. Options
End Date]],LesseeBase[[#This Row],[Initial Period
End Date]])</f>
        <v>0</v>
      </c>
      <c r="AW23" s="122" t="s">
        <v>321</v>
      </c>
      <c r="AX23" s="125" cm="1">
        <f t="array" ref="AX23">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3" s="119"/>
      <c r="AZ23" s="122"/>
      <c r="BA23" s="119"/>
      <c r="BB23" s="119"/>
      <c r="BC23" s="119"/>
      <c r="BD23" s="119"/>
      <c r="BE23" s="119"/>
      <c r="BF23" s="119"/>
      <c r="BG23" s="119"/>
      <c r="BH23" s="119"/>
    </row>
    <row r="24" spans="1:60" x14ac:dyDescent="0.25">
      <c r="A24" s="119" t="s">
        <v>509</v>
      </c>
      <c r="B24" s="119">
        <f>'Agency Cover'!$B$3</f>
        <v>0</v>
      </c>
      <c r="C24" s="119"/>
      <c r="D24" s="119" t="s">
        <v>291</v>
      </c>
      <c r="E24" s="125">
        <f>COUNTIF(LesseeBase[AgreementCode],LesseeBase[[#This Row],[AgreementCode]])</f>
        <v>0</v>
      </c>
      <c r="F24" s="119"/>
      <c r="G24" s="125">
        <f>COUNTIF(LesseeBase[AgreementTitle],LesseeBase[[#This Row],[AgreementTitle]])</f>
        <v>0</v>
      </c>
      <c r="H24" s="119"/>
      <c r="I24" s="119"/>
      <c r="J24" s="119"/>
      <c r="K24" s="119"/>
      <c r="L24" s="121"/>
      <c r="M24" s="121"/>
      <c r="N24" s="121"/>
      <c r="O24" s="121"/>
      <c r="P24" s="121"/>
      <c r="Q24" s="121"/>
      <c r="R24" s="121"/>
      <c r="S24" s="126">
        <f>LEN(LesseeBase[[#This Row],[Comments]])</f>
        <v>0</v>
      </c>
      <c r="T24" s="122" t="str">
        <f>LesseeBase[[#This Row],[Multi-
Record]]</f>
        <v>None</v>
      </c>
      <c r="U24" s="119">
        <f>LesseeBase[[#This Row],[AgreementCode]]</f>
        <v>0</v>
      </c>
      <c r="V24" s="119" t="str">
        <f>LEFT(LesseeBase[[#This Row],[AgreementTitle]],50)</f>
        <v/>
      </c>
      <c r="W24" s="125">
        <f>LesseeBase[[#This Row],[AgreementType]]</f>
        <v>0</v>
      </c>
      <c r="X24" s="119"/>
      <c r="Y24"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24" s="125">
        <f>LesseeBase[[#This Row],[ProvisionType]]</f>
        <v>0</v>
      </c>
      <c r="AA24" s="121"/>
      <c r="AB24" s="121">
        <f>IF(LesseeBase[[#This Row],[Incl. Options
End Date]]&gt;0,LesseeBase[[#This Row],[Incl. Options
End Date]],LesseeBase[[#This Row],[Initial Period
End Date]])</f>
        <v>0</v>
      </c>
      <c r="AC24" s="123"/>
      <c r="AD24" s="119"/>
      <c r="AE24" s="119"/>
      <c r="AF24" s="124"/>
      <c r="AG24" s="121"/>
      <c r="AH24" s="121"/>
      <c r="AI24" s="125" t="e" cm="1">
        <f t="array" ref="AI24">ROUND(ROUND((LesseeBase[[#This Row],[Payment
EndDate]]-LesseeBase[[#This Row],[Payment
StartDate]])/365,2)*_xlfn.IFS(LesseeBase[[#This Row],[Payment
Frequency]]="MO",12,LesseeBase[[#This Row],[Payment
Frequency]]="QT",4,LesseeBase[[#This Row],[Payment
Frequency]]="SA",2,LesseeBase[[#This Row],[Payment
Frequency]]="AN",1),0)</f>
        <v>#N/A</v>
      </c>
      <c r="AJ24" s="123" t="e">
        <f>ROUND(LesseeBase[[#This Row],[Payment
Amount]]*LesseeBase[[#This Row],[Number of
 Payments]],2)</f>
        <v>#N/A</v>
      </c>
      <c r="AK24"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4" s="123" t="e">
        <f>IF(LesseeBase[[#This Row],[Multi-
Record2]]="Multi-Amount", "calc on import",LesseeBase[[#This Row],[Total Amount
of Payments]]-LesseeBase[[#This Row],[Present
Value]])</f>
        <v>#N/A</v>
      </c>
      <c r="AM24" s="123" t="e">
        <f>LesseeBase[[#This Row],[Present
Value]]</f>
        <v>#DIV/0!</v>
      </c>
      <c r="AN24" s="123"/>
      <c r="AO24" s="123" t="e">
        <f>IF(LesseeBase[[#This Row],[Multi-
Record2]]="Multi-Amount", "calc on import",LesseeBase[[#This Row],[Total
CapitalizedValue]]-LesseeBase[[#This Row],[Capitalized
ResidualValue]])</f>
        <v>#DIV/0!</v>
      </c>
      <c r="AP24" s="123" t="e">
        <f>LesseeBase[[#This Row],[Calc Amount
to Amortize]]</f>
        <v>#DIV/0!</v>
      </c>
      <c r="AQ24" s="119" t="s">
        <v>296</v>
      </c>
      <c r="AR24" s="125" t="str">
        <f>IF(LesseeBase[[#This Row],[RoU Asset
AmortizationMethod]] = "Declining Balance", "Enter %","")</f>
        <v/>
      </c>
      <c r="AS24" s="125" t="str">
        <f>IF(LesseeBase[[#This Row],[RoU Asset
AmortizationMethod]]="Usage Based","Enter Usage Base","")</f>
        <v/>
      </c>
      <c r="AT24" s="125" t="str">
        <f>IF(LesseeBase[[#This Row],[RoU Asset
AmortizationMethod]]="Usage Based","Enter Usage UoM","")</f>
        <v/>
      </c>
      <c r="AU24" s="121"/>
      <c r="AV24" s="121">
        <f>IF(LesseeBase[[#This Row],[Incl. Options
End Date]]&gt;0,LesseeBase[[#This Row],[Incl. Options
End Date]],LesseeBase[[#This Row],[Initial Period
End Date]])</f>
        <v>0</v>
      </c>
      <c r="AW24" s="122" t="s">
        <v>321</v>
      </c>
      <c r="AX24" s="125" cm="1">
        <f t="array" ref="AX24">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4" s="119"/>
      <c r="AZ24" s="122"/>
      <c r="BA24" s="119"/>
      <c r="BB24" s="119"/>
      <c r="BC24" s="119"/>
      <c r="BD24" s="119"/>
      <c r="BE24" s="119"/>
      <c r="BF24" s="119"/>
      <c r="BG24" s="119"/>
      <c r="BH24" s="119"/>
    </row>
    <row r="25" spans="1:60" x14ac:dyDescent="0.25">
      <c r="A25" s="119" t="s">
        <v>509</v>
      </c>
      <c r="B25" s="119">
        <f>'Agency Cover'!$B$3</f>
        <v>0</v>
      </c>
      <c r="C25" s="119"/>
      <c r="D25" s="119" t="s">
        <v>291</v>
      </c>
      <c r="E25" s="125">
        <f>COUNTIF(LesseeBase[AgreementCode],LesseeBase[[#This Row],[AgreementCode]])</f>
        <v>0</v>
      </c>
      <c r="F25" s="119"/>
      <c r="G25" s="125">
        <f>COUNTIF(LesseeBase[AgreementTitle],LesseeBase[[#This Row],[AgreementTitle]])</f>
        <v>0</v>
      </c>
      <c r="H25" s="119"/>
      <c r="I25" s="119"/>
      <c r="J25" s="119"/>
      <c r="K25" s="119"/>
      <c r="L25" s="121"/>
      <c r="M25" s="121"/>
      <c r="N25" s="121"/>
      <c r="O25" s="121"/>
      <c r="P25" s="121"/>
      <c r="Q25" s="121"/>
      <c r="R25" s="121"/>
      <c r="S25" s="126">
        <f>LEN(LesseeBase[[#This Row],[Comments]])</f>
        <v>0</v>
      </c>
      <c r="T25" s="122" t="str">
        <f>LesseeBase[[#This Row],[Multi-
Record]]</f>
        <v>None</v>
      </c>
      <c r="U25" s="119">
        <f>LesseeBase[[#This Row],[AgreementCode]]</f>
        <v>0</v>
      </c>
      <c r="V25" s="119" t="str">
        <f>LEFT(LesseeBase[[#This Row],[AgreementTitle]],50)</f>
        <v/>
      </c>
      <c r="W25" s="125">
        <f>LesseeBase[[#This Row],[AgreementType]]</f>
        <v>0</v>
      </c>
      <c r="X25" s="119"/>
      <c r="Y25"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25" s="125">
        <f>LesseeBase[[#This Row],[ProvisionType]]</f>
        <v>0</v>
      </c>
      <c r="AA25" s="121"/>
      <c r="AB25" s="121">
        <f>IF(LesseeBase[[#This Row],[Incl. Options
End Date]]&gt;0,LesseeBase[[#This Row],[Incl. Options
End Date]],LesseeBase[[#This Row],[Initial Period
End Date]])</f>
        <v>0</v>
      </c>
      <c r="AC25" s="123"/>
      <c r="AD25" s="119"/>
      <c r="AE25" s="119"/>
      <c r="AF25" s="124"/>
      <c r="AG25" s="121"/>
      <c r="AH25" s="121"/>
      <c r="AI25" s="125" t="e" cm="1">
        <f t="array" ref="AI25">ROUND(ROUND((LesseeBase[[#This Row],[Payment
EndDate]]-LesseeBase[[#This Row],[Payment
StartDate]])/365,2)*_xlfn.IFS(LesseeBase[[#This Row],[Payment
Frequency]]="MO",12,LesseeBase[[#This Row],[Payment
Frequency]]="QT",4,LesseeBase[[#This Row],[Payment
Frequency]]="SA",2,LesseeBase[[#This Row],[Payment
Frequency]]="AN",1),0)</f>
        <v>#N/A</v>
      </c>
      <c r="AJ25" s="123" t="e">
        <f>ROUND(LesseeBase[[#This Row],[Payment
Amount]]*LesseeBase[[#This Row],[Number of
 Payments]],2)</f>
        <v>#N/A</v>
      </c>
      <c r="AK25"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5" s="123" t="e">
        <f>IF(LesseeBase[[#This Row],[Multi-
Record2]]="Multi-Amount", "calc on import",LesseeBase[[#This Row],[Total Amount
of Payments]]-LesseeBase[[#This Row],[Present
Value]])</f>
        <v>#N/A</v>
      </c>
      <c r="AM25" s="123" t="e">
        <f>LesseeBase[[#This Row],[Present
Value]]</f>
        <v>#DIV/0!</v>
      </c>
      <c r="AN25" s="123"/>
      <c r="AO25" s="123" t="e">
        <f>IF(LesseeBase[[#This Row],[Multi-
Record2]]="Multi-Amount", "calc on import",LesseeBase[[#This Row],[Total
CapitalizedValue]]-LesseeBase[[#This Row],[Capitalized
ResidualValue]])</f>
        <v>#DIV/0!</v>
      </c>
      <c r="AP25" s="123" t="e">
        <f>LesseeBase[[#This Row],[Calc Amount
to Amortize]]</f>
        <v>#DIV/0!</v>
      </c>
      <c r="AQ25" s="119" t="s">
        <v>296</v>
      </c>
      <c r="AR25" s="125" t="str">
        <f>IF(LesseeBase[[#This Row],[RoU Asset
AmortizationMethod]] = "Declining Balance", "Enter %","")</f>
        <v/>
      </c>
      <c r="AS25" s="125" t="str">
        <f>IF(LesseeBase[[#This Row],[RoU Asset
AmortizationMethod]]="Usage Based","Enter Usage Base","")</f>
        <v/>
      </c>
      <c r="AT25" s="125" t="str">
        <f>IF(LesseeBase[[#This Row],[RoU Asset
AmortizationMethod]]="Usage Based","Enter Usage UoM","")</f>
        <v/>
      </c>
      <c r="AU25" s="121"/>
      <c r="AV25" s="121">
        <f>IF(LesseeBase[[#This Row],[Incl. Options
End Date]]&gt;0,LesseeBase[[#This Row],[Incl. Options
End Date]],LesseeBase[[#This Row],[Initial Period
End Date]])</f>
        <v>0</v>
      </c>
      <c r="AW25" s="122" t="s">
        <v>321</v>
      </c>
      <c r="AX25" s="125" cm="1">
        <f t="array" ref="AX25">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5" s="119"/>
      <c r="AZ25" s="122"/>
      <c r="BA25" s="119"/>
      <c r="BB25" s="119"/>
      <c r="BC25" s="119"/>
      <c r="BD25" s="119"/>
      <c r="BE25" s="119"/>
      <c r="BF25" s="119"/>
      <c r="BG25" s="119"/>
      <c r="BH25" s="119"/>
    </row>
    <row r="26" spans="1:60" x14ac:dyDescent="0.25">
      <c r="A26" s="119" t="s">
        <v>509</v>
      </c>
      <c r="B26" s="119">
        <f>'Agency Cover'!$B$3</f>
        <v>0</v>
      </c>
      <c r="C26" s="119"/>
      <c r="D26" s="119" t="s">
        <v>291</v>
      </c>
      <c r="E26" s="125">
        <f>COUNTIF(LesseeBase[AgreementCode],LesseeBase[[#This Row],[AgreementCode]])</f>
        <v>0</v>
      </c>
      <c r="F26" s="119"/>
      <c r="G26" s="125">
        <f>COUNTIF(LesseeBase[AgreementTitle],LesseeBase[[#This Row],[AgreementTitle]])</f>
        <v>0</v>
      </c>
      <c r="H26" s="119"/>
      <c r="I26" s="119"/>
      <c r="J26" s="119"/>
      <c r="K26" s="119"/>
      <c r="L26" s="121"/>
      <c r="M26" s="121"/>
      <c r="N26" s="121"/>
      <c r="O26" s="121"/>
      <c r="P26" s="121"/>
      <c r="Q26" s="121"/>
      <c r="R26" s="121"/>
      <c r="S26" s="126">
        <f>LEN(LesseeBase[[#This Row],[Comments]])</f>
        <v>0</v>
      </c>
      <c r="T26" s="122" t="str">
        <f>LesseeBase[[#This Row],[Multi-
Record]]</f>
        <v>None</v>
      </c>
      <c r="U26" s="119">
        <f>LesseeBase[[#This Row],[AgreementCode]]</f>
        <v>0</v>
      </c>
      <c r="V26" s="119" t="str">
        <f>LEFT(LesseeBase[[#This Row],[AgreementTitle]],50)</f>
        <v/>
      </c>
      <c r="W26" s="125">
        <f>LesseeBase[[#This Row],[AgreementType]]</f>
        <v>0</v>
      </c>
      <c r="X26" s="119"/>
      <c r="Y26"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26" s="125">
        <f>LesseeBase[[#This Row],[ProvisionType]]</f>
        <v>0</v>
      </c>
      <c r="AA26" s="121"/>
      <c r="AB26" s="121">
        <f>IF(LesseeBase[[#This Row],[Incl. Options
End Date]]&gt;0,LesseeBase[[#This Row],[Incl. Options
End Date]],LesseeBase[[#This Row],[Initial Period
End Date]])</f>
        <v>0</v>
      </c>
      <c r="AC26" s="123"/>
      <c r="AD26" s="119"/>
      <c r="AE26" s="119"/>
      <c r="AF26" s="124"/>
      <c r="AG26" s="121"/>
      <c r="AH26" s="121"/>
      <c r="AI26" s="125" t="e" cm="1">
        <f t="array" ref="AI26">ROUND(ROUND((LesseeBase[[#This Row],[Payment
EndDate]]-LesseeBase[[#This Row],[Payment
StartDate]])/365,2)*_xlfn.IFS(LesseeBase[[#This Row],[Payment
Frequency]]="MO",12,LesseeBase[[#This Row],[Payment
Frequency]]="QT",4,LesseeBase[[#This Row],[Payment
Frequency]]="SA",2,LesseeBase[[#This Row],[Payment
Frequency]]="AN",1),0)</f>
        <v>#N/A</v>
      </c>
      <c r="AJ26" s="123" t="e">
        <f>ROUND(LesseeBase[[#This Row],[Payment
Amount]]*LesseeBase[[#This Row],[Number of
 Payments]],2)</f>
        <v>#N/A</v>
      </c>
      <c r="AK26"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6" s="123" t="e">
        <f>IF(LesseeBase[[#This Row],[Multi-
Record2]]="Multi-Amount", "calc on import",LesseeBase[[#This Row],[Total Amount
of Payments]]-LesseeBase[[#This Row],[Present
Value]])</f>
        <v>#N/A</v>
      </c>
      <c r="AM26" s="123" t="e">
        <f>LesseeBase[[#This Row],[Present
Value]]</f>
        <v>#DIV/0!</v>
      </c>
      <c r="AN26" s="123"/>
      <c r="AO26" s="123" t="e">
        <f>IF(LesseeBase[[#This Row],[Multi-
Record2]]="Multi-Amount", "calc on import",LesseeBase[[#This Row],[Total
CapitalizedValue]]-LesseeBase[[#This Row],[Capitalized
ResidualValue]])</f>
        <v>#DIV/0!</v>
      </c>
      <c r="AP26" s="123" t="e">
        <f>LesseeBase[[#This Row],[Calc Amount
to Amortize]]</f>
        <v>#DIV/0!</v>
      </c>
      <c r="AQ26" s="119" t="s">
        <v>296</v>
      </c>
      <c r="AR26" s="125" t="str">
        <f>IF(LesseeBase[[#This Row],[RoU Asset
AmortizationMethod]] = "Declining Balance", "Enter %","")</f>
        <v/>
      </c>
      <c r="AS26" s="125" t="str">
        <f>IF(LesseeBase[[#This Row],[RoU Asset
AmortizationMethod]]="Usage Based","Enter Usage Base","")</f>
        <v/>
      </c>
      <c r="AT26" s="125" t="str">
        <f>IF(LesseeBase[[#This Row],[RoU Asset
AmortizationMethod]]="Usage Based","Enter Usage UoM","")</f>
        <v/>
      </c>
      <c r="AU26" s="121"/>
      <c r="AV26" s="121">
        <f>IF(LesseeBase[[#This Row],[Incl. Options
End Date]]&gt;0,LesseeBase[[#This Row],[Incl. Options
End Date]],LesseeBase[[#This Row],[Initial Period
End Date]])</f>
        <v>0</v>
      </c>
      <c r="AW26" s="122" t="s">
        <v>321</v>
      </c>
      <c r="AX26" s="125" cm="1">
        <f t="array" ref="AX26">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6" s="119"/>
      <c r="AZ26" s="122"/>
      <c r="BA26" s="119"/>
      <c r="BB26" s="119"/>
      <c r="BC26" s="119"/>
      <c r="BD26" s="119"/>
      <c r="BE26" s="119"/>
      <c r="BF26" s="119"/>
      <c r="BG26" s="119"/>
      <c r="BH26" s="119"/>
    </row>
    <row r="27" spans="1:60" x14ac:dyDescent="0.25">
      <c r="A27" s="119" t="s">
        <v>509</v>
      </c>
      <c r="B27" s="119">
        <f>'Agency Cover'!$B$3</f>
        <v>0</v>
      </c>
      <c r="C27" s="119"/>
      <c r="D27" s="119" t="s">
        <v>291</v>
      </c>
      <c r="E27" s="125">
        <f>COUNTIF(LesseeBase[AgreementCode],LesseeBase[[#This Row],[AgreementCode]])</f>
        <v>0</v>
      </c>
      <c r="F27" s="119"/>
      <c r="G27" s="125">
        <f>COUNTIF(LesseeBase[AgreementTitle],LesseeBase[[#This Row],[AgreementTitle]])</f>
        <v>0</v>
      </c>
      <c r="H27" s="119"/>
      <c r="I27" s="119"/>
      <c r="J27" s="119"/>
      <c r="K27" s="119"/>
      <c r="L27" s="121"/>
      <c r="M27" s="121"/>
      <c r="N27" s="121"/>
      <c r="O27" s="121"/>
      <c r="P27" s="121"/>
      <c r="Q27" s="121"/>
      <c r="R27" s="121"/>
      <c r="S27" s="126">
        <f>LEN(LesseeBase[[#This Row],[Comments]])</f>
        <v>0</v>
      </c>
      <c r="T27" s="122" t="str">
        <f>LesseeBase[[#This Row],[Multi-
Record]]</f>
        <v>None</v>
      </c>
      <c r="U27" s="119">
        <f>LesseeBase[[#This Row],[AgreementCode]]</f>
        <v>0</v>
      </c>
      <c r="V27" s="119" t="str">
        <f>LEFT(LesseeBase[[#This Row],[AgreementTitle]],50)</f>
        <v/>
      </c>
      <c r="W27" s="125">
        <f>LesseeBase[[#This Row],[AgreementType]]</f>
        <v>0</v>
      </c>
      <c r="X27" s="119"/>
      <c r="Y27"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27" s="125">
        <f>LesseeBase[[#This Row],[ProvisionType]]</f>
        <v>0</v>
      </c>
      <c r="AA27" s="121"/>
      <c r="AB27" s="121">
        <f>IF(LesseeBase[[#This Row],[Incl. Options
End Date]]&gt;0,LesseeBase[[#This Row],[Incl. Options
End Date]],LesseeBase[[#This Row],[Initial Period
End Date]])</f>
        <v>0</v>
      </c>
      <c r="AC27" s="123"/>
      <c r="AD27" s="119"/>
      <c r="AE27" s="119"/>
      <c r="AF27" s="124"/>
      <c r="AG27" s="121"/>
      <c r="AH27" s="121"/>
      <c r="AI27" s="125" t="e" cm="1">
        <f t="array" ref="AI27">ROUND(ROUND((LesseeBase[[#This Row],[Payment
EndDate]]-LesseeBase[[#This Row],[Payment
StartDate]])/365,2)*_xlfn.IFS(LesseeBase[[#This Row],[Payment
Frequency]]="MO",12,LesseeBase[[#This Row],[Payment
Frequency]]="QT",4,LesseeBase[[#This Row],[Payment
Frequency]]="SA",2,LesseeBase[[#This Row],[Payment
Frequency]]="AN",1),0)</f>
        <v>#N/A</v>
      </c>
      <c r="AJ27" s="123" t="e">
        <f>ROUND(LesseeBase[[#This Row],[Payment
Amount]]*LesseeBase[[#This Row],[Number of
 Payments]],2)</f>
        <v>#N/A</v>
      </c>
      <c r="AK27"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7" s="123" t="e">
        <f>IF(LesseeBase[[#This Row],[Multi-
Record2]]="Multi-Amount", "calc on import",LesseeBase[[#This Row],[Total Amount
of Payments]]-LesseeBase[[#This Row],[Present
Value]])</f>
        <v>#N/A</v>
      </c>
      <c r="AM27" s="123" t="e">
        <f>LesseeBase[[#This Row],[Present
Value]]</f>
        <v>#DIV/0!</v>
      </c>
      <c r="AN27" s="123"/>
      <c r="AO27" s="123" t="e">
        <f>IF(LesseeBase[[#This Row],[Multi-
Record2]]="Multi-Amount", "calc on import",LesseeBase[[#This Row],[Total
CapitalizedValue]]-LesseeBase[[#This Row],[Capitalized
ResidualValue]])</f>
        <v>#DIV/0!</v>
      </c>
      <c r="AP27" s="123" t="e">
        <f>LesseeBase[[#This Row],[Calc Amount
to Amortize]]</f>
        <v>#DIV/0!</v>
      </c>
      <c r="AQ27" s="119" t="s">
        <v>296</v>
      </c>
      <c r="AR27" s="125" t="str">
        <f>IF(LesseeBase[[#This Row],[RoU Asset
AmortizationMethod]] = "Declining Balance", "Enter %","")</f>
        <v/>
      </c>
      <c r="AS27" s="125" t="str">
        <f>IF(LesseeBase[[#This Row],[RoU Asset
AmortizationMethod]]="Usage Based","Enter Usage Base","")</f>
        <v/>
      </c>
      <c r="AT27" s="125" t="str">
        <f>IF(LesseeBase[[#This Row],[RoU Asset
AmortizationMethod]]="Usage Based","Enter Usage UoM","")</f>
        <v/>
      </c>
      <c r="AU27" s="121"/>
      <c r="AV27" s="121">
        <f>IF(LesseeBase[[#This Row],[Incl. Options
End Date]]&gt;0,LesseeBase[[#This Row],[Incl. Options
End Date]],LesseeBase[[#This Row],[Initial Period
End Date]])</f>
        <v>0</v>
      </c>
      <c r="AW27" s="122" t="s">
        <v>321</v>
      </c>
      <c r="AX27" s="125" cm="1">
        <f t="array" ref="AX27">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7" s="119"/>
      <c r="AZ27" s="122"/>
      <c r="BA27" s="119"/>
      <c r="BB27" s="119"/>
      <c r="BC27" s="119"/>
      <c r="BD27" s="119"/>
      <c r="BE27" s="119"/>
      <c r="BF27" s="119"/>
      <c r="BG27" s="119"/>
      <c r="BH27" s="119"/>
    </row>
    <row r="28" spans="1:60" x14ac:dyDescent="0.25">
      <c r="A28" s="119" t="s">
        <v>509</v>
      </c>
      <c r="B28" s="119">
        <f>'Agency Cover'!$B$3</f>
        <v>0</v>
      </c>
      <c r="C28" s="119"/>
      <c r="D28" s="119" t="s">
        <v>291</v>
      </c>
      <c r="E28" s="125">
        <f>COUNTIF(LesseeBase[AgreementCode],LesseeBase[[#This Row],[AgreementCode]])</f>
        <v>0</v>
      </c>
      <c r="F28" s="119"/>
      <c r="G28" s="125">
        <f>COUNTIF(LesseeBase[AgreementTitle],LesseeBase[[#This Row],[AgreementTitle]])</f>
        <v>0</v>
      </c>
      <c r="H28" s="119"/>
      <c r="I28" s="119"/>
      <c r="J28" s="119"/>
      <c r="K28" s="119"/>
      <c r="L28" s="121"/>
      <c r="M28" s="121"/>
      <c r="N28" s="121"/>
      <c r="O28" s="121"/>
      <c r="P28" s="121"/>
      <c r="Q28" s="121"/>
      <c r="R28" s="121"/>
      <c r="S28" s="126">
        <f>LEN(LesseeBase[[#This Row],[Comments]])</f>
        <v>0</v>
      </c>
      <c r="T28" s="122" t="str">
        <f>LesseeBase[[#This Row],[Multi-
Record]]</f>
        <v>None</v>
      </c>
      <c r="U28" s="119">
        <f>LesseeBase[[#This Row],[AgreementCode]]</f>
        <v>0</v>
      </c>
      <c r="V28" s="119" t="str">
        <f>LEFT(LesseeBase[[#This Row],[AgreementTitle]],50)</f>
        <v/>
      </c>
      <c r="W28" s="125">
        <f>LesseeBase[[#This Row],[AgreementType]]</f>
        <v>0</v>
      </c>
      <c r="X28" s="119"/>
      <c r="Y28"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28" s="125">
        <f>LesseeBase[[#This Row],[ProvisionType]]</f>
        <v>0</v>
      </c>
      <c r="AA28" s="121"/>
      <c r="AB28" s="121">
        <f>IF(LesseeBase[[#This Row],[Incl. Options
End Date]]&gt;0,LesseeBase[[#This Row],[Incl. Options
End Date]],LesseeBase[[#This Row],[Initial Period
End Date]])</f>
        <v>0</v>
      </c>
      <c r="AC28" s="123"/>
      <c r="AD28" s="119"/>
      <c r="AE28" s="119"/>
      <c r="AF28" s="124"/>
      <c r="AG28" s="121"/>
      <c r="AH28" s="121"/>
      <c r="AI28" s="125" t="e" cm="1">
        <f t="array" ref="AI28">ROUND(ROUND((LesseeBase[[#This Row],[Payment
EndDate]]-LesseeBase[[#This Row],[Payment
StartDate]])/365,2)*_xlfn.IFS(LesseeBase[[#This Row],[Payment
Frequency]]="MO",12,LesseeBase[[#This Row],[Payment
Frequency]]="QT",4,LesseeBase[[#This Row],[Payment
Frequency]]="SA",2,LesseeBase[[#This Row],[Payment
Frequency]]="AN",1),0)</f>
        <v>#N/A</v>
      </c>
      <c r="AJ28" s="123" t="e">
        <f>ROUND(LesseeBase[[#This Row],[Payment
Amount]]*LesseeBase[[#This Row],[Number of
 Payments]],2)</f>
        <v>#N/A</v>
      </c>
      <c r="AK28"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8" s="123" t="e">
        <f>IF(LesseeBase[[#This Row],[Multi-
Record2]]="Multi-Amount", "calc on import",LesseeBase[[#This Row],[Total Amount
of Payments]]-LesseeBase[[#This Row],[Present
Value]])</f>
        <v>#N/A</v>
      </c>
      <c r="AM28" s="123" t="e">
        <f>LesseeBase[[#This Row],[Present
Value]]</f>
        <v>#DIV/0!</v>
      </c>
      <c r="AN28" s="123"/>
      <c r="AO28" s="123" t="e">
        <f>IF(LesseeBase[[#This Row],[Multi-
Record2]]="Multi-Amount", "calc on import",LesseeBase[[#This Row],[Total
CapitalizedValue]]-LesseeBase[[#This Row],[Capitalized
ResidualValue]])</f>
        <v>#DIV/0!</v>
      </c>
      <c r="AP28" s="123" t="e">
        <f>LesseeBase[[#This Row],[Calc Amount
to Amortize]]</f>
        <v>#DIV/0!</v>
      </c>
      <c r="AQ28" s="119" t="s">
        <v>296</v>
      </c>
      <c r="AR28" s="125" t="str">
        <f>IF(LesseeBase[[#This Row],[RoU Asset
AmortizationMethod]] = "Declining Balance", "Enter %","")</f>
        <v/>
      </c>
      <c r="AS28" s="125" t="str">
        <f>IF(LesseeBase[[#This Row],[RoU Asset
AmortizationMethod]]="Usage Based","Enter Usage Base","")</f>
        <v/>
      </c>
      <c r="AT28" s="125" t="str">
        <f>IF(LesseeBase[[#This Row],[RoU Asset
AmortizationMethod]]="Usage Based","Enter Usage UoM","")</f>
        <v/>
      </c>
      <c r="AU28" s="121"/>
      <c r="AV28" s="121">
        <f>IF(LesseeBase[[#This Row],[Incl. Options
End Date]]&gt;0,LesseeBase[[#This Row],[Incl. Options
End Date]],LesseeBase[[#This Row],[Initial Period
End Date]])</f>
        <v>0</v>
      </c>
      <c r="AW28" s="122" t="s">
        <v>321</v>
      </c>
      <c r="AX28" s="125" cm="1">
        <f t="array" ref="AX28">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8" s="119"/>
      <c r="AZ28" s="122"/>
      <c r="BA28" s="119"/>
      <c r="BB28" s="119"/>
      <c r="BC28" s="119"/>
      <c r="BD28" s="119"/>
      <c r="BE28" s="119"/>
      <c r="BF28" s="119"/>
      <c r="BG28" s="119"/>
      <c r="BH28" s="119"/>
    </row>
    <row r="29" spans="1:60" x14ac:dyDescent="0.25">
      <c r="A29" s="119" t="s">
        <v>509</v>
      </c>
      <c r="B29" s="119">
        <f>'Agency Cover'!$B$3</f>
        <v>0</v>
      </c>
      <c r="C29" s="119"/>
      <c r="D29" s="119" t="s">
        <v>291</v>
      </c>
      <c r="E29" s="125">
        <f>COUNTIF(LesseeBase[AgreementCode],LesseeBase[[#This Row],[AgreementCode]])</f>
        <v>0</v>
      </c>
      <c r="F29" s="119"/>
      <c r="G29" s="125">
        <f>COUNTIF(LesseeBase[AgreementTitle],LesseeBase[[#This Row],[AgreementTitle]])</f>
        <v>0</v>
      </c>
      <c r="H29" s="119"/>
      <c r="I29" s="119"/>
      <c r="J29" s="119"/>
      <c r="K29" s="119"/>
      <c r="L29" s="121"/>
      <c r="M29" s="121"/>
      <c r="N29" s="121"/>
      <c r="O29" s="121"/>
      <c r="P29" s="121"/>
      <c r="Q29" s="121"/>
      <c r="R29" s="121"/>
      <c r="S29" s="126">
        <f>LEN(LesseeBase[[#This Row],[Comments]])</f>
        <v>0</v>
      </c>
      <c r="T29" s="122" t="str">
        <f>LesseeBase[[#This Row],[Multi-
Record]]</f>
        <v>None</v>
      </c>
      <c r="U29" s="119">
        <f>LesseeBase[[#This Row],[AgreementCode]]</f>
        <v>0</v>
      </c>
      <c r="V29" s="119" t="str">
        <f>LEFT(LesseeBase[[#This Row],[AgreementTitle]],50)</f>
        <v/>
      </c>
      <c r="W29" s="125">
        <f>LesseeBase[[#This Row],[AgreementType]]</f>
        <v>0</v>
      </c>
      <c r="X29" s="119"/>
      <c r="Y29" s="119" t="s">
        <v>291</v>
      </c>
      <c r="Z29" s="125">
        <f>LesseeBase[[#This Row],[ProvisionType]]</f>
        <v>0</v>
      </c>
      <c r="AA29" s="121"/>
      <c r="AB29" s="121">
        <f>IF(LesseeBase[[#This Row],[Incl. Options
End Date]]&gt;0,LesseeBase[[#This Row],[Incl. Options
End Date]],LesseeBase[[#This Row],[Initial Period
End Date]])</f>
        <v>0</v>
      </c>
      <c r="AC29" s="123"/>
      <c r="AD29" s="119"/>
      <c r="AE29" s="119"/>
      <c r="AF29" s="124"/>
      <c r="AG29" s="121"/>
      <c r="AH29" s="121"/>
      <c r="AI29" s="125" t="e" cm="1">
        <f t="array" ref="AI29">ROUND(ROUND((LesseeBase[[#This Row],[Payment
EndDate]]-LesseeBase[[#This Row],[Payment
StartDate]])/365,2)*_xlfn.IFS(LesseeBase[[#This Row],[Payment
Frequency]]="MO",12,LesseeBase[[#This Row],[Payment
Frequency]]="QT",4,LesseeBase[[#This Row],[Payment
Frequency]]="SA",2,LesseeBase[[#This Row],[Payment
Frequency]]="AN",1),0)</f>
        <v>#N/A</v>
      </c>
      <c r="AJ29" s="123" t="e">
        <f>ROUND(LesseeBase[[#This Row],[Payment
Amount]]*LesseeBase[[#This Row],[Number of
 Payments]],2)</f>
        <v>#N/A</v>
      </c>
      <c r="AK29"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29" s="123" t="e">
        <f>IF(LesseeBase[[#This Row],[Multi-
Record2]]="Multi-Amount", "calc on import",LesseeBase[[#This Row],[Total Amount
of Payments]]-LesseeBase[[#This Row],[Present
Value]])</f>
        <v>#N/A</v>
      </c>
      <c r="AM29" s="123" t="e">
        <f>LesseeBase[[#This Row],[Present
Value]]</f>
        <v>#DIV/0!</v>
      </c>
      <c r="AN29" s="123"/>
      <c r="AO29" s="123" t="e">
        <f>IF(LesseeBase[[#This Row],[Multi-
Record2]]="Multi-Amount", "calc on import",LesseeBase[[#This Row],[Total
CapitalizedValue]]-LesseeBase[[#This Row],[Capitalized
ResidualValue]])</f>
        <v>#DIV/0!</v>
      </c>
      <c r="AP29" s="123" t="e">
        <f>LesseeBase[[#This Row],[Calc Amount
to Amortize]]</f>
        <v>#DIV/0!</v>
      </c>
      <c r="AQ29" s="119" t="s">
        <v>296</v>
      </c>
      <c r="AR29" s="125" t="str">
        <f>IF(LesseeBase[[#This Row],[RoU Asset
AmortizationMethod]] = "Declining Balance", "Enter %","")</f>
        <v/>
      </c>
      <c r="AS29" s="125" t="str">
        <f>IF(LesseeBase[[#This Row],[RoU Asset
AmortizationMethod]]="Usage Based","Enter Usage Base","")</f>
        <v/>
      </c>
      <c r="AT29" s="125" t="str">
        <f>IF(LesseeBase[[#This Row],[RoU Asset
AmortizationMethod]]="Usage Based","Enter Usage UoM","")</f>
        <v/>
      </c>
      <c r="AU29" s="121"/>
      <c r="AV29" s="121">
        <f>IF(LesseeBase[[#This Row],[Incl. Options
End Date]]&gt;0,LesseeBase[[#This Row],[Incl. Options
End Date]],LesseeBase[[#This Row],[Initial Period
End Date]])</f>
        <v>0</v>
      </c>
      <c r="AW29" s="122" t="s">
        <v>321</v>
      </c>
      <c r="AX29" s="125" cm="1">
        <f t="array" ref="AX29">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29" s="119"/>
      <c r="AZ29" s="122"/>
      <c r="BA29" s="119"/>
      <c r="BB29" s="119"/>
      <c r="BC29" s="119"/>
      <c r="BD29" s="119"/>
      <c r="BE29" s="119"/>
      <c r="BF29" s="119"/>
      <c r="BG29" s="119"/>
      <c r="BH29" s="119"/>
    </row>
    <row r="30" spans="1:60" x14ac:dyDescent="0.25">
      <c r="A30" s="119" t="s">
        <v>509</v>
      </c>
      <c r="B30" s="119">
        <f>'Agency Cover'!$B$3</f>
        <v>0</v>
      </c>
      <c r="C30" s="119"/>
      <c r="D30" s="119" t="s">
        <v>291</v>
      </c>
      <c r="E30" s="125">
        <f>COUNTIF(LesseeBase[AgreementCode],LesseeBase[[#This Row],[AgreementCode]])</f>
        <v>0</v>
      </c>
      <c r="F30" s="119"/>
      <c r="G30" s="125">
        <f>COUNTIF(LesseeBase[AgreementTitle],LesseeBase[[#This Row],[AgreementTitle]])</f>
        <v>0</v>
      </c>
      <c r="H30" s="119"/>
      <c r="I30" s="119"/>
      <c r="J30" s="119"/>
      <c r="K30" s="119"/>
      <c r="L30" s="121"/>
      <c r="M30" s="121"/>
      <c r="N30" s="121"/>
      <c r="O30" s="121"/>
      <c r="P30" s="121"/>
      <c r="Q30" s="121"/>
      <c r="R30" s="121"/>
      <c r="S30" s="126">
        <f>LEN(LesseeBase[[#This Row],[Comments]])</f>
        <v>0</v>
      </c>
      <c r="T30" s="122" t="str">
        <f>LesseeBase[[#This Row],[Multi-
Record]]</f>
        <v>None</v>
      </c>
      <c r="U30" s="119">
        <f>LesseeBase[[#This Row],[AgreementCode]]</f>
        <v>0</v>
      </c>
      <c r="V30" s="119" t="str">
        <f>LEFT(LesseeBase[[#This Row],[AgreementTitle]],50)</f>
        <v/>
      </c>
      <c r="W30" s="125">
        <f>LesseeBase[[#This Row],[AgreementType]]</f>
        <v>0</v>
      </c>
      <c r="X30" s="119"/>
      <c r="Y30"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0" s="125">
        <f>LesseeBase[[#This Row],[ProvisionType]]</f>
        <v>0</v>
      </c>
      <c r="AA30" s="121"/>
      <c r="AB30" s="121">
        <f>IF(LesseeBase[[#This Row],[Incl. Options
End Date]]&gt;0,LesseeBase[[#This Row],[Incl. Options
End Date]],LesseeBase[[#This Row],[Initial Period
End Date]])</f>
        <v>0</v>
      </c>
      <c r="AC30" s="123"/>
      <c r="AD30" s="119"/>
      <c r="AE30" s="119"/>
      <c r="AF30" s="124"/>
      <c r="AG30" s="121"/>
      <c r="AH30" s="121"/>
      <c r="AI30" s="125" t="e" cm="1">
        <f t="array" ref="AI30">ROUND(ROUND((LesseeBase[[#This Row],[Payment
EndDate]]-LesseeBase[[#This Row],[Payment
StartDate]])/365,2)*_xlfn.IFS(LesseeBase[[#This Row],[Payment
Frequency]]="MO",12,LesseeBase[[#This Row],[Payment
Frequency]]="QT",4,LesseeBase[[#This Row],[Payment
Frequency]]="SA",2,LesseeBase[[#This Row],[Payment
Frequency]]="AN",1),0)</f>
        <v>#N/A</v>
      </c>
      <c r="AJ30" s="123" t="e">
        <f>ROUND(LesseeBase[[#This Row],[Payment
Amount]]*LesseeBase[[#This Row],[Number of
 Payments]],2)</f>
        <v>#N/A</v>
      </c>
      <c r="AK30"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0" s="123" t="e">
        <f>IF(LesseeBase[[#This Row],[Multi-
Record2]]="Multi-Amount", "calc on import",LesseeBase[[#This Row],[Total Amount
of Payments]]-LesseeBase[[#This Row],[Present
Value]])</f>
        <v>#N/A</v>
      </c>
      <c r="AM30" s="123" t="e">
        <f>LesseeBase[[#This Row],[Present
Value]]</f>
        <v>#DIV/0!</v>
      </c>
      <c r="AN30" s="123"/>
      <c r="AO30" s="123" t="e">
        <f>IF(LesseeBase[[#This Row],[Multi-
Record2]]="Multi-Amount", "calc on import",LesseeBase[[#This Row],[Total
CapitalizedValue]]-LesseeBase[[#This Row],[Capitalized
ResidualValue]])</f>
        <v>#DIV/0!</v>
      </c>
      <c r="AP30" s="123" t="e">
        <f>LesseeBase[[#This Row],[Calc Amount
to Amortize]]</f>
        <v>#DIV/0!</v>
      </c>
      <c r="AQ30" s="119" t="s">
        <v>296</v>
      </c>
      <c r="AR30" s="125" t="str">
        <f>IF(LesseeBase[[#This Row],[RoU Asset
AmortizationMethod]] = "Declining Balance", "Enter %","")</f>
        <v/>
      </c>
      <c r="AS30" s="125" t="str">
        <f>IF(LesseeBase[[#This Row],[RoU Asset
AmortizationMethod]]="Usage Based","Enter Usage Base","")</f>
        <v/>
      </c>
      <c r="AT30" s="125" t="str">
        <f>IF(LesseeBase[[#This Row],[RoU Asset
AmortizationMethod]]="Usage Based","Enter Usage UoM","")</f>
        <v/>
      </c>
      <c r="AU30" s="121"/>
      <c r="AV30" s="121">
        <f>IF(LesseeBase[[#This Row],[Incl. Options
End Date]]&gt;0,LesseeBase[[#This Row],[Incl. Options
End Date]],LesseeBase[[#This Row],[Initial Period
End Date]])</f>
        <v>0</v>
      </c>
      <c r="AW30" s="122" t="s">
        <v>321</v>
      </c>
      <c r="AX30" s="125" cm="1">
        <f t="array" ref="AX30">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0" s="119"/>
      <c r="AZ30" s="122"/>
      <c r="BA30" s="119"/>
      <c r="BB30" s="119"/>
      <c r="BC30" s="119"/>
      <c r="BD30" s="119"/>
      <c r="BE30" s="119"/>
      <c r="BF30" s="119"/>
      <c r="BG30" s="119"/>
      <c r="BH30" s="119"/>
    </row>
    <row r="31" spans="1:60" x14ac:dyDescent="0.25">
      <c r="A31" s="119" t="s">
        <v>509</v>
      </c>
      <c r="B31" s="119">
        <f>'Agency Cover'!$B$3</f>
        <v>0</v>
      </c>
      <c r="C31" s="119"/>
      <c r="D31" s="119" t="s">
        <v>291</v>
      </c>
      <c r="E31" s="125">
        <f>COUNTIF(LesseeBase[AgreementCode],LesseeBase[[#This Row],[AgreementCode]])</f>
        <v>0</v>
      </c>
      <c r="F31" s="119"/>
      <c r="G31" s="125">
        <f>COUNTIF(LesseeBase[AgreementTitle],LesseeBase[[#This Row],[AgreementTitle]])</f>
        <v>0</v>
      </c>
      <c r="H31" s="119"/>
      <c r="I31" s="119"/>
      <c r="J31" s="119"/>
      <c r="K31" s="119"/>
      <c r="L31" s="121"/>
      <c r="M31" s="121"/>
      <c r="N31" s="121"/>
      <c r="O31" s="121"/>
      <c r="P31" s="121"/>
      <c r="Q31" s="121"/>
      <c r="R31" s="121"/>
      <c r="S31" s="126">
        <f>LEN(LesseeBase[[#This Row],[Comments]])</f>
        <v>0</v>
      </c>
      <c r="T31" s="122" t="str">
        <f>LesseeBase[[#This Row],[Multi-
Record]]</f>
        <v>None</v>
      </c>
      <c r="U31" s="119">
        <f>LesseeBase[[#This Row],[AgreementCode]]</f>
        <v>0</v>
      </c>
      <c r="V31" s="119" t="str">
        <f>LEFT(LesseeBase[[#This Row],[AgreementTitle]],50)</f>
        <v/>
      </c>
      <c r="W31" s="125">
        <f>LesseeBase[[#This Row],[AgreementType]]</f>
        <v>0</v>
      </c>
      <c r="X31" s="119"/>
      <c r="Y31"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1" s="125">
        <f>LesseeBase[[#This Row],[ProvisionType]]</f>
        <v>0</v>
      </c>
      <c r="AA31" s="121"/>
      <c r="AB31" s="121">
        <f>IF(LesseeBase[[#This Row],[Incl. Options
End Date]]&gt;0,LesseeBase[[#This Row],[Incl. Options
End Date]],LesseeBase[[#This Row],[Initial Period
End Date]])</f>
        <v>0</v>
      </c>
      <c r="AC31" s="123"/>
      <c r="AD31" s="119"/>
      <c r="AE31" s="119"/>
      <c r="AF31" s="124"/>
      <c r="AG31" s="121"/>
      <c r="AH31" s="121"/>
      <c r="AI31" s="125" t="e" cm="1">
        <f t="array" ref="AI31">ROUND(ROUND((LesseeBase[[#This Row],[Payment
EndDate]]-LesseeBase[[#This Row],[Payment
StartDate]])/365,2)*_xlfn.IFS(LesseeBase[[#This Row],[Payment
Frequency]]="MO",12,LesseeBase[[#This Row],[Payment
Frequency]]="QT",4,LesseeBase[[#This Row],[Payment
Frequency]]="SA",2,LesseeBase[[#This Row],[Payment
Frequency]]="AN",1),0)</f>
        <v>#N/A</v>
      </c>
      <c r="AJ31" s="123" t="e">
        <f>ROUND(LesseeBase[[#This Row],[Payment
Amount]]*LesseeBase[[#This Row],[Number of
 Payments]],2)</f>
        <v>#N/A</v>
      </c>
      <c r="AK31"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1" s="123" t="e">
        <f>IF(LesseeBase[[#This Row],[Multi-
Record2]]="Multi-Amount", "calc on import",LesseeBase[[#This Row],[Total Amount
of Payments]]-LesseeBase[[#This Row],[Present
Value]])</f>
        <v>#N/A</v>
      </c>
      <c r="AM31" s="123" t="e">
        <f>LesseeBase[[#This Row],[Present
Value]]</f>
        <v>#DIV/0!</v>
      </c>
      <c r="AN31" s="123"/>
      <c r="AO31" s="123" t="e">
        <f>IF(LesseeBase[[#This Row],[Multi-
Record2]]="Multi-Amount", "calc on import",LesseeBase[[#This Row],[Total
CapitalizedValue]]-LesseeBase[[#This Row],[Capitalized
ResidualValue]])</f>
        <v>#DIV/0!</v>
      </c>
      <c r="AP31" s="123" t="e">
        <f>LesseeBase[[#This Row],[Calc Amount
to Amortize]]</f>
        <v>#DIV/0!</v>
      </c>
      <c r="AQ31" s="119" t="s">
        <v>296</v>
      </c>
      <c r="AR31" s="125" t="str">
        <f>IF(LesseeBase[[#This Row],[RoU Asset
AmortizationMethod]] = "Declining Balance", "Enter %","")</f>
        <v/>
      </c>
      <c r="AS31" s="125" t="str">
        <f>IF(LesseeBase[[#This Row],[RoU Asset
AmortizationMethod]]="Usage Based","Enter Usage Base","")</f>
        <v/>
      </c>
      <c r="AT31" s="125" t="str">
        <f>IF(LesseeBase[[#This Row],[RoU Asset
AmortizationMethod]]="Usage Based","Enter Usage UoM","")</f>
        <v/>
      </c>
      <c r="AU31" s="121"/>
      <c r="AV31" s="121">
        <f>IF(LesseeBase[[#This Row],[Incl. Options
End Date]]&gt;0,LesseeBase[[#This Row],[Incl. Options
End Date]],LesseeBase[[#This Row],[Initial Period
End Date]])</f>
        <v>0</v>
      </c>
      <c r="AW31" s="122" t="s">
        <v>321</v>
      </c>
      <c r="AX31" s="125" cm="1">
        <f t="array" ref="AX31">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1" s="119"/>
      <c r="AZ31" s="122"/>
      <c r="BA31" s="119"/>
      <c r="BB31" s="119"/>
      <c r="BC31" s="119"/>
      <c r="BD31" s="119"/>
      <c r="BE31" s="119"/>
      <c r="BF31" s="119"/>
      <c r="BG31" s="119"/>
      <c r="BH31" s="119"/>
    </row>
    <row r="32" spans="1:60" x14ac:dyDescent="0.25">
      <c r="A32" s="119" t="s">
        <v>509</v>
      </c>
      <c r="B32" s="119">
        <f>'Agency Cover'!$B$3</f>
        <v>0</v>
      </c>
      <c r="C32" s="119"/>
      <c r="D32" s="119" t="s">
        <v>291</v>
      </c>
      <c r="E32" s="125">
        <f>COUNTIF(LesseeBase[AgreementCode],LesseeBase[[#This Row],[AgreementCode]])</f>
        <v>0</v>
      </c>
      <c r="F32" s="119"/>
      <c r="G32" s="125">
        <f>COUNTIF(LesseeBase[AgreementTitle],LesseeBase[[#This Row],[AgreementTitle]])</f>
        <v>0</v>
      </c>
      <c r="H32" s="119"/>
      <c r="I32" s="119"/>
      <c r="J32" s="119"/>
      <c r="K32" s="119"/>
      <c r="L32" s="121"/>
      <c r="M32" s="121"/>
      <c r="N32" s="121"/>
      <c r="O32" s="121"/>
      <c r="P32" s="121"/>
      <c r="Q32" s="121"/>
      <c r="R32" s="121"/>
      <c r="S32" s="126">
        <f>LEN(LesseeBase[[#This Row],[Comments]])</f>
        <v>0</v>
      </c>
      <c r="T32" s="122" t="str">
        <f>LesseeBase[[#This Row],[Multi-
Record]]</f>
        <v>None</v>
      </c>
      <c r="U32" s="119">
        <f>LesseeBase[[#This Row],[AgreementCode]]</f>
        <v>0</v>
      </c>
      <c r="V32" s="119" t="str">
        <f>LEFT(LesseeBase[[#This Row],[AgreementTitle]],50)</f>
        <v/>
      </c>
      <c r="W32" s="125">
        <f>LesseeBase[[#This Row],[AgreementType]]</f>
        <v>0</v>
      </c>
      <c r="X32" s="119"/>
      <c r="Y32"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2" s="125">
        <f>LesseeBase[[#This Row],[ProvisionType]]</f>
        <v>0</v>
      </c>
      <c r="AA32" s="121"/>
      <c r="AB32" s="121">
        <f>IF(LesseeBase[[#This Row],[Incl. Options
End Date]]&gt;0,LesseeBase[[#This Row],[Incl. Options
End Date]],LesseeBase[[#This Row],[Initial Period
End Date]])</f>
        <v>0</v>
      </c>
      <c r="AC32" s="123"/>
      <c r="AD32" s="119"/>
      <c r="AE32" s="119"/>
      <c r="AF32" s="124"/>
      <c r="AG32" s="121"/>
      <c r="AH32" s="121"/>
      <c r="AI32" s="125" t="e" cm="1">
        <f t="array" ref="AI32">ROUND(ROUND((LesseeBase[[#This Row],[Payment
EndDate]]-LesseeBase[[#This Row],[Payment
StartDate]])/365,2)*_xlfn.IFS(LesseeBase[[#This Row],[Payment
Frequency]]="MO",12,LesseeBase[[#This Row],[Payment
Frequency]]="QT",4,LesseeBase[[#This Row],[Payment
Frequency]]="SA",2,LesseeBase[[#This Row],[Payment
Frequency]]="AN",1),0)</f>
        <v>#N/A</v>
      </c>
      <c r="AJ32" s="123" t="e">
        <f>ROUND(LesseeBase[[#This Row],[Payment
Amount]]*LesseeBase[[#This Row],[Number of
 Payments]],2)</f>
        <v>#N/A</v>
      </c>
      <c r="AK32"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2" s="123" t="e">
        <f>IF(LesseeBase[[#This Row],[Multi-
Record2]]="Multi-Amount", "calc on import",LesseeBase[[#This Row],[Total Amount
of Payments]]-LesseeBase[[#This Row],[Present
Value]])</f>
        <v>#N/A</v>
      </c>
      <c r="AM32" s="123" t="e">
        <f>LesseeBase[[#This Row],[Present
Value]]</f>
        <v>#DIV/0!</v>
      </c>
      <c r="AN32" s="123"/>
      <c r="AO32" s="123" t="e">
        <f>IF(LesseeBase[[#This Row],[Multi-
Record2]]="Multi-Amount", "calc on import",LesseeBase[[#This Row],[Total
CapitalizedValue]]-LesseeBase[[#This Row],[Capitalized
ResidualValue]])</f>
        <v>#DIV/0!</v>
      </c>
      <c r="AP32" s="123" t="e">
        <f>LesseeBase[[#This Row],[Calc Amount
to Amortize]]</f>
        <v>#DIV/0!</v>
      </c>
      <c r="AQ32" s="119" t="s">
        <v>296</v>
      </c>
      <c r="AR32" s="125" t="str">
        <f>IF(LesseeBase[[#This Row],[RoU Asset
AmortizationMethod]] = "Declining Balance", "Enter %","")</f>
        <v/>
      </c>
      <c r="AS32" s="125" t="str">
        <f>IF(LesseeBase[[#This Row],[RoU Asset
AmortizationMethod]]="Usage Based","Enter Usage Base","")</f>
        <v/>
      </c>
      <c r="AT32" s="125" t="str">
        <f>IF(LesseeBase[[#This Row],[RoU Asset
AmortizationMethod]]="Usage Based","Enter Usage UoM","")</f>
        <v/>
      </c>
      <c r="AU32" s="121"/>
      <c r="AV32" s="121">
        <f>IF(LesseeBase[[#This Row],[Incl. Options
End Date]]&gt;0,LesseeBase[[#This Row],[Incl. Options
End Date]],LesseeBase[[#This Row],[Initial Period
End Date]])</f>
        <v>0</v>
      </c>
      <c r="AW32" s="122" t="s">
        <v>321</v>
      </c>
      <c r="AX32" s="125" cm="1">
        <f t="array" ref="AX32">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2" s="119"/>
      <c r="AZ32" s="122"/>
      <c r="BA32" s="119"/>
      <c r="BB32" s="119"/>
      <c r="BC32" s="119"/>
      <c r="BD32" s="119"/>
      <c r="BE32" s="119"/>
      <c r="BF32" s="119"/>
      <c r="BG32" s="119"/>
      <c r="BH32" s="119"/>
    </row>
    <row r="33" spans="1:60" x14ac:dyDescent="0.25">
      <c r="A33" s="119" t="s">
        <v>509</v>
      </c>
      <c r="B33" s="119">
        <f>'Agency Cover'!$B$3</f>
        <v>0</v>
      </c>
      <c r="C33" s="119"/>
      <c r="D33" s="119" t="s">
        <v>291</v>
      </c>
      <c r="E33" s="125">
        <f>COUNTIF(LesseeBase[AgreementCode],LesseeBase[[#This Row],[AgreementCode]])</f>
        <v>0</v>
      </c>
      <c r="F33" s="119"/>
      <c r="G33" s="125">
        <f>COUNTIF(LesseeBase[AgreementTitle],LesseeBase[[#This Row],[AgreementTitle]])</f>
        <v>0</v>
      </c>
      <c r="H33" s="119"/>
      <c r="I33" s="119"/>
      <c r="J33" s="119"/>
      <c r="K33" s="119"/>
      <c r="L33" s="121"/>
      <c r="M33" s="121"/>
      <c r="N33" s="121"/>
      <c r="O33" s="121"/>
      <c r="P33" s="121"/>
      <c r="Q33" s="121"/>
      <c r="R33" s="121"/>
      <c r="S33" s="126">
        <f>LEN(LesseeBase[[#This Row],[Comments]])</f>
        <v>0</v>
      </c>
      <c r="T33" s="122" t="str">
        <f>LesseeBase[[#This Row],[Multi-
Record]]</f>
        <v>None</v>
      </c>
      <c r="U33" s="119">
        <f>LesseeBase[[#This Row],[AgreementCode]]</f>
        <v>0</v>
      </c>
      <c r="V33" s="119" t="str">
        <f>LEFT(LesseeBase[[#This Row],[AgreementTitle]],50)</f>
        <v/>
      </c>
      <c r="W33" s="125">
        <f>LesseeBase[[#This Row],[AgreementType]]</f>
        <v>0</v>
      </c>
      <c r="X33" s="119"/>
      <c r="Y33"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3" s="125">
        <f>LesseeBase[[#This Row],[ProvisionType]]</f>
        <v>0</v>
      </c>
      <c r="AA33" s="121"/>
      <c r="AB33" s="121">
        <f>IF(LesseeBase[[#This Row],[Incl. Options
End Date]]&gt;0,LesseeBase[[#This Row],[Incl. Options
End Date]],LesseeBase[[#This Row],[Initial Period
End Date]])</f>
        <v>0</v>
      </c>
      <c r="AC33" s="123"/>
      <c r="AD33" s="119"/>
      <c r="AE33" s="119"/>
      <c r="AF33" s="124"/>
      <c r="AG33" s="121"/>
      <c r="AH33" s="121"/>
      <c r="AI33" s="125" t="e" cm="1">
        <f t="array" ref="AI33">ROUND(ROUND((LesseeBase[[#This Row],[Payment
EndDate]]-LesseeBase[[#This Row],[Payment
StartDate]])/365,2)*_xlfn.IFS(LesseeBase[[#This Row],[Payment
Frequency]]="MO",12,LesseeBase[[#This Row],[Payment
Frequency]]="QT",4,LesseeBase[[#This Row],[Payment
Frequency]]="SA",2,LesseeBase[[#This Row],[Payment
Frequency]]="AN",1),0)</f>
        <v>#N/A</v>
      </c>
      <c r="AJ33" s="123" t="e">
        <f>ROUND(LesseeBase[[#This Row],[Payment
Amount]]*LesseeBase[[#This Row],[Number of
 Payments]],2)</f>
        <v>#N/A</v>
      </c>
      <c r="AK33"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3" s="123" t="e">
        <f>IF(LesseeBase[[#This Row],[Multi-
Record2]]="Multi-Amount", "calc on import",LesseeBase[[#This Row],[Total Amount
of Payments]]-LesseeBase[[#This Row],[Present
Value]])</f>
        <v>#N/A</v>
      </c>
      <c r="AM33" s="123" t="e">
        <f>LesseeBase[[#This Row],[Present
Value]]</f>
        <v>#DIV/0!</v>
      </c>
      <c r="AN33" s="123"/>
      <c r="AO33" s="123" t="e">
        <f>IF(LesseeBase[[#This Row],[Multi-
Record2]]="Multi-Amount", "calc on import",LesseeBase[[#This Row],[Total
CapitalizedValue]]-LesseeBase[[#This Row],[Capitalized
ResidualValue]])</f>
        <v>#DIV/0!</v>
      </c>
      <c r="AP33" s="123" t="e">
        <f>LesseeBase[[#This Row],[Calc Amount
to Amortize]]</f>
        <v>#DIV/0!</v>
      </c>
      <c r="AQ33" s="119" t="s">
        <v>296</v>
      </c>
      <c r="AR33" s="125" t="str">
        <f>IF(LesseeBase[[#This Row],[RoU Asset
AmortizationMethod]] = "Declining Balance", "Enter %","")</f>
        <v/>
      </c>
      <c r="AS33" s="125" t="str">
        <f>IF(LesseeBase[[#This Row],[RoU Asset
AmortizationMethod]]="Usage Based","Enter Usage Base","")</f>
        <v/>
      </c>
      <c r="AT33" s="125" t="str">
        <f>IF(LesseeBase[[#This Row],[RoU Asset
AmortizationMethod]]="Usage Based","Enter Usage UoM","")</f>
        <v/>
      </c>
      <c r="AU33" s="121"/>
      <c r="AV33" s="121">
        <f>IF(LesseeBase[[#This Row],[Incl. Options
End Date]]&gt;0,LesseeBase[[#This Row],[Incl. Options
End Date]],LesseeBase[[#This Row],[Initial Period
End Date]])</f>
        <v>0</v>
      </c>
      <c r="AW33" s="122" t="s">
        <v>321</v>
      </c>
      <c r="AX33" s="125" cm="1">
        <f t="array" ref="AX33">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3" s="119"/>
      <c r="AZ33" s="122"/>
      <c r="BA33" s="119"/>
      <c r="BB33" s="119"/>
      <c r="BC33" s="119"/>
      <c r="BD33" s="119"/>
      <c r="BE33" s="119"/>
      <c r="BF33" s="119"/>
      <c r="BG33" s="119"/>
      <c r="BH33" s="119"/>
    </row>
    <row r="34" spans="1:60" x14ac:dyDescent="0.25">
      <c r="A34" s="119" t="s">
        <v>509</v>
      </c>
      <c r="B34" s="119">
        <f>'Agency Cover'!$B$3</f>
        <v>0</v>
      </c>
      <c r="C34" s="119"/>
      <c r="D34" s="119" t="s">
        <v>291</v>
      </c>
      <c r="E34" s="125">
        <f>COUNTIF(LesseeBase[AgreementCode],LesseeBase[[#This Row],[AgreementCode]])</f>
        <v>0</v>
      </c>
      <c r="F34" s="119"/>
      <c r="G34" s="125">
        <f>COUNTIF(LesseeBase[AgreementTitle],LesseeBase[[#This Row],[AgreementTitle]])</f>
        <v>0</v>
      </c>
      <c r="H34" s="119"/>
      <c r="I34" s="119"/>
      <c r="J34" s="119"/>
      <c r="K34" s="119"/>
      <c r="L34" s="121"/>
      <c r="M34" s="121"/>
      <c r="N34" s="121"/>
      <c r="O34" s="121"/>
      <c r="P34" s="121"/>
      <c r="Q34" s="121"/>
      <c r="R34" s="121"/>
      <c r="S34" s="126">
        <f>LEN(LesseeBase[[#This Row],[Comments]])</f>
        <v>0</v>
      </c>
      <c r="T34" s="122" t="str">
        <f>LesseeBase[[#This Row],[Multi-
Record]]</f>
        <v>None</v>
      </c>
      <c r="U34" s="119">
        <f>LesseeBase[[#This Row],[AgreementCode]]</f>
        <v>0</v>
      </c>
      <c r="V34" s="119" t="str">
        <f>LEFT(LesseeBase[[#This Row],[AgreementTitle]],50)</f>
        <v/>
      </c>
      <c r="W34" s="125">
        <f>LesseeBase[[#This Row],[AgreementType]]</f>
        <v>0</v>
      </c>
      <c r="X34" s="119"/>
      <c r="Y34"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4" s="125">
        <f>LesseeBase[[#This Row],[ProvisionType]]</f>
        <v>0</v>
      </c>
      <c r="AA34" s="121"/>
      <c r="AB34" s="121">
        <f>IF(LesseeBase[[#This Row],[Incl. Options
End Date]]&gt;0,LesseeBase[[#This Row],[Incl. Options
End Date]],LesseeBase[[#This Row],[Initial Period
End Date]])</f>
        <v>0</v>
      </c>
      <c r="AC34" s="123"/>
      <c r="AD34" s="119"/>
      <c r="AE34" s="119"/>
      <c r="AF34" s="124"/>
      <c r="AG34" s="121"/>
      <c r="AH34" s="121"/>
      <c r="AI34" s="125" t="e" cm="1">
        <f t="array" ref="AI34">ROUND(ROUND((LesseeBase[[#This Row],[Payment
EndDate]]-LesseeBase[[#This Row],[Payment
StartDate]])/365,2)*_xlfn.IFS(LesseeBase[[#This Row],[Payment
Frequency]]="MO",12,LesseeBase[[#This Row],[Payment
Frequency]]="QT",4,LesseeBase[[#This Row],[Payment
Frequency]]="SA",2,LesseeBase[[#This Row],[Payment
Frequency]]="AN",1),0)</f>
        <v>#N/A</v>
      </c>
      <c r="AJ34" s="123" t="e">
        <f>ROUND(LesseeBase[[#This Row],[Payment
Amount]]*LesseeBase[[#This Row],[Number of
 Payments]],2)</f>
        <v>#N/A</v>
      </c>
      <c r="AK34"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4" s="123" t="e">
        <f>IF(LesseeBase[[#This Row],[Multi-
Record2]]="Multi-Amount", "calc on import",LesseeBase[[#This Row],[Total Amount
of Payments]]-LesseeBase[[#This Row],[Present
Value]])</f>
        <v>#N/A</v>
      </c>
      <c r="AM34" s="123" t="e">
        <f>LesseeBase[[#This Row],[Present
Value]]</f>
        <v>#DIV/0!</v>
      </c>
      <c r="AN34" s="123"/>
      <c r="AO34" s="123" t="e">
        <f>IF(LesseeBase[[#This Row],[Multi-
Record2]]="Multi-Amount", "calc on import",LesseeBase[[#This Row],[Total
CapitalizedValue]]-LesseeBase[[#This Row],[Capitalized
ResidualValue]])</f>
        <v>#DIV/0!</v>
      </c>
      <c r="AP34" s="123" t="e">
        <f>LesseeBase[[#This Row],[Calc Amount
to Amortize]]</f>
        <v>#DIV/0!</v>
      </c>
      <c r="AQ34" s="119" t="s">
        <v>296</v>
      </c>
      <c r="AR34" s="125" t="str">
        <f>IF(LesseeBase[[#This Row],[RoU Asset
AmortizationMethod]] = "Declining Balance", "Enter %","")</f>
        <v/>
      </c>
      <c r="AS34" s="125" t="str">
        <f>IF(LesseeBase[[#This Row],[RoU Asset
AmortizationMethod]]="Usage Based","Enter Usage Base","")</f>
        <v/>
      </c>
      <c r="AT34" s="125" t="str">
        <f>IF(LesseeBase[[#This Row],[RoU Asset
AmortizationMethod]]="Usage Based","Enter Usage UoM","")</f>
        <v/>
      </c>
      <c r="AU34" s="121"/>
      <c r="AV34" s="121">
        <f>IF(LesseeBase[[#This Row],[Incl. Options
End Date]]&gt;0,LesseeBase[[#This Row],[Incl. Options
End Date]],LesseeBase[[#This Row],[Initial Period
End Date]])</f>
        <v>0</v>
      </c>
      <c r="AW34" s="122" t="s">
        <v>321</v>
      </c>
      <c r="AX34" s="125" cm="1">
        <f t="array" ref="AX34">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4" s="119"/>
      <c r="AZ34" s="122"/>
      <c r="BA34" s="119"/>
      <c r="BB34" s="119"/>
      <c r="BC34" s="119"/>
      <c r="BD34" s="119"/>
      <c r="BE34" s="119"/>
      <c r="BF34" s="119"/>
      <c r="BG34" s="119"/>
      <c r="BH34" s="119"/>
    </row>
    <row r="35" spans="1:60" x14ac:dyDescent="0.25">
      <c r="A35" s="119" t="s">
        <v>509</v>
      </c>
      <c r="B35" s="119">
        <f>'Agency Cover'!$B$3</f>
        <v>0</v>
      </c>
      <c r="C35" s="119"/>
      <c r="D35" s="119" t="s">
        <v>291</v>
      </c>
      <c r="E35" s="125">
        <f>COUNTIF(LesseeBase[AgreementCode],LesseeBase[[#This Row],[AgreementCode]])</f>
        <v>0</v>
      </c>
      <c r="F35" s="119"/>
      <c r="G35" s="125">
        <f>COUNTIF(LesseeBase[AgreementTitle],LesseeBase[[#This Row],[AgreementTitle]])</f>
        <v>0</v>
      </c>
      <c r="H35" s="119"/>
      <c r="I35" s="119"/>
      <c r="J35" s="119"/>
      <c r="K35" s="119"/>
      <c r="L35" s="121"/>
      <c r="M35" s="121"/>
      <c r="N35" s="121"/>
      <c r="O35" s="121"/>
      <c r="P35" s="121"/>
      <c r="Q35" s="121"/>
      <c r="R35" s="121"/>
      <c r="S35" s="126">
        <f>LEN(LesseeBase[[#This Row],[Comments]])</f>
        <v>0</v>
      </c>
      <c r="T35" s="122" t="str">
        <f>LesseeBase[[#This Row],[Multi-
Record]]</f>
        <v>None</v>
      </c>
      <c r="U35" s="119">
        <f>LesseeBase[[#This Row],[AgreementCode]]</f>
        <v>0</v>
      </c>
      <c r="V35" s="119" t="str">
        <f>LEFT(LesseeBase[[#This Row],[AgreementTitle]],50)</f>
        <v/>
      </c>
      <c r="W35" s="125">
        <f>LesseeBase[[#This Row],[AgreementType]]</f>
        <v>0</v>
      </c>
      <c r="X35" s="119"/>
      <c r="Y35"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5" s="125">
        <f>LesseeBase[[#This Row],[ProvisionType]]</f>
        <v>0</v>
      </c>
      <c r="AA35" s="121"/>
      <c r="AB35" s="121">
        <f>IF(LesseeBase[[#This Row],[Incl. Options
End Date]]&gt;0,LesseeBase[[#This Row],[Incl. Options
End Date]],LesseeBase[[#This Row],[Initial Period
End Date]])</f>
        <v>0</v>
      </c>
      <c r="AC35" s="123"/>
      <c r="AD35" s="119"/>
      <c r="AE35" s="119"/>
      <c r="AF35" s="124"/>
      <c r="AG35" s="121"/>
      <c r="AH35" s="121"/>
      <c r="AI35" s="125" t="e" cm="1">
        <f t="array" ref="AI35">ROUND(ROUND((LesseeBase[[#This Row],[Payment
EndDate]]-LesseeBase[[#This Row],[Payment
StartDate]])/365,2)*_xlfn.IFS(LesseeBase[[#This Row],[Payment
Frequency]]="MO",12,LesseeBase[[#This Row],[Payment
Frequency]]="QT",4,LesseeBase[[#This Row],[Payment
Frequency]]="SA",2,LesseeBase[[#This Row],[Payment
Frequency]]="AN",1),0)</f>
        <v>#N/A</v>
      </c>
      <c r="AJ35" s="123" t="e">
        <f>ROUND(LesseeBase[[#This Row],[Payment
Amount]]*LesseeBase[[#This Row],[Number of
 Payments]],2)</f>
        <v>#N/A</v>
      </c>
      <c r="AK35"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5" s="123" t="e">
        <f>IF(LesseeBase[[#This Row],[Multi-
Record2]]="Multi-Amount", "calc on import",LesseeBase[[#This Row],[Total Amount
of Payments]]-LesseeBase[[#This Row],[Present
Value]])</f>
        <v>#N/A</v>
      </c>
      <c r="AM35" s="123" t="e">
        <f>LesseeBase[[#This Row],[Present
Value]]</f>
        <v>#DIV/0!</v>
      </c>
      <c r="AN35" s="123"/>
      <c r="AO35" s="123" t="e">
        <f>IF(LesseeBase[[#This Row],[Multi-
Record2]]="Multi-Amount", "calc on import",LesseeBase[[#This Row],[Total
CapitalizedValue]]-LesseeBase[[#This Row],[Capitalized
ResidualValue]])</f>
        <v>#DIV/0!</v>
      </c>
      <c r="AP35" s="123" t="e">
        <f>LesseeBase[[#This Row],[Calc Amount
to Amortize]]</f>
        <v>#DIV/0!</v>
      </c>
      <c r="AQ35" s="119" t="s">
        <v>296</v>
      </c>
      <c r="AR35" s="125" t="str">
        <f>IF(LesseeBase[[#This Row],[RoU Asset
AmortizationMethod]] = "Declining Balance", "Enter %","")</f>
        <v/>
      </c>
      <c r="AS35" s="125" t="str">
        <f>IF(LesseeBase[[#This Row],[RoU Asset
AmortizationMethod]]="Usage Based","Enter Usage Base","")</f>
        <v/>
      </c>
      <c r="AT35" s="125" t="str">
        <f>IF(LesseeBase[[#This Row],[RoU Asset
AmortizationMethod]]="Usage Based","Enter Usage UoM","")</f>
        <v/>
      </c>
      <c r="AU35" s="121"/>
      <c r="AV35" s="121">
        <f>IF(LesseeBase[[#This Row],[Incl. Options
End Date]]&gt;0,LesseeBase[[#This Row],[Incl. Options
End Date]],LesseeBase[[#This Row],[Initial Period
End Date]])</f>
        <v>0</v>
      </c>
      <c r="AW35" s="122" t="s">
        <v>321</v>
      </c>
      <c r="AX35" s="125" cm="1">
        <f t="array" ref="AX35">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5" s="119"/>
      <c r="AZ35" s="122"/>
      <c r="BA35" s="119"/>
      <c r="BB35" s="119"/>
      <c r="BC35" s="119"/>
      <c r="BD35" s="119"/>
      <c r="BE35" s="119"/>
      <c r="BF35" s="119"/>
      <c r="BG35" s="119"/>
      <c r="BH35" s="119"/>
    </row>
    <row r="36" spans="1:60" x14ac:dyDescent="0.25">
      <c r="A36" s="119" t="s">
        <v>509</v>
      </c>
      <c r="B36" s="119">
        <f>'Agency Cover'!$B$3</f>
        <v>0</v>
      </c>
      <c r="C36" s="119"/>
      <c r="D36" s="119" t="s">
        <v>291</v>
      </c>
      <c r="E36" s="125">
        <f>COUNTIF(LesseeBase[AgreementCode],LesseeBase[[#This Row],[AgreementCode]])</f>
        <v>0</v>
      </c>
      <c r="F36" s="119"/>
      <c r="G36" s="125">
        <f>COUNTIF(LesseeBase[AgreementTitle],LesseeBase[[#This Row],[AgreementTitle]])</f>
        <v>0</v>
      </c>
      <c r="H36" s="119"/>
      <c r="I36" s="119"/>
      <c r="J36" s="119"/>
      <c r="K36" s="119"/>
      <c r="L36" s="121"/>
      <c r="M36" s="121"/>
      <c r="N36" s="121"/>
      <c r="O36" s="121"/>
      <c r="P36" s="121"/>
      <c r="Q36" s="121"/>
      <c r="R36" s="121"/>
      <c r="S36" s="126">
        <f>LEN(LesseeBase[[#This Row],[Comments]])</f>
        <v>0</v>
      </c>
      <c r="T36" s="122" t="str">
        <f>LesseeBase[[#This Row],[Multi-
Record]]</f>
        <v>None</v>
      </c>
      <c r="U36" s="119">
        <f>LesseeBase[[#This Row],[AgreementCode]]</f>
        <v>0</v>
      </c>
      <c r="V36" s="119" t="str">
        <f>LEFT(LesseeBase[[#This Row],[AgreementTitle]],50)</f>
        <v/>
      </c>
      <c r="W36" s="125">
        <f>LesseeBase[[#This Row],[AgreementType]]</f>
        <v>0</v>
      </c>
      <c r="X36" s="119"/>
      <c r="Y36"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6" s="125">
        <f>LesseeBase[[#This Row],[ProvisionType]]</f>
        <v>0</v>
      </c>
      <c r="AA36" s="121"/>
      <c r="AB36" s="121">
        <f>IF(LesseeBase[[#This Row],[Incl. Options
End Date]]&gt;0,LesseeBase[[#This Row],[Incl. Options
End Date]],LesseeBase[[#This Row],[Initial Period
End Date]])</f>
        <v>0</v>
      </c>
      <c r="AC36" s="123"/>
      <c r="AD36" s="119"/>
      <c r="AE36" s="119"/>
      <c r="AF36" s="124"/>
      <c r="AG36" s="121"/>
      <c r="AH36" s="121"/>
      <c r="AI36" s="125" t="e" cm="1">
        <f t="array" ref="AI36">ROUND(ROUND((LesseeBase[[#This Row],[Payment
EndDate]]-LesseeBase[[#This Row],[Payment
StartDate]])/365,2)*_xlfn.IFS(LesseeBase[[#This Row],[Payment
Frequency]]="MO",12,LesseeBase[[#This Row],[Payment
Frequency]]="QT",4,LesseeBase[[#This Row],[Payment
Frequency]]="SA",2,LesseeBase[[#This Row],[Payment
Frequency]]="AN",1),0)</f>
        <v>#N/A</v>
      </c>
      <c r="AJ36" s="123" t="e">
        <f>ROUND(LesseeBase[[#This Row],[Payment
Amount]]*LesseeBase[[#This Row],[Number of
 Payments]],2)</f>
        <v>#N/A</v>
      </c>
      <c r="AK36"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6" s="123" t="e">
        <f>IF(LesseeBase[[#This Row],[Multi-
Record2]]="Multi-Amount", "calc on import",LesseeBase[[#This Row],[Total Amount
of Payments]]-LesseeBase[[#This Row],[Present
Value]])</f>
        <v>#N/A</v>
      </c>
      <c r="AM36" s="123" t="e">
        <f>LesseeBase[[#This Row],[Present
Value]]</f>
        <v>#DIV/0!</v>
      </c>
      <c r="AN36" s="123"/>
      <c r="AO36" s="123" t="e">
        <f>IF(LesseeBase[[#This Row],[Multi-
Record2]]="Multi-Amount", "calc on import",LesseeBase[[#This Row],[Total
CapitalizedValue]]-LesseeBase[[#This Row],[Capitalized
ResidualValue]])</f>
        <v>#DIV/0!</v>
      </c>
      <c r="AP36" s="123" t="e">
        <f>LesseeBase[[#This Row],[Calc Amount
to Amortize]]</f>
        <v>#DIV/0!</v>
      </c>
      <c r="AQ36" s="119" t="s">
        <v>296</v>
      </c>
      <c r="AR36" s="125" t="str">
        <f>IF(LesseeBase[[#This Row],[RoU Asset
AmortizationMethod]] = "Declining Balance", "Enter %","")</f>
        <v/>
      </c>
      <c r="AS36" s="125" t="str">
        <f>IF(LesseeBase[[#This Row],[RoU Asset
AmortizationMethod]]="Usage Based","Enter Usage Base","")</f>
        <v/>
      </c>
      <c r="AT36" s="125" t="str">
        <f>IF(LesseeBase[[#This Row],[RoU Asset
AmortizationMethod]]="Usage Based","Enter Usage UoM","")</f>
        <v/>
      </c>
      <c r="AU36" s="121"/>
      <c r="AV36" s="121">
        <f>IF(LesseeBase[[#This Row],[Incl. Options
End Date]]&gt;0,LesseeBase[[#This Row],[Incl. Options
End Date]],LesseeBase[[#This Row],[Initial Period
End Date]])</f>
        <v>0</v>
      </c>
      <c r="AW36" s="122" t="s">
        <v>321</v>
      </c>
      <c r="AX36" s="125" cm="1">
        <f t="array" ref="AX36">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6" s="119"/>
      <c r="AZ36" s="122"/>
      <c r="BA36" s="119"/>
      <c r="BB36" s="119"/>
      <c r="BC36" s="119"/>
      <c r="BD36" s="119"/>
      <c r="BE36" s="119"/>
      <c r="BF36" s="119"/>
      <c r="BG36" s="119"/>
      <c r="BH36" s="119"/>
    </row>
    <row r="37" spans="1:60" x14ac:dyDescent="0.25">
      <c r="A37" s="119" t="s">
        <v>509</v>
      </c>
      <c r="B37" s="119">
        <f>'Agency Cover'!$B$3</f>
        <v>0</v>
      </c>
      <c r="C37" s="119"/>
      <c r="D37" s="119" t="s">
        <v>291</v>
      </c>
      <c r="E37" s="125">
        <f>COUNTIF(LesseeBase[AgreementCode],LesseeBase[[#This Row],[AgreementCode]])</f>
        <v>0</v>
      </c>
      <c r="F37" s="119"/>
      <c r="G37" s="125">
        <f>COUNTIF(LesseeBase[AgreementTitle],LesseeBase[[#This Row],[AgreementTitle]])</f>
        <v>0</v>
      </c>
      <c r="H37" s="119"/>
      <c r="I37" s="119"/>
      <c r="J37" s="119"/>
      <c r="K37" s="119"/>
      <c r="L37" s="121"/>
      <c r="M37" s="121"/>
      <c r="N37" s="121"/>
      <c r="O37" s="121"/>
      <c r="P37" s="121"/>
      <c r="Q37" s="121"/>
      <c r="R37" s="121"/>
      <c r="S37" s="126">
        <f>LEN(LesseeBase[[#This Row],[Comments]])</f>
        <v>0</v>
      </c>
      <c r="T37" s="122" t="str">
        <f>LesseeBase[[#This Row],[Multi-
Record]]</f>
        <v>None</v>
      </c>
      <c r="U37" s="119">
        <f>LesseeBase[[#This Row],[AgreementCode]]</f>
        <v>0</v>
      </c>
      <c r="V37" s="119" t="str">
        <f>LEFT(LesseeBase[[#This Row],[AgreementTitle]],50)</f>
        <v/>
      </c>
      <c r="W37" s="125">
        <f>LesseeBase[[#This Row],[AgreementType]]</f>
        <v>0</v>
      </c>
      <c r="X37" s="119"/>
      <c r="Y37"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7" s="125">
        <f>LesseeBase[[#This Row],[ProvisionType]]</f>
        <v>0</v>
      </c>
      <c r="AA37" s="121"/>
      <c r="AB37" s="121">
        <f>IF(LesseeBase[[#This Row],[Incl. Options
End Date]]&gt;0,LesseeBase[[#This Row],[Incl. Options
End Date]],LesseeBase[[#This Row],[Initial Period
End Date]])</f>
        <v>0</v>
      </c>
      <c r="AC37" s="123"/>
      <c r="AD37" s="119"/>
      <c r="AE37" s="119"/>
      <c r="AF37" s="124"/>
      <c r="AG37" s="121"/>
      <c r="AH37" s="121"/>
      <c r="AI37" s="125" t="e" cm="1">
        <f t="array" ref="AI37">ROUND(ROUND((LesseeBase[[#This Row],[Payment
EndDate]]-LesseeBase[[#This Row],[Payment
StartDate]])/365,2)*_xlfn.IFS(LesseeBase[[#This Row],[Payment
Frequency]]="MO",12,LesseeBase[[#This Row],[Payment
Frequency]]="QT",4,LesseeBase[[#This Row],[Payment
Frequency]]="SA",2,LesseeBase[[#This Row],[Payment
Frequency]]="AN",1),0)</f>
        <v>#N/A</v>
      </c>
      <c r="AJ37" s="123" t="e">
        <f>ROUND(LesseeBase[[#This Row],[Payment
Amount]]*LesseeBase[[#This Row],[Number of
 Payments]],2)</f>
        <v>#N/A</v>
      </c>
      <c r="AK37"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7" s="123" t="e">
        <f>IF(LesseeBase[[#This Row],[Multi-
Record2]]="Multi-Amount", "calc on import",LesseeBase[[#This Row],[Total Amount
of Payments]]-LesseeBase[[#This Row],[Present
Value]])</f>
        <v>#N/A</v>
      </c>
      <c r="AM37" s="123" t="e">
        <f>LesseeBase[[#This Row],[Present
Value]]</f>
        <v>#DIV/0!</v>
      </c>
      <c r="AN37" s="123"/>
      <c r="AO37" s="123" t="e">
        <f>IF(LesseeBase[[#This Row],[Multi-
Record2]]="Multi-Amount", "calc on import",LesseeBase[[#This Row],[Total
CapitalizedValue]]-LesseeBase[[#This Row],[Capitalized
ResidualValue]])</f>
        <v>#DIV/0!</v>
      </c>
      <c r="AP37" s="123" t="e">
        <f>LesseeBase[[#This Row],[Calc Amount
to Amortize]]</f>
        <v>#DIV/0!</v>
      </c>
      <c r="AQ37" s="119" t="s">
        <v>296</v>
      </c>
      <c r="AR37" s="125" t="str">
        <f>IF(LesseeBase[[#This Row],[RoU Asset
AmortizationMethod]] = "Declining Balance", "Enter %","")</f>
        <v/>
      </c>
      <c r="AS37" s="125" t="str">
        <f>IF(LesseeBase[[#This Row],[RoU Asset
AmortizationMethod]]="Usage Based","Enter Usage Base","")</f>
        <v/>
      </c>
      <c r="AT37" s="125" t="str">
        <f>IF(LesseeBase[[#This Row],[RoU Asset
AmortizationMethod]]="Usage Based","Enter Usage UoM","")</f>
        <v/>
      </c>
      <c r="AU37" s="121"/>
      <c r="AV37" s="121">
        <f>IF(LesseeBase[[#This Row],[Incl. Options
End Date]]&gt;0,LesseeBase[[#This Row],[Incl. Options
End Date]],LesseeBase[[#This Row],[Initial Period
End Date]])</f>
        <v>0</v>
      </c>
      <c r="AW37" s="122" t="s">
        <v>321</v>
      </c>
      <c r="AX37" s="125" cm="1">
        <f t="array" ref="AX37">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7" s="119"/>
      <c r="AZ37" s="122"/>
      <c r="BA37" s="119"/>
      <c r="BB37" s="119"/>
      <c r="BC37" s="119"/>
      <c r="BD37" s="119"/>
      <c r="BE37" s="119"/>
      <c r="BF37" s="119"/>
      <c r="BG37" s="119"/>
      <c r="BH37" s="119"/>
    </row>
    <row r="38" spans="1:60" x14ac:dyDescent="0.25">
      <c r="A38" s="119" t="s">
        <v>509</v>
      </c>
      <c r="B38" s="119">
        <f>'Agency Cover'!$B$3</f>
        <v>0</v>
      </c>
      <c r="C38" s="119"/>
      <c r="D38" s="119" t="s">
        <v>291</v>
      </c>
      <c r="E38" s="125">
        <f>COUNTIF(LesseeBase[AgreementCode],LesseeBase[[#This Row],[AgreementCode]])</f>
        <v>0</v>
      </c>
      <c r="F38" s="119"/>
      <c r="G38" s="125">
        <f>COUNTIF(LesseeBase[AgreementTitle],LesseeBase[[#This Row],[AgreementTitle]])</f>
        <v>0</v>
      </c>
      <c r="H38" s="119"/>
      <c r="I38" s="119"/>
      <c r="J38" s="119"/>
      <c r="K38" s="119"/>
      <c r="L38" s="121"/>
      <c r="M38" s="121"/>
      <c r="N38" s="121"/>
      <c r="O38" s="121"/>
      <c r="P38" s="121"/>
      <c r="Q38" s="121"/>
      <c r="R38" s="121"/>
      <c r="S38" s="126">
        <f>LEN(LesseeBase[[#This Row],[Comments]])</f>
        <v>0</v>
      </c>
      <c r="T38" s="122" t="str">
        <f>LesseeBase[[#This Row],[Multi-
Record]]</f>
        <v>None</v>
      </c>
      <c r="U38" s="119">
        <f>LesseeBase[[#This Row],[AgreementCode]]</f>
        <v>0</v>
      </c>
      <c r="V38" s="119" t="str">
        <f>LEFT(LesseeBase[[#This Row],[AgreementTitle]],50)</f>
        <v/>
      </c>
      <c r="W38" s="125">
        <f>LesseeBase[[#This Row],[AgreementType]]</f>
        <v>0</v>
      </c>
      <c r="X38" s="119"/>
      <c r="Y38"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8" s="125">
        <f>LesseeBase[[#This Row],[ProvisionType]]</f>
        <v>0</v>
      </c>
      <c r="AA38" s="121"/>
      <c r="AB38" s="121">
        <f>IF(LesseeBase[[#This Row],[Incl. Options
End Date]]&gt;0,LesseeBase[[#This Row],[Incl. Options
End Date]],LesseeBase[[#This Row],[Initial Period
End Date]])</f>
        <v>0</v>
      </c>
      <c r="AC38" s="123"/>
      <c r="AD38" s="119"/>
      <c r="AE38" s="119"/>
      <c r="AF38" s="124"/>
      <c r="AG38" s="121"/>
      <c r="AH38" s="121"/>
      <c r="AI38" s="125" t="e" cm="1">
        <f t="array" ref="AI38">ROUND(ROUND((LesseeBase[[#This Row],[Payment
EndDate]]-LesseeBase[[#This Row],[Payment
StartDate]])/365,2)*_xlfn.IFS(LesseeBase[[#This Row],[Payment
Frequency]]="MO",12,LesseeBase[[#This Row],[Payment
Frequency]]="QT",4,LesseeBase[[#This Row],[Payment
Frequency]]="SA",2,LesseeBase[[#This Row],[Payment
Frequency]]="AN",1),0)</f>
        <v>#N/A</v>
      </c>
      <c r="AJ38" s="123" t="e">
        <f>ROUND(LesseeBase[[#This Row],[Payment
Amount]]*LesseeBase[[#This Row],[Number of
 Payments]],2)</f>
        <v>#N/A</v>
      </c>
      <c r="AK38"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8" s="123" t="e">
        <f>IF(LesseeBase[[#This Row],[Multi-
Record2]]="Multi-Amount", "calc on import",LesseeBase[[#This Row],[Total Amount
of Payments]]-LesseeBase[[#This Row],[Present
Value]])</f>
        <v>#N/A</v>
      </c>
      <c r="AM38" s="123" t="e">
        <f>LesseeBase[[#This Row],[Present
Value]]</f>
        <v>#DIV/0!</v>
      </c>
      <c r="AN38" s="123"/>
      <c r="AO38" s="123" t="e">
        <f>IF(LesseeBase[[#This Row],[Multi-
Record2]]="Multi-Amount", "calc on import",LesseeBase[[#This Row],[Total
CapitalizedValue]]-LesseeBase[[#This Row],[Capitalized
ResidualValue]])</f>
        <v>#DIV/0!</v>
      </c>
      <c r="AP38" s="123" t="e">
        <f>LesseeBase[[#This Row],[Calc Amount
to Amortize]]</f>
        <v>#DIV/0!</v>
      </c>
      <c r="AQ38" s="119" t="s">
        <v>296</v>
      </c>
      <c r="AR38" s="125" t="str">
        <f>IF(LesseeBase[[#This Row],[RoU Asset
AmortizationMethod]] = "Declining Balance", "Enter %","")</f>
        <v/>
      </c>
      <c r="AS38" s="125" t="str">
        <f>IF(LesseeBase[[#This Row],[RoU Asset
AmortizationMethod]]="Usage Based","Enter Usage Base","")</f>
        <v/>
      </c>
      <c r="AT38" s="125" t="str">
        <f>IF(LesseeBase[[#This Row],[RoU Asset
AmortizationMethod]]="Usage Based","Enter Usage UoM","")</f>
        <v/>
      </c>
      <c r="AU38" s="121"/>
      <c r="AV38" s="121">
        <f>IF(LesseeBase[[#This Row],[Incl. Options
End Date]]&gt;0,LesseeBase[[#This Row],[Incl. Options
End Date]],LesseeBase[[#This Row],[Initial Period
End Date]])</f>
        <v>0</v>
      </c>
      <c r="AW38" s="122" t="s">
        <v>321</v>
      </c>
      <c r="AX38" s="125" cm="1">
        <f t="array" ref="AX38">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8" s="119"/>
      <c r="AZ38" s="122"/>
      <c r="BA38" s="119"/>
      <c r="BB38" s="119"/>
      <c r="BC38" s="119"/>
      <c r="BD38" s="119"/>
      <c r="BE38" s="119"/>
      <c r="BF38" s="119"/>
      <c r="BG38" s="119"/>
      <c r="BH38" s="119"/>
    </row>
    <row r="39" spans="1:60" x14ac:dyDescent="0.25">
      <c r="A39" s="119" t="s">
        <v>509</v>
      </c>
      <c r="B39" s="119">
        <f>'Agency Cover'!$B$3</f>
        <v>0</v>
      </c>
      <c r="C39" s="119"/>
      <c r="D39" s="119" t="s">
        <v>291</v>
      </c>
      <c r="E39" s="125">
        <f>COUNTIF(LesseeBase[AgreementCode],LesseeBase[[#This Row],[AgreementCode]])</f>
        <v>0</v>
      </c>
      <c r="F39" s="119"/>
      <c r="G39" s="125">
        <f>COUNTIF(LesseeBase[AgreementTitle],LesseeBase[[#This Row],[AgreementTitle]])</f>
        <v>0</v>
      </c>
      <c r="H39" s="119"/>
      <c r="I39" s="119"/>
      <c r="J39" s="119"/>
      <c r="K39" s="119"/>
      <c r="L39" s="121"/>
      <c r="M39" s="121"/>
      <c r="N39" s="121"/>
      <c r="O39" s="121"/>
      <c r="P39" s="121"/>
      <c r="Q39" s="121"/>
      <c r="R39" s="121"/>
      <c r="S39" s="126">
        <f>LEN(LesseeBase[[#This Row],[Comments]])</f>
        <v>0</v>
      </c>
      <c r="T39" s="122" t="str">
        <f>LesseeBase[[#This Row],[Multi-
Record]]</f>
        <v>None</v>
      </c>
      <c r="U39" s="119">
        <f>LesseeBase[[#This Row],[AgreementCode]]</f>
        <v>0</v>
      </c>
      <c r="V39" s="119" t="str">
        <f>LEFT(LesseeBase[[#This Row],[AgreementTitle]],50)</f>
        <v/>
      </c>
      <c r="W39" s="125">
        <f>LesseeBase[[#This Row],[AgreementType]]</f>
        <v>0</v>
      </c>
      <c r="X39" s="119"/>
      <c r="Y39"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39" s="125">
        <f>LesseeBase[[#This Row],[ProvisionType]]</f>
        <v>0</v>
      </c>
      <c r="AA39" s="121"/>
      <c r="AB39" s="121">
        <f>IF(LesseeBase[[#This Row],[Incl. Options
End Date]]&gt;0,LesseeBase[[#This Row],[Incl. Options
End Date]],LesseeBase[[#This Row],[Initial Period
End Date]])</f>
        <v>0</v>
      </c>
      <c r="AC39" s="123"/>
      <c r="AD39" s="119"/>
      <c r="AE39" s="119"/>
      <c r="AF39" s="124"/>
      <c r="AG39" s="121"/>
      <c r="AH39" s="121"/>
      <c r="AI39" s="125" t="e" cm="1">
        <f t="array" ref="AI39">ROUND(ROUND((LesseeBase[[#This Row],[Payment
EndDate]]-LesseeBase[[#This Row],[Payment
StartDate]])/365,2)*_xlfn.IFS(LesseeBase[[#This Row],[Payment
Frequency]]="MO",12,LesseeBase[[#This Row],[Payment
Frequency]]="QT",4,LesseeBase[[#This Row],[Payment
Frequency]]="SA",2,LesseeBase[[#This Row],[Payment
Frequency]]="AN",1),0)</f>
        <v>#N/A</v>
      </c>
      <c r="AJ39" s="123" t="e">
        <f>ROUND(LesseeBase[[#This Row],[Payment
Amount]]*LesseeBase[[#This Row],[Number of
 Payments]],2)</f>
        <v>#N/A</v>
      </c>
      <c r="AK39"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39" s="123" t="e">
        <f>IF(LesseeBase[[#This Row],[Multi-
Record2]]="Multi-Amount", "calc on import",LesseeBase[[#This Row],[Total Amount
of Payments]]-LesseeBase[[#This Row],[Present
Value]])</f>
        <v>#N/A</v>
      </c>
      <c r="AM39" s="123" t="e">
        <f>LesseeBase[[#This Row],[Present
Value]]</f>
        <v>#DIV/0!</v>
      </c>
      <c r="AN39" s="123"/>
      <c r="AO39" s="123" t="e">
        <f>IF(LesseeBase[[#This Row],[Multi-
Record2]]="Multi-Amount", "calc on import",LesseeBase[[#This Row],[Total
CapitalizedValue]]-LesseeBase[[#This Row],[Capitalized
ResidualValue]])</f>
        <v>#DIV/0!</v>
      </c>
      <c r="AP39" s="123" t="e">
        <f>LesseeBase[[#This Row],[Calc Amount
to Amortize]]</f>
        <v>#DIV/0!</v>
      </c>
      <c r="AQ39" s="119" t="s">
        <v>296</v>
      </c>
      <c r="AR39" s="125" t="str">
        <f>IF(LesseeBase[[#This Row],[RoU Asset
AmortizationMethod]] = "Declining Balance", "Enter %","")</f>
        <v/>
      </c>
      <c r="AS39" s="125" t="str">
        <f>IF(LesseeBase[[#This Row],[RoU Asset
AmortizationMethod]]="Usage Based","Enter Usage Base","")</f>
        <v/>
      </c>
      <c r="AT39" s="125" t="str">
        <f>IF(LesseeBase[[#This Row],[RoU Asset
AmortizationMethod]]="Usage Based","Enter Usage UoM","")</f>
        <v/>
      </c>
      <c r="AU39" s="121"/>
      <c r="AV39" s="121">
        <f>IF(LesseeBase[[#This Row],[Incl. Options
End Date]]&gt;0,LesseeBase[[#This Row],[Incl. Options
End Date]],LesseeBase[[#This Row],[Initial Period
End Date]])</f>
        <v>0</v>
      </c>
      <c r="AW39" s="122" t="s">
        <v>321</v>
      </c>
      <c r="AX39" s="125" cm="1">
        <f t="array" ref="AX39">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39" s="119"/>
      <c r="AZ39" s="122"/>
      <c r="BA39" s="119"/>
      <c r="BB39" s="119"/>
      <c r="BC39" s="119"/>
      <c r="BD39" s="119"/>
      <c r="BE39" s="119"/>
      <c r="BF39" s="119"/>
      <c r="BG39" s="119"/>
      <c r="BH39" s="119"/>
    </row>
    <row r="40" spans="1:60" x14ac:dyDescent="0.25">
      <c r="A40" s="119" t="s">
        <v>509</v>
      </c>
      <c r="B40" s="119">
        <f>'Agency Cover'!$B$3</f>
        <v>0</v>
      </c>
      <c r="C40" s="119"/>
      <c r="D40" s="119" t="s">
        <v>291</v>
      </c>
      <c r="E40" s="125">
        <f>COUNTIF(LesseeBase[AgreementCode],LesseeBase[[#This Row],[AgreementCode]])</f>
        <v>0</v>
      </c>
      <c r="F40" s="119"/>
      <c r="G40" s="125">
        <f>COUNTIF(LesseeBase[AgreementTitle],LesseeBase[[#This Row],[AgreementTitle]])</f>
        <v>0</v>
      </c>
      <c r="H40" s="119"/>
      <c r="I40" s="119"/>
      <c r="J40" s="119"/>
      <c r="K40" s="119"/>
      <c r="L40" s="121"/>
      <c r="M40" s="121"/>
      <c r="N40" s="121"/>
      <c r="O40" s="121"/>
      <c r="P40" s="121"/>
      <c r="Q40" s="121"/>
      <c r="R40" s="121"/>
      <c r="S40" s="126">
        <f>LEN(LesseeBase[[#This Row],[Comments]])</f>
        <v>0</v>
      </c>
      <c r="T40" s="122" t="str">
        <f>LesseeBase[[#This Row],[Multi-
Record]]</f>
        <v>None</v>
      </c>
      <c r="U40" s="119">
        <f>LesseeBase[[#This Row],[AgreementCode]]</f>
        <v>0</v>
      </c>
      <c r="V40" s="119" t="str">
        <f>LEFT(LesseeBase[[#This Row],[AgreementTitle]],50)</f>
        <v/>
      </c>
      <c r="W40" s="125">
        <f>LesseeBase[[#This Row],[AgreementType]]</f>
        <v>0</v>
      </c>
      <c r="X40" s="119"/>
      <c r="Y40"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0" s="125">
        <f>LesseeBase[[#This Row],[ProvisionType]]</f>
        <v>0</v>
      </c>
      <c r="AA40" s="121"/>
      <c r="AB40" s="121">
        <f>IF(LesseeBase[[#This Row],[Incl. Options
End Date]]&gt;0,LesseeBase[[#This Row],[Incl. Options
End Date]],LesseeBase[[#This Row],[Initial Period
End Date]])</f>
        <v>0</v>
      </c>
      <c r="AC40" s="123"/>
      <c r="AD40" s="119"/>
      <c r="AE40" s="119"/>
      <c r="AF40" s="124"/>
      <c r="AG40" s="121"/>
      <c r="AH40" s="121"/>
      <c r="AI40" s="125" t="e" cm="1">
        <f t="array" ref="AI40">ROUND(ROUND((LesseeBase[[#This Row],[Payment
EndDate]]-LesseeBase[[#This Row],[Payment
StartDate]])/365,2)*_xlfn.IFS(LesseeBase[[#This Row],[Payment
Frequency]]="MO",12,LesseeBase[[#This Row],[Payment
Frequency]]="QT",4,LesseeBase[[#This Row],[Payment
Frequency]]="SA",2,LesseeBase[[#This Row],[Payment
Frequency]]="AN",1),0)</f>
        <v>#N/A</v>
      </c>
      <c r="AJ40" s="123" t="e">
        <f>ROUND(LesseeBase[[#This Row],[Payment
Amount]]*LesseeBase[[#This Row],[Number of
 Payments]],2)</f>
        <v>#N/A</v>
      </c>
      <c r="AK40"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0" s="123" t="e">
        <f>IF(LesseeBase[[#This Row],[Multi-
Record2]]="Multi-Amount", "calc on import",LesseeBase[[#This Row],[Total Amount
of Payments]]-LesseeBase[[#This Row],[Present
Value]])</f>
        <v>#N/A</v>
      </c>
      <c r="AM40" s="123" t="e">
        <f>LesseeBase[[#This Row],[Present
Value]]</f>
        <v>#DIV/0!</v>
      </c>
      <c r="AN40" s="123"/>
      <c r="AO40" s="123" t="e">
        <f>IF(LesseeBase[[#This Row],[Multi-
Record2]]="Multi-Amount", "calc on import",LesseeBase[[#This Row],[Total
CapitalizedValue]]-LesseeBase[[#This Row],[Capitalized
ResidualValue]])</f>
        <v>#DIV/0!</v>
      </c>
      <c r="AP40" s="123" t="e">
        <f>LesseeBase[[#This Row],[Calc Amount
to Amortize]]</f>
        <v>#DIV/0!</v>
      </c>
      <c r="AQ40" s="119" t="s">
        <v>296</v>
      </c>
      <c r="AR40" s="125" t="str">
        <f>IF(LesseeBase[[#This Row],[RoU Asset
AmortizationMethod]] = "Declining Balance", "Enter %","")</f>
        <v/>
      </c>
      <c r="AS40" s="125" t="str">
        <f>IF(LesseeBase[[#This Row],[RoU Asset
AmortizationMethod]]="Usage Based","Enter Usage Base","")</f>
        <v/>
      </c>
      <c r="AT40" s="125" t="str">
        <f>IF(LesseeBase[[#This Row],[RoU Asset
AmortizationMethod]]="Usage Based","Enter Usage UoM","")</f>
        <v/>
      </c>
      <c r="AU40" s="121"/>
      <c r="AV40" s="121">
        <f>IF(LesseeBase[[#This Row],[Incl. Options
End Date]]&gt;0,LesseeBase[[#This Row],[Incl. Options
End Date]],LesseeBase[[#This Row],[Initial Period
End Date]])</f>
        <v>0</v>
      </c>
      <c r="AW40" s="122" t="s">
        <v>321</v>
      </c>
      <c r="AX40" s="125" cm="1">
        <f t="array" ref="AX40">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0" s="119"/>
      <c r="AZ40" s="122"/>
      <c r="BA40" s="119"/>
      <c r="BB40" s="119"/>
      <c r="BC40" s="119"/>
      <c r="BD40" s="119"/>
      <c r="BE40" s="119"/>
      <c r="BF40" s="119"/>
      <c r="BG40" s="119"/>
      <c r="BH40" s="119"/>
    </row>
    <row r="41" spans="1:60" x14ac:dyDescent="0.25">
      <c r="A41" s="119" t="s">
        <v>509</v>
      </c>
      <c r="B41" s="119">
        <f>'Agency Cover'!$B$3</f>
        <v>0</v>
      </c>
      <c r="C41" s="119"/>
      <c r="D41" s="119" t="s">
        <v>291</v>
      </c>
      <c r="E41" s="125">
        <f>COUNTIF(LesseeBase[AgreementCode],LesseeBase[[#This Row],[AgreementCode]])</f>
        <v>0</v>
      </c>
      <c r="F41" s="119"/>
      <c r="G41" s="125">
        <f>COUNTIF(LesseeBase[AgreementTitle],LesseeBase[[#This Row],[AgreementTitle]])</f>
        <v>0</v>
      </c>
      <c r="H41" s="119"/>
      <c r="I41" s="119"/>
      <c r="J41" s="119"/>
      <c r="K41" s="119"/>
      <c r="L41" s="121"/>
      <c r="M41" s="121"/>
      <c r="N41" s="121"/>
      <c r="O41" s="121"/>
      <c r="P41" s="121"/>
      <c r="Q41" s="121"/>
      <c r="R41" s="121"/>
      <c r="S41" s="126">
        <f>LEN(LesseeBase[[#This Row],[Comments]])</f>
        <v>0</v>
      </c>
      <c r="T41" s="122" t="str">
        <f>LesseeBase[[#This Row],[Multi-
Record]]</f>
        <v>None</v>
      </c>
      <c r="U41" s="119">
        <f>LesseeBase[[#This Row],[AgreementCode]]</f>
        <v>0</v>
      </c>
      <c r="V41" s="119" t="str">
        <f>LEFT(LesseeBase[[#This Row],[AgreementTitle]],50)</f>
        <v/>
      </c>
      <c r="W41" s="125">
        <f>LesseeBase[[#This Row],[AgreementType]]</f>
        <v>0</v>
      </c>
      <c r="X41" s="119"/>
      <c r="Y41"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1" s="125">
        <f>LesseeBase[[#This Row],[ProvisionType]]</f>
        <v>0</v>
      </c>
      <c r="AA41" s="121"/>
      <c r="AB41" s="121">
        <f>IF(LesseeBase[[#This Row],[Incl. Options
End Date]]&gt;0,LesseeBase[[#This Row],[Incl. Options
End Date]],LesseeBase[[#This Row],[Initial Period
End Date]])</f>
        <v>0</v>
      </c>
      <c r="AC41" s="123"/>
      <c r="AD41" s="119"/>
      <c r="AE41" s="119"/>
      <c r="AF41" s="124"/>
      <c r="AG41" s="121"/>
      <c r="AH41" s="121"/>
      <c r="AI41" s="125" t="e" cm="1">
        <f t="array" ref="AI41">ROUND(ROUND((LesseeBase[[#This Row],[Payment
EndDate]]-LesseeBase[[#This Row],[Payment
StartDate]])/365,2)*_xlfn.IFS(LesseeBase[[#This Row],[Payment
Frequency]]="MO",12,LesseeBase[[#This Row],[Payment
Frequency]]="QT",4,LesseeBase[[#This Row],[Payment
Frequency]]="SA",2,LesseeBase[[#This Row],[Payment
Frequency]]="AN",1),0)</f>
        <v>#N/A</v>
      </c>
      <c r="AJ41" s="123" t="e">
        <f>ROUND(LesseeBase[[#This Row],[Payment
Amount]]*LesseeBase[[#This Row],[Number of
 Payments]],2)</f>
        <v>#N/A</v>
      </c>
      <c r="AK41"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1" s="123" t="e">
        <f>IF(LesseeBase[[#This Row],[Multi-
Record2]]="Multi-Amount", "calc on import",LesseeBase[[#This Row],[Total Amount
of Payments]]-LesseeBase[[#This Row],[Present
Value]])</f>
        <v>#N/A</v>
      </c>
      <c r="AM41" s="123" t="e">
        <f>LesseeBase[[#This Row],[Present
Value]]</f>
        <v>#DIV/0!</v>
      </c>
      <c r="AN41" s="123"/>
      <c r="AO41" s="123" t="e">
        <f>IF(LesseeBase[[#This Row],[Multi-
Record2]]="Multi-Amount", "calc on import",LesseeBase[[#This Row],[Total
CapitalizedValue]]-LesseeBase[[#This Row],[Capitalized
ResidualValue]])</f>
        <v>#DIV/0!</v>
      </c>
      <c r="AP41" s="123" t="e">
        <f>LesseeBase[[#This Row],[Calc Amount
to Amortize]]</f>
        <v>#DIV/0!</v>
      </c>
      <c r="AQ41" s="119" t="s">
        <v>296</v>
      </c>
      <c r="AR41" s="125" t="str">
        <f>IF(LesseeBase[[#This Row],[RoU Asset
AmortizationMethod]] = "Declining Balance", "Enter %","")</f>
        <v/>
      </c>
      <c r="AS41" s="125" t="str">
        <f>IF(LesseeBase[[#This Row],[RoU Asset
AmortizationMethod]]="Usage Based","Enter Usage Base","")</f>
        <v/>
      </c>
      <c r="AT41" s="125" t="str">
        <f>IF(LesseeBase[[#This Row],[RoU Asset
AmortizationMethod]]="Usage Based","Enter Usage UoM","")</f>
        <v/>
      </c>
      <c r="AU41" s="121"/>
      <c r="AV41" s="121">
        <f>IF(LesseeBase[[#This Row],[Incl. Options
End Date]]&gt;0,LesseeBase[[#This Row],[Incl. Options
End Date]],LesseeBase[[#This Row],[Initial Period
End Date]])</f>
        <v>0</v>
      </c>
      <c r="AW41" s="122" t="s">
        <v>321</v>
      </c>
      <c r="AX41" s="125" cm="1">
        <f t="array" ref="AX41">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1" s="119"/>
      <c r="AZ41" s="122"/>
      <c r="BA41" s="119"/>
      <c r="BB41" s="119"/>
      <c r="BC41" s="119"/>
      <c r="BD41" s="119"/>
      <c r="BE41" s="119"/>
      <c r="BF41" s="119"/>
      <c r="BG41" s="119"/>
      <c r="BH41" s="119"/>
    </row>
    <row r="42" spans="1:60" x14ac:dyDescent="0.25">
      <c r="A42" s="119" t="s">
        <v>509</v>
      </c>
      <c r="B42" s="119">
        <f>'Agency Cover'!$B$3</f>
        <v>0</v>
      </c>
      <c r="C42" s="119"/>
      <c r="D42" s="119" t="s">
        <v>291</v>
      </c>
      <c r="E42" s="125">
        <f>COUNTIF(LesseeBase[AgreementCode],LesseeBase[[#This Row],[AgreementCode]])</f>
        <v>0</v>
      </c>
      <c r="F42" s="119"/>
      <c r="G42" s="125">
        <f>COUNTIF(LesseeBase[AgreementTitle],LesseeBase[[#This Row],[AgreementTitle]])</f>
        <v>0</v>
      </c>
      <c r="H42" s="119"/>
      <c r="I42" s="119"/>
      <c r="J42" s="119"/>
      <c r="K42" s="119"/>
      <c r="L42" s="121"/>
      <c r="M42" s="121"/>
      <c r="N42" s="121"/>
      <c r="O42" s="121"/>
      <c r="P42" s="121"/>
      <c r="Q42" s="121"/>
      <c r="R42" s="121"/>
      <c r="S42" s="126">
        <f>LEN(LesseeBase[[#This Row],[Comments]])</f>
        <v>0</v>
      </c>
      <c r="T42" s="122" t="str">
        <f>LesseeBase[[#This Row],[Multi-
Record]]</f>
        <v>None</v>
      </c>
      <c r="U42" s="119">
        <f>LesseeBase[[#This Row],[AgreementCode]]</f>
        <v>0</v>
      </c>
      <c r="V42" s="119" t="str">
        <f>LEFT(LesseeBase[[#This Row],[AgreementTitle]],50)</f>
        <v/>
      </c>
      <c r="W42" s="125">
        <f>LesseeBase[[#This Row],[AgreementType]]</f>
        <v>0</v>
      </c>
      <c r="X42" s="119"/>
      <c r="Y42"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2" s="125">
        <f>LesseeBase[[#This Row],[ProvisionType]]</f>
        <v>0</v>
      </c>
      <c r="AA42" s="121"/>
      <c r="AB42" s="121">
        <f>IF(LesseeBase[[#This Row],[Incl. Options
End Date]]&gt;0,LesseeBase[[#This Row],[Incl. Options
End Date]],LesseeBase[[#This Row],[Initial Period
End Date]])</f>
        <v>0</v>
      </c>
      <c r="AC42" s="123"/>
      <c r="AD42" s="119"/>
      <c r="AE42" s="119"/>
      <c r="AF42" s="124"/>
      <c r="AG42" s="121"/>
      <c r="AH42" s="121"/>
      <c r="AI42" s="125" t="e" cm="1">
        <f t="array" ref="AI42">ROUND(ROUND((LesseeBase[[#This Row],[Payment
EndDate]]-LesseeBase[[#This Row],[Payment
StartDate]])/365,2)*_xlfn.IFS(LesseeBase[[#This Row],[Payment
Frequency]]="MO",12,LesseeBase[[#This Row],[Payment
Frequency]]="QT",4,LesseeBase[[#This Row],[Payment
Frequency]]="SA",2,LesseeBase[[#This Row],[Payment
Frequency]]="AN",1),0)</f>
        <v>#N/A</v>
      </c>
      <c r="AJ42" s="123" t="e">
        <f>ROUND(LesseeBase[[#This Row],[Payment
Amount]]*LesseeBase[[#This Row],[Number of
 Payments]],2)</f>
        <v>#N/A</v>
      </c>
      <c r="AK42"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2" s="123" t="e">
        <f>IF(LesseeBase[[#This Row],[Multi-
Record2]]="Multi-Amount", "calc on import",LesseeBase[[#This Row],[Total Amount
of Payments]]-LesseeBase[[#This Row],[Present
Value]])</f>
        <v>#N/A</v>
      </c>
      <c r="AM42" s="123" t="e">
        <f>LesseeBase[[#This Row],[Present
Value]]</f>
        <v>#DIV/0!</v>
      </c>
      <c r="AN42" s="123"/>
      <c r="AO42" s="123" t="e">
        <f>IF(LesseeBase[[#This Row],[Multi-
Record2]]="Multi-Amount", "calc on import",LesseeBase[[#This Row],[Total
CapitalizedValue]]-LesseeBase[[#This Row],[Capitalized
ResidualValue]])</f>
        <v>#DIV/0!</v>
      </c>
      <c r="AP42" s="123" t="e">
        <f>LesseeBase[[#This Row],[Calc Amount
to Amortize]]</f>
        <v>#DIV/0!</v>
      </c>
      <c r="AQ42" s="119" t="s">
        <v>296</v>
      </c>
      <c r="AR42" s="125" t="str">
        <f>IF(LesseeBase[[#This Row],[RoU Asset
AmortizationMethod]] = "Declining Balance", "Enter %","")</f>
        <v/>
      </c>
      <c r="AS42" s="125" t="str">
        <f>IF(LesseeBase[[#This Row],[RoU Asset
AmortizationMethod]]="Usage Based","Enter Usage Base","")</f>
        <v/>
      </c>
      <c r="AT42" s="125" t="str">
        <f>IF(LesseeBase[[#This Row],[RoU Asset
AmortizationMethod]]="Usage Based","Enter Usage UoM","")</f>
        <v/>
      </c>
      <c r="AU42" s="121"/>
      <c r="AV42" s="121">
        <f>IF(LesseeBase[[#This Row],[Incl. Options
End Date]]&gt;0,LesseeBase[[#This Row],[Incl. Options
End Date]],LesseeBase[[#This Row],[Initial Period
End Date]])</f>
        <v>0</v>
      </c>
      <c r="AW42" s="122" t="s">
        <v>321</v>
      </c>
      <c r="AX42" s="125" cm="1">
        <f t="array" ref="AX42">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2" s="119"/>
      <c r="AZ42" s="122"/>
      <c r="BA42" s="119"/>
      <c r="BB42" s="119"/>
      <c r="BC42" s="119"/>
      <c r="BD42" s="119"/>
      <c r="BE42" s="119"/>
      <c r="BF42" s="119"/>
      <c r="BG42" s="119"/>
      <c r="BH42" s="119"/>
    </row>
    <row r="43" spans="1:60" x14ac:dyDescent="0.25">
      <c r="A43" s="119" t="s">
        <v>509</v>
      </c>
      <c r="B43" s="119">
        <f>'Agency Cover'!$B$3</f>
        <v>0</v>
      </c>
      <c r="C43" s="119"/>
      <c r="D43" s="119" t="s">
        <v>291</v>
      </c>
      <c r="E43" s="125">
        <f>COUNTIF(LesseeBase[AgreementCode],LesseeBase[[#This Row],[AgreementCode]])</f>
        <v>0</v>
      </c>
      <c r="F43" s="119"/>
      <c r="G43" s="125">
        <f>COUNTIF(LesseeBase[AgreementTitle],LesseeBase[[#This Row],[AgreementTitle]])</f>
        <v>0</v>
      </c>
      <c r="H43" s="119"/>
      <c r="I43" s="119"/>
      <c r="J43" s="119"/>
      <c r="K43" s="119"/>
      <c r="L43" s="121"/>
      <c r="M43" s="121"/>
      <c r="N43" s="121"/>
      <c r="O43" s="121"/>
      <c r="P43" s="121"/>
      <c r="Q43" s="121"/>
      <c r="R43" s="121"/>
      <c r="S43" s="126">
        <f>LEN(LesseeBase[[#This Row],[Comments]])</f>
        <v>0</v>
      </c>
      <c r="T43" s="122" t="str">
        <f>LesseeBase[[#This Row],[Multi-
Record]]</f>
        <v>None</v>
      </c>
      <c r="U43" s="119">
        <f>LesseeBase[[#This Row],[AgreementCode]]</f>
        <v>0</v>
      </c>
      <c r="V43" s="119" t="str">
        <f>LEFT(LesseeBase[[#This Row],[AgreementTitle]],50)</f>
        <v/>
      </c>
      <c r="W43" s="125">
        <f>LesseeBase[[#This Row],[AgreementType]]</f>
        <v>0</v>
      </c>
      <c r="X43" s="119"/>
      <c r="Y43"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3" s="125">
        <f>LesseeBase[[#This Row],[ProvisionType]]</f>
        <v>0</v>
      </c>
      <c r="AA43" s="121"/>
      <c r="AB43" s="121">
        <f>IF(LesseeBase[[#This Row],[Incl. Options
End Date]]&gt;0,LesseeBase[[#This Row],[Incl. Options
End Date]],LesseeBase[[#This Row],[Initial Period
End Date]])</f>
        <v>0</v>
      </c>
      <c r="AC43" s="123"/>
      <c r="AD43" s="119"/>
      <c r="AE43" s="119"/>
      <c r="AF43" s="124"/>
      <c r="AG43" s="121"/>
      <c r="AH43" s="121"/>
      <c r="AI43" s="125" t="e" cm="1">
        <f t="array" ref="AI43">ROUND(ROUND((LesseeBase[[#This Row],[Payment
EndDate]]-LesseeBase[[#This Row],[Payment
StartDate]])/365,2)*_xlfn.IFS(LesseeBase[[#This Row],[Payment
Frequency]]="MO",12,LesseeBase[[#This Row],[Payment
Frequency]]="QT",4,LesseeBase[[#This Row],[Payment
Frequency]]="SA",2,LesseeBase[[#This Row],[Payment
Frequency]]="AN",1),0)</f>
        <v>#N/A</v>
      </c>
      <c r="AJ43" s="123" t="e">
        <f>ROUND(LesseeBase[[#This Row],[Payment
Amount]]*LesseeBase[[#This Row],[Number of
 Payments]],2)</f>
        <v>#N/A</v>
      </c>
      <c r="AK43"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3" s="123" t="e">
        <f>IF(LesseeBase[[#This Row],[Multi-
Record2]]="Multi-Amount", "calc on import",LesseeBase[[#This Row],[Total Amount
of Payments]]-LesseeBase[[#This Row],[Present
Value]])</f>
        <v>#N/A</v>
      </c>
      <c r="AM43" s="123" t="e">
        <f>LesseeBase[[#This Row],[Present
Value]]</f>
        <v>#DIV/0!</v>
      </c>
      <c r="AN43" s="123"/>
      <c r="AO43" s="123" t="e">
        <f>IF(LesseeBase[[#This Row],[Multi-
Record2]]="Multi-Amount", "calc on import",LesseeBase[[#This Row],[Total
CapitalizedValue]]-LesseeBase[[#This Row],[Capitalized
ResidualValue]])</f>
        <v>#DIV/0!</v>
      </c>
      <c r="AP43" s="123" t="e">
        <f>LesseeBase[[#This Row],[Calc Amount
to Amortize]]</f>
        <v>#DIV/0!</v>
      </c>
      <c r="AQ43" s="119" t="s">
        <v>296</v>
      </c>
      <c r="AR43" s="125" t="str">
        <f>IF(LesseeBase[[#This Row],[RoU Asset
AmortizationMethod]] = "Declining Balance", "Enter %","")</f>
        <v/>
      </c>
      <c r="AS43" s="125" t="str">
        <f>IF(LesseeBase[[#This Row],[RoU Asset
AmortizationMethod]]="Usage Based","Enter Usage Base","")</f>
        <v/>
      </c>
      <c r="AT43" s="125" t="str">
        <f>IF(LesseeBase[[#This Row],[RoU Asset
AmortizationMethod]]="Usage Based","Enter Usage UoM","")</f>
        <v/>
      </c>
      <c r="AU43" s="121"/>
      <c r="AV43" s="121">
        <f>IF(LesseeBase[[#This Row],[Incl. Options
End Date]]&gt;0,LesseeBase[[#This Row],[Incl. Options
End Date]],LesseeBase[[#This Row],[Initial Period
End Date]])</f>
        <v>0</v>
      </c>
      <c r="AW43" s="122" t="s">
        <v>321</v>
      </c>
      <c r="AX43" s="125" cm="1">
        <f t="array" ref="AX43">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3" s="119"/>
      <c r="AZ43" s="122"/>
      <c r="BA43" s="119"/>
      <c r="BB43" s="119"/>
      <c r="BC43" s="119"/>
      <c r="BD43" s="119"/>
      <c r="BE43" s="119"/>
      <c r="BF43" s="119"/>
      <c r="BG43" s="119"/>
      <c r="BH43" s="119"/>
    </row>
    <row r="44" spans="1:60" x14ac:dyDescent="0.25">
      <c r="A44" s="119" t="s">
        <v>509</v>
      </c>
      <c r="B44" s="119">
        <f>'Agency Cover'!$B$3</f>
        <v>0</v>
      </c>
      <c r="C44" s="119"/>
      <c r="D44" s="119" t="s">
        <v>291</v>
      </c>
      <c r="E44" s="125">
        <f>COUNTIF(LesseeBase[AgreementCode],LesseeBase[[#This Row],[AgreementCode]])</f>
        <v>0</v>
      </c>
      <c r="F44" s="119"/>
      <c r="G44" s="125">
        <f>COUNTIF(LesseeBase[AgreementTitle],LesseeBase[[#This Row],[AgreementTitle]])</f>
        <v>0</v>
      </c>
      <c r="H44" s="119"/>
      <c r="I44" s="119"/>
      <c r="J44" s="119"/>
      <c r="K44" s="119"/>
      <c r="L44" s="121"/>
      <c r="M44" s="121"/>
      <c r="N44" s="121"/>
      <c r="O44" s="121"/>
      <c r="P44" s="121"/>
      <c r="Q44" s="121"/>
      <c r="R44" s="121"/>
      <c r="S44" s="126">
        <f>LEN(LesseeBase[[#This Row],[Comments]])</f>
        <v>0</v>
      </c>
      <c r="T44" s="122" t="str">
        <f>LesseeBase[[#This Row],[Multi-
Record]]</f>
        <v>None</v>
      </c>
      <c r="U44" s="119">
        <f>LesseeBase[[#This Row],[AgreementCode]]</f>
        <v>0</v>
      </c>
      <c r="V44" s="119" t="str">
        <f>LEFT(LesseeBase[[#This Row],[AgreementTitle]],50)</f>
        <v/>
      </c>
      <c r="W44" s="125">
        <f>LesseeBase[[#This Row],[AgreementType]]</f>
        <v>0</v>
      </c>
      <c r="X44" s="119"/>
      <c r="Y44"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4" s="125">
        <f>LesseeBase[[#This Row],[ProvisionType]]</f>
        <v>0</v>
      </c>
      <c r="AA44" s="121"/>
      <c r="AB44" s="121">
        <f>IF(LesseeBase[[#This Row],[Incl. Options
End Date]]&gt;0,LesseeBase[[#This Row],[Incl. Options
End Date]],LesseeBase[[#This Row],[Initial Period
End Date]])</f>
        <v>0</v>
      </c>
      <c r="AC44" s="123"/>
      <c r="AD44" s="119"/>
      <c r="AE44" s="119"/>
      <c r="AF44" s="124"/>
      <c r="AG44" s="121"/>
      <c r="AH44" s="121"/>
      <c r="AI44" s="125" t="e" cm="1">
        <f t="array" ref="AI44">ROUND(ROUND((LesseeBase[[#This Row],[Payment
EndDate]]-LesseeBase[[#This Row],[Payment
StartDate]])/365,2)*_xlfn.IFS(LesseeBase[[#This Row],[Payment
Frequency]]="MO",12,LesseeBase[[#This Row],[Payment
Frequency]]="QT",4,LesseeBase[[#This Row],[Payment
Frequency]]="SA",2,LesseeBase[[#This Row],[Payment
Frequency]]="AN",1),0)</f>
        <v>#N/A</v>
      </c>
      <c r="AJ44" s="123" t="e">
        <f>ROUND(LesseeBase[[#This Row],[Payment
Amount]]*LesseeBase[[#This Row],[Number of
 Payments]],2)</f>
        <v>#N/A</v>
      </c>
      <c r="AK44"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4" s="123" t="e">
        <f>IF(LesseeBase[[#This Row],[Multi-
Record2]]="Multi-Amount", "calc on import",LesseeBase[[#This Row],[Total Amount
of Payments]]-LesseeBase[[#This Row],[Present
Value]])</f>
        <v>#N/A</v>
      </c>
      <c r="AM44" s="123" t="e">
        <f>LesseeBase[[#This Row],[Present
Value]]</f>
        <v>#DIV/0!</v>
      </c>
      <c r="AN44" s="123"/>
      <c r="AO44" s="123" t="e">
        <f>IF(LesseeBase[[#This Row],[Multi-
Record2]]="Multi-Amount", "calc on import",LesseeBase[[#This Row],[Total
CapitalizedValue]]-LesseeBase[[#This Row],[Capitalized
ResidualValue]])</f>
        <v>#DIV/0!</v>
      </c>
      <c r="AP44" s="123" t="e">
        <f>LesseeBase[[#This Row],[Calc Amount
to Amortize]]</f>
        <v>#DIV/0!</v>
      </c>
      <c r="AQ44" s="119" t="s">
        <v>296</v>
      </c>
      <c r="AR44" s="125" t="str">
        <f>IF(LesseeBase[[#This Row],[RoU Asset
AmortizationMethod]] = "Declining Balance", "Enter %","")</f>
        <v/>
      </c>
      <c r="AS44" s="125" t="str">
        <f>IF(LesseeBase[[#This Row],[RoU Asset
AmortizationMethod]]="Usage Based","Enter Usage Base","")</f>
        <v/>
      </c>
      <c r="AT44" s="125" t="str">
        <f>IF(LesseeBase[[#This Row],[RoU Asset
AmortizationMethod]]="Usage Based","Enter Usage UoM","")</f>
        <v/>
      </c>
      <c r="AU44" s="121"/>
      <c r="AV44" s="121">
        <f>IF(LesseeBase[[#This Row],[Incl. Options
End Date]]&gt;0,LesseeBase[[#This Row],[Incl. Options
End Date]],LesseeBase[[#This Row],[Initial Period
End Date]])</f>
        <v>0</v>
      </c>
      <c r="AW44" s="122" t="s">
        <v>321</v>
      </c>
      <c r="AX44" s="125" cm="1">
        <f t="array" ref="AX44">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4" s="119"/>
      <c r="AZ44" s="122"/>
      <c r="BA44" s="119"/>
      <c r="BB44" s="119"/>
      <c r="BC44" s="119"/>
      <c r="BD44" s="119"/>
      <c r="BE44" s="119"/>
      <c r="BF44" s="119"/>
      <c r="BG44" s="119"/>
      <c r="BH44" s="119"/>
    </row>
    <row r="45" spans="1:60" x14ac:dyDescent="0.25">
      <c r="A45" s="119" t="s">
        <v>509</v>
      </c>
      <c r="B45" s="119">
        <f>'Agency Cover'!$B$3</f>
        <v>0</v>
      </c>
      <c r="C45" s="119"/>
      <c r="D45" s="119" t="s">
        <v>291</v>
      </c>
      <c r="E45" s="125">
        <f>COUNTIF(LesseeBase[AgreementCode],LesseeBase[[#This Row],[AgreementCode]])</f>
        <v>0</v>
      </c>
      <c r="F45" s="119"/>
      <c r="G45" s="125">
        <f>COUNTIF(LesseeBase[AgreementTitle],LesseeBase[[#This Row],[AgreementTitle]])</f>
        <v>0</v>
      </c>
      <c r="H45" s="119"/>
      <c r="I45" s="119"/>
      <c r="J45" s="119"/>
      <c r="K45" s="119"/>
      <c r="L45" s="121"/>
      <c r="M45" s="121"/>
      <c r="N45" s="121"/>
      <c r="O45" s="121"/>
      <c r="P45" s="121"/>
      <c r="Q45" s="121"/>
      <c r="R45" s="121"/>
      <c r="S45" s="126">
        <f>LEN(LesseeBase[[#This Row],[Comments]])</f>
        <v>0</v>
      </c>
      <c r="T45" s="122" t="str">
        <f>LesseeBase[[#This Row],[Multi-
Record]]</f>
        <v>None</v>
      </c>
      <c r="U45" s="119">
        <f>LesseeBase[[#This Row],[AgreementCode]]</f>
        <v>0</v>
      </c>
      <c r="V45" s="119" t="str">
        <f>LEFT(LesseeBase[[#This Row],[AgreementTitle]],50)</f>
        <v/>
      </c>
      <c r="W45" s="125">
        <f>LesseeBase[[#This Row],[AgreementType]]</f>
        <v>0</v>
      </c>
      <c r="X45" s="119"/>
      <c r="Y45"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5" s="125">
        <f>LesseeBase[[#This Row],[ProvisionType]]</f>
        <v>0</v>
      </c>
      <c r="AA45" s="121"/>
      <c r="AB45" s="121">
        <f>IF(LesseeBase[[#This Row],[Incl. Options
End Date]]&gt;0,LesseeBase[[#This Row],[Incl. Options
End Date]],LesseeBase[[#This Row],[Initial Period
End Date]])</f>
        <v>0</v>
      </c>
      <c r="AC45" s="123"/>
      <c r="AD45" s="119"/>
      <c r="AE45" s="119"/>
      <c r="AF45" s="124"/>
      <c r="AG45" s="121"/>
      <c r="AH45" s="121"/>
      <c r="AI45" s="125" t="e" cm="1">
        <f t="array" ref="AI45">ROUND(ROUND((LesseeBase[[#This Row],[Payment
EndDate]]-LesseeBase[[#This Row],[Payment
StartDate]])/365,2)*_xlfn.IFS(LesseeBase[[#This Row],[Payment
Frequency]]="MO",12,LesseeBase[[#This Row],[Payment
Frequency]]="QT",4,LesseeBase[[#This Row],[Payment
Frequency]]="SA",2,LesseeBase[[#This Row],[Payment
Frequency]]="AN",1),0)</f>
        <v>#N/A</v>
      </c>
      <c r="AJ45" s="123" t="e">
        <f>ROUND(LesseeBase[[#This Row],[Payment
Amount]]*LesseeBase[[#This Row],[Number of
 Payments]],2)</f>
        <v>#N/A</v>
      </c>
      <c r="AK45"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5" s="123" t="e">
        <f>IF(LesseeBase[[#This Row],[Multi-
Record2]]="Multi-Amount", "calc on import",LesseeBase[[#This Row],[Total Amount
of Payments]]-LesseeBase[[#This Row],[Present
Value]])</f>
        <v>#N/A</v>
      </c>
      <c r="AM45" s="123" t="e">
        <f>LesseeBase[[#This Row],[Present
Value]]</f>
        <v>#DIV/0!</v>
      </c>
      <c r="AN45" s="123"/>
      <c r="AO45" s="123" t="e">
        <f>IF(LesseeBase[[#This Row],[Multi-
Record2]]="Multi-Amount", "calc on import",LesseeBase[[#This Row],[Total
CapitalizedValue]]-LesseeBase[[#This Row],[Capitalized
ResidualValue]])</f>
        <v>#DIV/0!</v>
      </c>
      <c r="AP45" s="123" t="e">
        <f>LesseeBase[[#This Row],[Calc Amount
to Amortize]]</f>
        <v>#DIV/0!</v>
      </c>
      <c r="AQ45" s="119" t="s">
        <v>296</v>
      </c>
      <c r="AR45" s="125" t="str">
        <f>IF(LesseeBase[[#This Row],[RoU Asset
AmortizationMethod]] = "Declining Balance", "Enter %","")</f>
        <v/>
      </c>
      <c r="AS45" s="125" t="str">
        <f>IF(LesseeBase[[#This Row],[RoU Asset
AmortizationMethod]]="Usage Based","Enter Usage Base","")</f>
        <v/>
      </c>
      <c r="AT45" s="125" t="str">
        <f>IF(LesseeBase[[#This Row],[RoU Asset
AmortizationMethod]]="Usage Based","Enter Usage UoM","")</f>
        <v/>
      </c>
      <c r="AU45" s="121"/>
      <c r="AV45" s="121">
        <f>IF(LesseeBase[[#This Row],[Incl. Options
End Date]]&gt;0,LesseeBase[[#This Row],[Incl. Options
End Date]],LesseeBase[[#This Row],[Initial Period
End Date]])</f>
        <v>0</v>
      </c>
      <c r="AW45" s="122" t="s">
        <v>321</v>
      </c>
      <c r="AX45" s="125" cm="1">
        <f t="array" ref="AX45">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5" s="119"/>
      <c r="AZ45" s="122"/>
      <c r="BA45" s="119"/>
      <c r="BB45" s="119"/>
      <c r="BC45" s="119"/>
      <c r="BD45" s="119"/>
      <c r="BE45" s="119"/>
      <c r="BF45" s="119"/>
      <c r="BG45" s="119"/>
      <c r="BH45" s="119"/>
    </row>
    <row r="46" spans="1:60" x14ac:dyDescent="0.25">
      <c r="A46" s="119" t="s">
        <v>509</v>
      </c>
      <c r="B46" s="119">
        <f>'Agency Cover'!$B$3</f>
        <v>0</v>
      </c>
      <c r="C46" s="119"/>
      <c r="D46" s="119" t="s">
        <v>291</v>
      </c>
      <c r="E46" s="125">
        <f>COUNTIF(LesseeBase[AgreementCode],LesseeBase[[#This Row],[AgreementCode]])</f>
        <v>0</v>
      </c>
      <c r="F46" s="119"/>
      <c r="G46" s="125">
        <f>COUNTIF(LesseeBase[AgreementTitle],LesseeBase[[#This Row],[AgreementTitle]])</f>
        <v>0</v>
      </c>
      <c r="H46" s="119"/>
      <c r="I46" s="119"/>
      <c r="J46" s="119"/>
      <c r="K46" s="119"/>
      <c r="L46" s="121"/>
      <c r="M46" s="121"/>
      <c r="N46" s="121"/>
      <c r="O46" s="121"/>
      <c r="P46" s="121"/>
      <c r="Q46" s="121"/>
      <c r="R46" s="121"/>
      <c r="S46" s="126">
        <f>LEN(LesseeBase[[#This Row],[Comments]])</f>
        <v>0</v>
      </c>
      <c r="T46" s="122" t="str">
        <f>LesseeBase[[#This Row],[Multi-
Record]]</f>
        <v>None</v>
      </c>
      <c r="U46" s="119">
        <f>LesseeBase[[#This Row],[AgreementCode]]</f>
        <v>0</v>
      </c>
      <c r="V46" s="119" t="str">
        <f>LEFT(LesseeBase[[#This Row],[AgreementTitle]],50)</f>
        <v/>
      </c>
      <c r="W46" s="125">
        <f>LesseeBase[[#This Row],[AgreementType]]</f>
        <v>0</v>
      </c>
      <c r="X46" s="119"/>
      <c r="Y46"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6" s="125">
        <f>LesseeBase[[#This Row],[ProvisionType]]</f>
        <v>0</v>
      </c>
      <c r="AA46" s="121"/>
      <c r="AB46" s="121">
        <f>IF(LesseeBase[[#This Row],[Incl. Options
End Date]]&gt;0,LesseeBase[[#This Row],[Incl. Options
End Date]],LesseeBase[[#This Row],[Initial Period
End Date]])</f>
        <v>0</v>
      </c>
      <c r="AC46" s="123"/>
      <c r="AD46" s="119"/>
      <c r="AE46" s="119"/>
      <c r="AF46" s="124"/>
      <c r="AG46" s="121"/>
      <c r="AH46" s="121"/>
      <c r="AI46" s="125" t="e" cm="1">
        <f t="array" ref="AI46">ROUND(ROUND((LesseeBase[[#This Row],[Payment
EndDate]]-LesseeBase[[#This Row],[Payment
StartDate]])/365,2)*_xlfn.IFS(LesseeBase[[#This Row],[Payment
Frequency]]="MO",12,LesseeBase[[#This Row],[Payment
Frequency]]="QT",4,LesseeBase[[#This Row],[Payment
Frequency]]="SA",2,LesseeBase[[#This Row],[Payment
Frequency]]="AN",1),0)</f>
        <v>#N/A</v>
      </c>
      <c r="AJ46" s="123" t="e">
        <f>ROUND(LesseeBase[[#This Row],[Payment
Amount]]*LesseeBase[[#This Row],[Number of
 Payments]],2)</f>
        <v>#N/A</v>
      </c>
      <c r="AK46"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6" s="123" t="e">
        <f>IF(LesseeBase[[#This Row],[Multi-
Record2]]="Multi-Amount", "calc on import",LesseeBase[[#This Row],[Total Amount
of Payments]]-LesseeBase[[#This Row],[Present
Value]])</f>
        <v>#N/A</v>
      </c>
      <c r="AM46" s="123" t="e">
        <f>LesseeBase[[#This Row],[Present
Value]]</f>
        <v>#DIV/0!</v>
      </c>
      <c r="AN46" s="123"/>
      <c r="AO46" s="123" t="e">
        <f>IF(LesseeBase[[#This Row],[Multi-
Record2]]="Multi-Amount", "calc on import",LesseeBase[[#This Row],[Total
CapitalizedValue]]-LesseeBase[[#This Row],[Capitalized
ResidualValue]])</f>
        <v>#DIV/0!</v>
      </c>
      <c r="AP46" s="123" t="e">
        <f>LesseeBase[[#This Row],[Calc Amount
to Amortize]]</f>
        <v>#DIV/0!</v>
      </c>
      <c r="AQ46" s="119" t="s">
        <v>296</v>
      </c>
      <c r="AR46" s="125" t="str">
        <f>IF(LesseeBase[[#This Row],[RoU Asset
AmortizationMethod]] = "Declining Balance", "Enter %","")</f>
        <v/>
      </c>
      <c r="AS46" s="125" t="str">
        <f>IF(LesseeBase[[#This Row],[RoU Asset
AmortizationMethod]]="Usage Based","Enter Usage Base","")</f>
        <v/>
      </c>
      <c r="AT46" s="125" t="str">
        <f>IF(LesseeBase[[#This Row],[RoU Asset
AmortizationMethod]]="Usage Based","Enter Usage UoM","")</f>
        <v/>
      </c>
      <c r="AU46" s="121"/>
      <c r="AV46" s="121">
        <f>IF(LesseeBase[[#This Row],[Incl. Options
End Date]]&gt;0,LesseeBase[[#This Row],[Incl. Options
End Date]],LesseeBase[[#This Row],[Initial Period
End Date]])</f>
        <v>0</v>
      </c>
      <c r="AW46" s="122" t="s">
        <v>321</v>
      </c>
      <c r="AX46" s="125" cm="1">
        <f t="array" ref="AX46">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6" s="119"/>
      <c r="AZ46" s="122"/>
      <c r="BA46" s="119"/>
      <c r="BB46" s="119"/>
      <c r="BC46" s="119"/>
      <c r="BD46" s="119"/>
      <c r="BE46" s="119"/>
      <c r="BF46" s="119"/>
      <c r="BG46" s="119"/>
      <c r="BH46" s="119"/>
    </row>
    <row r="47" spans="1:60" x14ac:dyDescent="0.25">
      <c r="A47" s="119" t="s">
        <v>509</v>
      </c>
      <c r="B47" s="119">
        <f>'Agency Cover'!$B$3</f>
        <v>0</v>
      </c>
      <c r="C47" s="119"/>
      <c r="D47" s="119" t="s">
        <v>291</v>
      </c>
      <c r="E47" s="125">
        <f>COUNTIF(LesseeBase[AgreementCode],LesseeBase[[#This Row],[AgreementCode]])</f>
        <v>0</v>
      </c>
      <c r="F47" s="119"/>
      <c r="G47" s="125">
        <f>COUNTIF(LesseeBase[AgreementTitle],LesseeBase[[#This Row],[AgreementTitle]])</f>
        <v>0</v>
      </c>
      <c r="H47" s="119"/>
      <c r="I47" s="119"/>
      <c r="J47" s="119"/>
      <c r="K47" s="119"/>
      <c r="L47" s="121"/>
      <c r="M47" s="121"/>
      <c r="N47" s="121"/>
      <c r="O47" s="121"/>
      <c r="P47" s="121"/>
      <c r="Q47" s="121"/>
      <c r="R47" s="121"/>
      <c r="S47" s="126">
        <f>LEN(LesseeBase[[#This Row],[Comments]])</f>
        <v>0</v>
      </c>
      <c r="T47" s="122" t="str">
        <f>LesseeBase[[#This Row],[Multi-
Record]]</f>
        <v>None</v>
      </c>
      <c r="U47" s="119">
        <f>LesseeBase[[#This Row],[AgreementCode]]</f>
        <v>0</v>
      </c>
      <c r="V47" s="119" t="str">
        <f>LEFT(LesseeBase[[#This Row],[AgreementTitle]],50)</f>
        <v/>
      </c>
      <c r="W47" s="125">
        <f>LesseeBase[[#This Row],[AgreementType]]</f>
        <v>0</v>
      </c>
      <c r="X47" s="119"/>
      <c r="Y47"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7" s="125">
        <f>LesseeBase[[#This Row],[ProvisionType]]</f>
        <v>0</v>
      </c>
      <c r="AA47" s="121"/>
      <c r="AB47" s="121">
        <f>IF(LesseeBase[[#This Row],[Incl. Options
End Date]]&gt;0,LesseeBase[[#This Row],[Incl. Options
End Date]],LesseeBase[[#This Row],[Initial Period
End Date]])</f>
        <v>0</v>
      </c>
      <c r="AC47" s="123"/>
      <c r="AD47" s="119"/>
      <c r="AE47" s="119"/>
      <c r="AF47" s="124"/>
      <c r="AG47" s="121"/>
      <c r="AH47" s="121"/>
      <c r="AI47" s="125" t="e" cm="1">
        <f t="array" ref="AI47">ROUND(ROUND((LesseeBase[[#This Row],[Payment
EndDate]]-LesseeBase[[#This Row],[Payment
StartDate]])/365,2)*_xlfn.IFS(LesseeBase[[#This Row],[Payment
Frequency]]="MO",12,LesseeBase[[#This Row],[Payment
Frequency]]="QT",4,LesseeBase[[#This Row],[Payment
Frequency]]="SA",2,LesseeBase[[#This Row],[Payment
Frequency]]="AN",1),0)</f>
        <v>#N/A</v>
      </c>
      <c r="AJ47" s="123" t="e">
        <f>ROUND(LesseeBase[[#This Row],[Payment
Amount]]*LesseeBase[[#This Row],[Number of
 Payments]],2)</f>
        <v>#N/A</v>
      </c>
      <c r="AK47"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7" s="123" t="e">
        <f>IF(LesseeBase[[#This Row],[Multi-
Record2]]="Multi-Amount", "calc on import",LesseeBase[[#This Row],[Total Amount
of Payments]]-LesseeBase[[#This Row],[Present
Value]])</f>
        <v>#N/A</v>
      </c>
      <c r="AM47" s="123" t="e">
        <f>LesseeBase[[#This Row],[Present
Value]]</f>
        <v>#DIV/0!</v>
      </c>
      <c r="AN47" s="123"/>
      <c r="AO47" s="123" t="e">
        <f>IF(LesseeBase[[#This Row],[Multi-
Record2]]="Multi-Amount", "calc on import",LesseeBase[[#This Row],[Total
CapitalizedValue]]-LesseeBase[[#This Row],[Capitalized
ResidualValue]])</f>
        <v>#DIV/0!</v>
      </c>
      <c r="AP47" s="123" t="e">
        <f>LesseeBase[[#This Row],[Calc Amount
to Amortize]]</f>
        <v>#DIV/0!</v>
      </c>
      <c r="AQ47" s="119" t="s">
        <v>296</v>
      </c>
      <c r="AR47" s="125" t="str">
        <f>IF(LesseeBase[[#This Row],[RoU Asset
AmortizationMethod]] = "Declining Balance", "Enter %","")</f>
        <v/>
      </c>
      <c r="AS47" s="125" t="str">
        <f>IF(LesseeBase[[#This Row],[RoU Asset
AmortizationMethod]]="Usage Based","Enter Usage Base","")</f>
        <v/>
      </c>
      <c r="AT47" s="125" t="str">
        <f>IF(LesseeBase[[#This Row],[RoU Asset
AmortizationMethod]]="Usage Based","Enter Usage UoM","")</f>
        <v/>
      </c>
      <c r="AU47" s="121"/>
      <c r="AV47" s="121">
        <f>IF(LesseeBase[[#This Row],[Incl. Options
End Date]]&gt;0,LesseeBase[[#This Row],[Incl. Options
End Date]],LesseeBase[[#This Row],[Initial Period
End Date]])</f>
        <v>0</v>
      </c>
      <c r="AW47" s="122" t="s">
        <v>321</v>
      </c>
      <c r="AX47" s="125" cm="1">
        <f t="array" ref="AX47">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7" s="119"/>
      <c r="AZ47" s="122"/>
      <c r="BA47" s="119"/>
      <c r="BB47" s="119"/>
      <c r="BC47" s="119"/>
      <c r="BD47" s="119"/>
      <c r="BE47" s="119"/>
      <c r="BF47" s="119"/>
      <c r="BG47" s="119"/>
      <c r="BH47" s="119"/>
    </row>
    <row r="48" spans="1:60" x14ac:dyDescent="0.25">
      <c r="A48" s="119" t="s">
        <v>509</v>
      </c>
      <c r="B48" s="119">
        <f>'Agency Cover'!$B$3</f>
        <v>0</v>
      </c>
      <c r="C48" s="119"/>
      <c r="D48" s="119" t="s">
        <v>291</v>
      </c>
      <c r="E48" s="125">
        <f>COUNTIF(LesseeBase[AgreementCode],LesseeBase[[#This Row],[AgreementCode]])</f>
        <v>0</v>
      </c>
      <c r="F48" s="119"/>
      <c r="G48" s="125">
        <f>COUNTIF(LesseeBase[AgreementTitle],LesseeBase[[#This Row],[AgreementTitle]])</f>
        <v>0</v>
      </c>
      <c r="H48" s="119"/>
      <c r="I48" s="119"/>
      <c r="J48" s="119"/>
      <c r="K48" s="119"/>
      <c r="L48" s="121"/>
      <c r="M48" s="121"/>
      <c r="N48" s="121"/>
      <c r="O48" s="121"/>
      <c r="P48" s="121"/>
      <c r="Q48" s="121"/>
      <c r="R48" s="121"/>
      <c r="S48" s="126">
        <f>LEN(LesseeBase[[#This Row],[Comments]])</f>
        <v>0</v>
      </c>
      <c r="T48" s="122" t="str">
        <f>LesseeBase[[#This Row],[Multi-
Record]]</f>
        <v>None</v>
      </c>
      <c r="U48" s="119">
        <f>LesseeBase[[#This Row],[AgreementCode]]</f>
        <v>0</v>
      </c>
      <c r="V48" s="119" t="str">
        <f>LEFT(LesseeBase[[#This Row],[AgreementTitle]],50)</f>
        <v/>
      </c>
      <c r="W48" s="125">
        <f>LesseeBase[[#This Row],[AgreementType]]</f>
        <v>0</v>
      </c>
      <c r="X48" s="119"/>
      <c r="Y48"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8" s="125">
        <f>LesseeBase[[#This Row],[ProvisionType]]</f>
        <v>0</v>
      </c>
      <c r="AA48" s="121"/>
      <c r="AB48" s="121">
        <f>IF(LesseeBase[[#This Row],[Incl. Options
End Date]]&gt;0,LesseeBase[[#This Row],[Incl. Options
End Date]],LesseeBase[[#This Row],[Initial Period
End Date]])</f>
        <v>0</v>
      </c>
      <c r="AC48" s="123"/>
      <c r="AD48" s="119"/>
      <c r="AE48" s="119"/>
      <c r="AF48" s="124"/>
      <c r="AG48" s="121"/>
      <c r="AH48" s="121"/>
      <c r="AI48" s="125" t="e" cm="1">
        <f t="array" ref="AI48">ROUND(ROUND((LesseeBase[[#This Row],[Payment
EndDate]]-LesseeBase[[#This Row],[Payment
StartDate]])/365,2)*_xlfn.IFS(LesseeBase[[#This Row],[Payment
Frequency]]="MO",12,LesseeBase[[#This Row],[Payment
Frequency]]="QT",4,LesseeBase[[#This Row],[Payment
Frequency]]="SA",2,LesseeBase[[#This Row],[Payment
Frequency]]="AN",1),0)</f>
        <v>#N/A</v>
      </c>
      <c r="AJ48" s="123" t="e">
        <f>ROUND(LesseeBase[[#This Row],[Payment
Amount]]*LesseeBase[[#This Row],[Number of
 Payments]],2)</f>
        <v>#N/A</v>
      </c>
      <c r="AK48"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8" s="123" t="e">
        <f>IF(LesseeBase[[#This Row],[Multi-
Record2]]="Multi-Amount", "calc on import",LesseeBase[[#This Row],[Total Amount
of Payments]]-LesseeBase[[#This Row],[Present
Value]])</f>
        <v>#N/A</v>
      </c>
      <c r="AM48" s="123" t="e">
        <f>LesseeBase[[#This Row],[Present
Value]]</f>
        <v>#DIV/0!</v>
      </c>
      <c r="AN48" s="123"/>
      <c r="AO48" s="123" t="e">
        <f>IF(LesseeBase[[#This Row],[Multi-
Record2]]="Multi-Amount", "calc on import",LesseeBase[[#This Row],[Total
CapitalizedValue]]-LesseeBase[[#This Row],[Capitalized
ResidualValue]])</f>
        <v>#DIV/0!</v>
      </c>
      <c r="AP48" s="123" t="e">
        <f>LesseeBase[[#This Row],[Calc Amount
to Amortize]]</f>
        <v>#DIV/0!</v>
      </c>
      <c r="AQ48" s="119" t="s">
        <v>296</v>
      </c>
      <c r="AR48" s="125" t="str">
        <f>IF(LesseeBase[[#This Row],[RoU Asset
AmortizationMethod]] = "Declining Balance", "Enter %","")</f>
        <v/>
      </c>
      <c r="AS48" s="125" t="str">
        <f>IF(LesseeBase[[#This Row],[RoU Asset
AmortizationMethod]]="Usage Based","Enter Usage Base","")</f>
        <v/>
      </c>
      <c r="AT48" s="125" t="str">
        <f>IF(LesseeBase[[#This Row],[RoU Asset
AmortizationMethod]]="Usage Based","Enter Usage UoM","")</f>
        <v/>
      </c>
      <c r="AU48" s="121"/>
      <c r="AV48" s="121">
        <f>IF(LesseeBase[[#This Row],[Incl. Options
End Date]]&gt;0,LesseeBase[[#This Row],[Incl. Options
End Date]],LesseeBase[[#This Row],[Initial Period
End Date]])</f>
        <v>0</v>
      </c>
      <c r="AW48" s="122" t="s">
        <v>321</v>
      </c>
      <c r="AX48" s="125" cm="1">
        <f t="array" ref="AX48">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8" s="119"/>
      <c r="AZ48" s="122"/>
      <c r="BA48" s="119"/>
      <c r="BB48" s="119"/>
      <c r="BC48" s="119"/>
      <c r="BD48" s="119"/>
      <c r="BE48" s="119"/>
      <c r="BF48" s="119"/>
      <c r="BG48" s="119"/>
      <c r="BH48" s="119"/>
    </row>
    <row r="49" spans="1:60" x14ac:dyDescent="0.25">
      <c r="A49" s="119" t="s">
        <v>509</v>
      </c>
      <c r="B49" s="119">
        <f>'Agency Cover'!$B$3</f>
        <v>0</v>
      </c>
      <c r="C49" s="119"/>
      <c r="D49" s="119" t="s">
        <v>291</v>
      </c>
      <c r="E49" s="125">
        <f>COUNTIF(LesseeBase[AgreementCode],LesseeBase[[#This Row],[AgreementCode]])</f>
        <v>0</v>
      </c>
      <c r="F49" s="119"/>
      <c r="G49" s="125">
        <f>COUNTIF(LesseeBase[AgreementTitle],LesseeBase[[#This Row],[AgreementTitle]])</f>
        <v>0</v>
      </c>
      <c r="H49" s="119"/>
      <c r="I49" s="119"/>
      <c r="J49" s="119"/>
      <c r="K49" s="119"/>
      <c r="L49" s="121"/>
      <c r="M49" s="121"/>
      <c r="N49" s="121"/>
      <c r="O49" s="121"/>
      <c r="P49" s="121"/>
      <c r="Q49" s="121"/>
      <c r="R49" s="121"/>
      <c r="S49" s="126">
        <f>LEN(LesseeBase[[#This Row],[Comments]])</f>
        <v>0</v>
      </c>
      <c r="T49" s="122" t="str">
        <f>LesseeBase[[#This Row],[Multi-
Record]]</f>
        <v>None</v>
      </c>
      <c r="U49" s="119">
        <f>LesseeBase[[#This Row],[AgreementCode]]</f>
        <v>0</v>
      </c>
      <c r="V49" s="119" t="str">
        <f>LEFT(LesseeBase[[#This Row],[AgreementTitle]],50)</f>
        <v/>
      </c>
      <c r="W49" s="125">
        <f>LesseeBase[[#This Row],[AgreementType]]</f>
        <v>0</v>
      </c>
      <c r="X49" s="119"/>
      <c r="Y49"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49" s="125">
        <f>LesseeBase[[#This Row],[ProvisionType]]</f>
        <v>0</v>
      </c>
      <c r="AA49" s="121"/>
      <c r="AB49" s="121">
        <f>IF(LesseeBase[[#This Row],[Incl. Options
End Date]]&gt;0,LesseeBase[[#This Row],[Incl. Options
End Date]],LesseeBase[[#This Row],[Initial Period
End Date]])</f>
        <v>0</v>
      </c>
      <c r="AC49" s="123"/>
      <c r="AD49" s="119"/>
      <c r="AE49" s="119"/>
      <c r="AF49" s="124"/>
      <c r="AG49" s="121"/>
      <c r="AH49" s="121"/>
      <c r="AI49" s="125" t="e" cm="1">
        <f t="array" ref="AI49">ROUND(ROUND((LesseeBase[[#This Row],[Payment
EndDate]]-LesseeBase[[#This Row],[Payment
StartDate]])/365,2)*_xlfn.IFS(LesseeBase[[#This Row],[Payment
Frequency]]="MO",12,LesseeBase[[#This Row],[Payment
Frequency]]="QT",4,LesseeBase[[#This Row],[Payment
Frequency]]="SA",2,LesseeBase[[#This Row],[Payment
Frequency]]="AN",1),0)</f>
        <v>#N/A</v>
      </c>
      <c r="AJ49" s="123" t="e">
        <f>ROUND(LesseeBase[[#This Row],[Payment
Amount]]*LesseeBase[[#This Row],[Number of
 Payments]],2)</f>
        <v>#N/A</v>
      </c>
      <c r="AK49"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49" s="123" t="e">
        <f>IF(LesseeBase[[#This Row],[Multi-
Record2]]="Multi-Amount", "calc on import",LesseeBase[[#This Row],[Total Amount
of Payments]]-LesseeBase[[#This Row],[Present
Value]])</f>
        <v>#N/A</v>
      </c>
      <c r="AM49" s="123" t="e">
        <f>LesseeBase[[#This Row],[Present
Value]]</f>
        <v>#DIV/0!</v>
      </c>
      <c r="AN49" s="123"/>
      <c r="AO49" s="123" t="e">
        <f>IF(LesseeBase[[#This Row],[Multi-
Record2]]="Multi-Amount", "calc on import",LesseeBase[[#This Row],[Total
CapitalizedValue]]-LesseeBase[[#This Row],[Capitalized
ResidualValue]])</f>
        <v>#DIV/0!</v>
      </c>
      <c r="AP49" s="123" t="e">
        <f>LesseeBase[[#This Row],[Calc Amount
to Amortize]]</f>
        <v>#DIV/0!</v>
      </c>
      <c r="AQ49" s="119" t="s">
        <v>296</v>
      </c>
      <c r="AR49" s="125" t="str">
        <f>IF(LesseeBase[[#This Row],[RoU Asset
AmortizationMethod]] = "Declining Balance", "Enter %","")</f>
        <v/>
      </c>
      <c r="AS49" s="125" t="str">
        <f>IF(LesseeBase[[#This Row],[RoU Asset
AmortizationMethod]]="Usage Based","Enter Usage Base","")</f>
        <v/>
      </c>
      <c r="AT49" s="125" t="str">
        <f>IF(LesseeBase[[#This Row],[RoU Asset
AmortizationMethod]]="Usage Based","Enter Usage UoM","")</f>
        <v/>
      </c>
      <c r="AU49" s="121"/>
      <c r="AV49" s="121">
        <f>IF(LesseeBase[[#This Row],[Incl. Options
End Date]]&gt;0,LesseeBase[[#This Row],[Incl. Options
End Date]],LesseeBase[[#This Row],[Initial Period
End Date]])</f>
        <v>0</v>
      </c>
      <c r="AW49" s="122" t="s">
        <v>321</v>
      </c>
      <c r="AX49" s="125" cm="1">
        <f t="array" ref="AX49">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49" s="119"/>
      <c r="AZ49" s="122"/>
      <c r="BA49" s="119"/>
      <c r="BB49" s="119"/>
      <c r="BC49" s="119"/>
      <c r="BD49" s="119"/>
      <c r="BE49" s="119"/>
      <c r="BF49" s="119"/>
      <c r="BG49" s="119"/>
      <c r="BH49" s="119"/>
    </row>
    <row r="50" spans="1:60" x14ac:dyDescent="0.25">
      <c r="A50" s="119" t="s">
        <v>509</v>
      </c>
      <c r="B50" s="119">
        <f>'Agency Cover'!$B$3</f>
        <v>0</v>
      </c>
      <c r="C50" s="119"/>
      <c r="D50" s="119" t="s">
        <v>291</v>
      </c>
      <c r="E50" s="125">
        <f>COUNTIF(LesseeBase[AgreementCode],LesseeBase[[#This Row],[AgreementCode]])</f>
        <v>0</v>
      </c>
      <c r="F50" s="119"/>
      <c r="G50" s="125">
        <f>COUNTIF(LesseeBase[AgreementTitle],LesseeBase[[#This Row],[AgreementTitle]])</f>
        <v>0</v>
      </c>
      <c r="H50" s="119"/>
      <c r="I50" s="119"/>
      <c r="J50" s="119"/>
      <c r="K50" s="119"/>
      <c r="L50" s="121"/>
      <c r="M50" s="121"/>
      <c r="N50" s="121"/>
      <c r="O50" s="121"/>
      <c r="P50" s="121"/>
      <c r="Q50" s="121"/>
      <c r="R50" s="121"/>
      <c r="S50" s="126">
        <f>LEN(LesseeBase[[#This Row],[Comments]])</f>
        <v>0</v>
      </c>
      <c r="T50" s="122" t="str">
        <f>LesseeBase[[#This Row],[Multi-
Record]]</f>
        <v>None</v>
      </c>
      <c r="U50" s="119">
        <f>LesseeBase[[#This Row],[AgreementCode]]</f>
        <v>0</v>
      </c>
      <c r="V50" s="119" t="str">
        <f>LEFT(LesseeBase[[#This Row],[AgreementTitle]],50)</f>
        <v/>
      </c>
      <c r="W50" s="125">
        <f>LesseeBase[[#This Row],[AgreementType]]</f>
        <v>0</v>
      </c>
      <c r="X50" s="119"/>
      <c r="Y50"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50" s="125">
        <f>LesseeBase[[#This Row],[ProvisionType]]</f>
        <v>0</v>
      </c>
      <c r="AA50" s="121"/>
      <c r="AB50" s="121">
        <f>IF(LesseeBase[[#This Row],[Incl. Options
End Date]]&gt;0,LesseeBase[[#This Row],[Incl. Options
End Date]],LesseeBase[[#This Row],[Initial Period
End Date]])</f>
        <v>0</v>
      </c>
      <c r="AC50" s="123"/>
      <c r="AD50" s="119"/>
      <c r="AE50" s="119"/>
      <c r="AF50" s="124"/>
      <c r="AG50" s="121"/>
      <c r="AH50" s="121"/>
      <c r="AI50" s="125" t="e" cm="1">
        <f t="array" ref="AI50">ROUND(ROUND((LesseeBase[[#This Row],[Payment
EndDate]]-LesseeBase[[#This Row],[Payment
StartDate]])/365,2)*_xlfn.IFS(LesseeBase[[#This Row],[Payment
Frequency]]="MO",12,LesseeBase[[#This Row],[Payment
Frequency]]="QT",4,LesseeBase[[#This Row],[Payment
Frequency]]="SA",2,LesseeBase[[#This Row],[Payment
Frequency]]="AN",1),0)</f>
        <v>#N/A</v>
      </c>
      <c r="AJ50" s="123" t="e">
        <f>ROUND(LesseeBase[[#This Row],[Payment
Amount]]*LesseeBase[[#This Row],[Number of
 Payments]],2)</f>
        <v>#N/A</v>
      </c>
      <c r="AK50"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50" s="123" t="e">
        <f>IF(LesseeBase[[#This Row],[Multi-
Record2]]="Multi-Amount", "calc on import",LesseeBase[[#This Row],[Total Amount
of Payments]]-LesseeBase[[#This Row],[Present
Value]])</f>
        <v>#N/A</v>
      </c>
      <c r="AM50" s="123" t="e">
        <f>LesseeBase[[#This Row],[Present
Value]]</f>
        <v>#DIV/0!</v>
      </c>
      <c r="AN50" s="123"/>
      <c r="AO50" s="123" t="e">
        <f>IF(LesseeBase[[#This Row],[Multi-
Record2]]="Multi-Amount", "calc on import",LesseeBase[[#This Row],[Total
CapitalizedValue]]-LesseeBase[[#This Row],[Capitalized
ResidualValue]])</f>
        <v>#DIV/0!</v>
      </c>
      <c r="AP50" s="123" t="e">
        <f>LesseeBase[[#This Row],[Calc Amount
to Amortize]]</f>
        <v>#DIV/0!</v>
      </c>
      <c r="AQ50" s="119" t="s">
        <v>296</v>
      </c>
      <c r="AR50" s="125" t="str">
        <f>IF(LesseeBase[[#This Row],[RoU Asset
AmortizationMethod]] = "Declining Balance", "Enter %","")</f>
        <v/>
      </c>
      <c r="AS50" s="125" t="str">
        <f>IF(LesseeBase[[#This Row],[RoU Asset
AmortizationMethod]]="Usage Based","Enter Usage Base","")</f>
        <v/>
      </c>
      <c r="AT50" s="125" t="str">
        <f>IF(LesseeBase[[#This Row],[RoU Asset
AmortizationMethod]]="Usage Based","Enter Usage UoM","")</f>
        <v/>
      </c>
      <c r="AU50" s="121"/>
      <c r="AV50" s="121">
        <f>IF(LesseeBase[[#This Row],[Incl. Options
End Date]]&gt;0,LesseeBase[[#This Row],[Incl. Options
End Date]],LesseeBase[[#This Row],[Initial Period
End Date]])</f>
        <v>0</v>
      </c>
      <c r="AW50" s="122" t="s">
        <v>321</v>
      </c>
      <c r="AX50" s="125" cm="1">
        <f t="array" ref="AX50">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50" s="119"/>
      <c r="AZ50" s="122"/>
      <c r="BA50" s="119"/>
      <c r="BB50" s="119"/>
      <c r="BC50" s="119"/>
      <c r="BD50" s="119"/>
      <c r="BE50" s="119"/>
      <c r="BF50" s="119"/>
      <c r="BG50" s="119"/>
      <c r="BH50" s="119"/>
    </row>
    <row r="51" spans="1:60" x14ac:dyDescent="0.25">
      <c r="A51" s="119" t="s">
        <v>509</v>
      </c>
      <c r="B51" s="119">
        <f>'Agency Cover'!$B$3</f>
        <v>0</v>
      </c>
      <c r="C51" s="119"/>
      <c r="D51" s="119" t="s">
        <v>291</v>
      </c>
      <c r="E51" s="125">
        <f>COUNTIF(LesseeBase[AgreementCode],LesseeBase[[#This Row],[AgreementCode]])</f>
        <v>0</v>
      </c>
      <c r="F51" s="119"/>
      <c r="G51" s="125">
        <f>COUNTIF(LesseeBase[AgreementTitle],LesseeBase[[#This Row],[AgreementTitle]])</f>
        <v>0</v>
      </c>
      <c r="H51" s="119"/>
      <c r="I51" s="119"/>
      <c r="J51" s="119"/>
      <c r="K51" s="119"/>
      <c r="L51" s="121"/>
      <c r="M51" s="121"/>
      <c r="N51" s="121"/>
      <c r="O51" s="121"/>
      <c r="P51" s="121"/>
      <c r="Q51" s="121"/>
      <c r="R51" s="121"/>
      <c r="S51" s="126">
        <f>LEN(LesseeBase[[#This Row],[Comments]])</f>
        <v>0</v>
      </c>
      <c r="T51" s="122" t="str">
        <f>LesseeBase[[#This Row],[Multi-
Record]]</f>
        <v>None</v>
      </c>
      <c r="U51" s="119">
        <f>LesseeBase[[#This Row],[AgreementCode]]</f>
        <v>0</v>
      </c>
      <c r="V51" s="119" t="str">
        <f>LEFT(LesseeBase[[#This Row],[AgreementTitle]],50)</f>
        <v/>
      </c>
      <c r="W51" s="125">
        <f>LesseeBase[[#This Row],[AgreementType]]</f>
        <v>0</v>
      </c>
      <c r="X51" s="119"/>
      <c r="Y51"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51" s="125">
        <f>LesseeBase[[#This Row],[ProvisionType]]</f>
        <v>0</v>
      </c>
      <c r="AA51" s="121"/>
      <c r="AB51" s="121">
        <f>IF(LesseeBase[[#This Row],[Incl. Options
End Date]]&gt;0,LesseeBase[[#This Row],[Incl. Options
End Date]],LesseeBase[[#This Row],[Initial Period
End Date]])</f>
        <v>0</v>
      </c>
      <c r="AC51" s="123"/>
      <c r="AD51" s="119"/>
      <c r="AE51" s="119"/>
      <c r="AF51" s="124"/>
      <c r="AG51" s="121"/>
      <c r="AH51" s="121"/>
      <c r="AI51" s="125" t="e" cm="1">
        <f t="array" ref="AI51">ROUND(ROUND((LesseeBase[[#This Row],[Payment
EndDate]]-LesseeBase[[#This Row],[Payment
StartDate]])/365,2)*_xlfn.IFS(LesseeBase[[#This Row],[Payment
Frequency]]="MO",12,LesseeBase[[#This Row],[Payment
Frequency]]="QT",4,LesseeBase[[#This Row],[Payment
Frequency]]="SA",2,LesseeBase[[#This Row],[Payment
Frequency]]="AN",1),0)</f>
        <v>#N/A</v>
      </c>
      <c r="AJ51" s="123" t="e">
        <f>ROUND(LesseeBase[[#This Row],[Payment
Amount]]*LesseeBase[[#This Row],[Number of
 Payments]],2)</f>
        <v>#N/A</v>
      </c>
      <c r="AK51"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51" s="123" t="e">
        <f>IF(LesseeBase[[#This Row],[Multi-
Record2]]="Multi-Amount", "calc on import",LesseeBase[[#This Row],[Total Amount
of Payments]]-LesseeBase[[#This Row],[Present
Value]])</f>
        <v>#N/A</v>
      </c>
      <c r="AM51" s="123" t="e">
        <f>LesseeBase[[#This Row],[Present
Value]]</f>
        <v>#DIV/0!</v>
      </c>
      <c r="AN51" s="123"/>
      <c r="AO51" s="123" t="e">
        <f>IF(LesseeBase[[#This Row],[Multi-
Record2]]="Multi-Amount", "calc on import",LesseeBase[[#This Row],[Total
CapitalizedValue]]-LesseeBase[[#This Row],[Capitalized
ResidualValue]])</f>
        <v>#DIV/0!</v>
      </c>
      <c r="AP51" s="123" t="e">
        <f>LesseeBase[[#This Row],[Calc Amount
to Amortize]]</f>
        <v>#DIV/0!</v>
      </c>
      <c r="AQ51" s="119" t="s">
        <v>296</v>
      </c>
      <c r="AR51" s="125" t="str">
        <f>IF(LesseeBase[[#This Row],[RoU Asset
AmortizationMethod]] = "Declining Balance", "Enter %","")</f>
        <v/>
      </c>
      <c r="AS51" s="125" t="str">
        <f>IF(LesseeBase[[#This Row],[RoU Asset
AmortizationMethod]]="Usage Based","Enter Usage Base","")</f>
        <v/>
      </c>
      <c r="AT51" s="125" t="str">
        <f>IF(LesseeBase[[#This Row],[RoU Asset
AmortizationMethod]]="Usage Based","Enter Usage UoM","")</f>
        <v/>
      </c>
      <c r="AU51" s="121"/>
      <c r="AV51" s="121">
        <f>IF(LesseeBase[[#This Row],[Incl. Options
End Date]]&gt;0,LesseeBase[[#This Row],[Incl. Options
End Date]],LesseeBase[[#This Row],[Initial Period
End Date]])</f>
        <v>0</v>
      </c>
      <c r="AW51" s="122" t="s">
        <v>321</v>
      </c>
      <c r="AX51" s="125" cm="1">
        <f t="array" ref="AX51">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51" s="119"/>
      <c r="AZ51" s="122"/>
      <c r="BA51" s="119"/>
      <c r="BB51" s="119"/>
      <c r="BC51" s="119"/>
      <c r="BD51" s="119"/>
      <c r="BE51" s="119"/>
      <c r="BF51" s="119"/>
      <c r="BG51" s="119"/>
      <c r="BH51" s="119"/>
    </row>
    <row r="52" spans="1:60" x14ac:dyDescent="0.25">
      <c r="A52" s="119" t="s">
        <v>509</v>
      </c>
      <c r="B52" s="119">
        <f>'Agency Cover'!$B$3</f>
        <v>0</v>
      </c>
      <c r="C52" s="119"/>
      <c r="D52" s="119" t="s">
        <v>291</v>
      </c>
      <c r="E52" s="125">
        <f>COUNTIF(LesseeBase[AgreementCode],LesseeBase[[#This Row],[AgreementCode]])</f>
        <v>0</v>
      </c>
      <c r="F52" s="119"/>
      <c r="G52" s="125">
        <f>COUNTIF(LesseeBase[AgreementTitle],LesseeBase[[#This Row],[AgreementTitle]])</f>
        <v>0</v>
      </c>
      <c r="H52" s="119"/>
      <c r="I52" s="119"/>
      <c r="J52" s="119"/>
      <c r="K52" s="119"/>
      <c r="L52" s="121"/>
      <c r="M52" s="121"/>
      <c r="N52" s="121"/>
      <c r="O52" s="121"/>
      <c r="P52" s="121"/>
      <c r="Q52" s="121"/>
      <c r="R52" s="121"/>
      <c r="S52" s="126">
        <f>LEN(LesseeBase[[#This Row],[Comments]])</f>
        <v>0</v>
      </c>
      <c r="T52" s="122" t="str">
        <f>LesseeBase[[#This Row],[Multi-
Record]]</f>
        <v>None</v>
      </c>
      <c r="U52" s="119">
        <f>LesseeBase[[#This Row],[AgreementCode]]</f>
        <v>0</v>
      </c>
      <c r="V52" s="119" t="str">
        <f>LEFT(LesseeBase[[#This Row],[AgreementTitle]],50)</f>
        <v/>
      </c>
      <c r="W52" s="125">
        <f>LesseeBase[[#This Row],[AgreementType]]</f>
        <v>0</v>
      </c>
      <c r="X52" s="119"/>
      <c r="Y52"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52" s="125">
        <f>LesseeBase[[#This Row],[ProvisionType]]</f>
        <v>0</v>
      </c>
      <c r="AA52" s="121"/>
      <c r="AB52" s="121">
        <f>IF(LesseeBase[[#This Row],[Incl. Options
End Date]]&gt;0,LesseeBase[[#This Row],[Incl. Options
End Date]],LesseeBase[[#This Row],[Initial Period
End Date]])</f>
        <v>0</v>
      </c>
      <c r="AC52" s="123"/>
      <c r="AD52" s="119"/>
      <c r="AE52" s="119"/>
      <c r="AF52" s="124"/>
      <c r="AG52" s="121"/>
      <c r="AH52" s="121"/>
      <c r="AI52" s="125" t="e" cm="1">
        <f t="array" ref="AI52">ROUND(ROUND((LesseeBase[[#This Row],[Payment
EndDate]]-LesseeBase[[#This Row],[Payment
StartDate]])/365,2)*_xlfn.IFS(LesseeBase[[#This Row],[Payment
Frequency]]="MO",12,LesseeBase[[#This Row],[Payment
Frequency]]="QT",4,LesseeBase[[#This Row],[Payment
Frequency]]="SA",2,LesseeBase[[#This Row],[Payment
Frequency]]="AN",1),0)</f>
        <v>#N/A</v>
      </c>
      <c r="AJ52" s="123" t="e">
        <f>ROUND(LesseeBase[[#This Row],[Payment
Amount]]*LesseeBase[[#This Row],[Number of
 Payments]],2)</f>
        <v>#N/A</v>
      </c>
      <c r="AK52"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52" s="123" t="e">
        <f>IF(LesseeBase[[#This Row],[Multi-
Record2]]="Multi-Amount", "calc on import",LesseeBase[[#This Row],[Total Amount
of Payments]]-LesseeBase[[#This Row],[Present
Value]])</f>
        <v>#N/A</v>
      </c>
      <c r="AM52" s="123" t="e">
        <f>LesseeBase[[#This Row],[Present
Value]]</f>
        <v>#DIV/0!</v>
      </c>
      <c r="AN52" s="123"/>
      <c r="AO52" s="123" t="e">
        <f>IF(LesseeBase[[#This Row],[Multi-
Record2]]="Multi-Amount", "calc on import",LesseeBase[[#This Row],[Total
CapitalizedValue]]-LesseeBase[[#This Row],[Capitalized
ResidualValue]])</f>
        <v>#DIV/0!</v>
      </c>
      <c r="AP52" s="123" t="e">
        <f>LesseeBase[[#This Row],[Calc Amount
to Amortize]]</f>
        <v>#DIV/0!</v>
      </c>
      <c r="AQ52" s="119" t="s">
        <v>296</v>
      </c>
      <c r="AR52" s="125" t="str">
        <f>IF(LesseeBase[[#This Row],[RoU Asset
AmortizationMethod]] = "Declining Balance", "Enter %","")</f>
        <v/>
      </c>
      <c r="AS52" s="125" t="str">
        <f>IF(LesseeBase[[#This Row],[RoU Asset
AmortizationMethod]]="Usage Based","Enter Usage Base","")</f>
        <v/>
      </c>
      <c r="AT52" s="125" t="str">
        <f>IF(LesseeBase[[#This Row],[RoU Asset
AmortizationMethod]]="Usage Based","Enter Usage UoM","")</f>
        <v/>
      </c>
      <c r="AU52" s="121"/>
      <c r="AV52" s="121">
        <f>IF(LesseeBase[[#This Row],[Incl. Options
End Date]]&gt;0,LesseeBase[[#This Row],[Incl. Options
End Date]],LesseeBase[[#This Row],[Initial Period
End Date]])</f>
        <v>0</v>
      </c>
      <c r="AW52" s="122" t="s">
        <v>321</v>
      </c>
      <c r="AX52" s="125" cm="1">
        <f t="array" ref="AX52">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52" s="119"/>
      <c r="AZ52" s="122"/>
      <c r="BA52" s="119"/>
      <c r="BB52" s="119"/>
      <c r="BC52" s="119"/>
      <c r="BD52" s="119"/>
      <c r="BE52" s="119"/>
      <c r="BF52" s="119"/>
      <c r="BG52" s="119"/>
      <c r="BH52" s="119"/>
    </row>
    <row r="53" spans="1:60" x14ac:dyDescent="0.25">
      <c r="A53" s="119" t="s">
        <v>509</v>
      </c>
      <c r="B53" s="119">
        <f>'Agency Cover'!$B$3</f>
        <v>0</v>
      </c>
      <c r="C53" s="119"/>
      <c r="D53" s="119" t="s">
        <v>291</v>
      </c>
      <c r="E53" s="125">
        <f>COUNTIF(LesseeBase[AgreementCode],LesseeBase[[#This Row],[AgreementCode]])</f>
        <v>0</v>
      </c>
      <c r="F53" s="119"/>
      <c r="G53" s="125">
        <f>COUNTIF(LesseeBase[AgreementTitle],LesseeBase[[#This Row],[AgreementTitle]])</f>
        <v>0</v>
      </c>
      <c r="H53" s="119"/>
      <c r="I53" s="119"/>
      <c r="J53" s="119"/>
      <c r="K53" s="119"/>
      <c r="L53" s="121"/>
      <c r="M53" s="121"/>
      <c r="N53" s="121"/>
      <c r="O53" s="121"/>
      <c r="P53" s="121"/>
      <c r="Q53" s="121"/>
      <c r="R53" s="121"/>
      <c r="S53" s="126">
        <f>LEN(LesseeBase[[#This Row],[Comments]])</f>
        <v>0</v>
      </c>
      <c r="T53" s="122" t="str">
        <f>LesseeBase[[#This Row],[Multi-
Record]]</f>
        <v>None</v>
      </c>
      <c r="U53" s="119">
        <f>LesseeBase[[#This Row],[AgreementCode]]</f>
        <v>0</v>
      </c>
      <c r="V53" s="119" t="str">
        <f>LEFT(LesseeBase[[#This Row],[AgreementTitle]],50)</f>
        <v/>
      </c>
      <c r="W53" s="125">
        <f>LesseeBase[[#This Row],[AgreementType]]</f>
        <v>0</v>
      </c>
      <c r="X53" s="119"/>
      <c r="Y53"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53" s="125">
        <f>LesseeBase[[#This Row],[ProvisionType]]</f>
        <v>0</v>
      </c>
      <c r="AA53" s="121"/>
      <c r="AB53" s="121">
        <f>IF(LesseeBase[[#This Row],[Incl. Options
End Date]]&gt;0,LesseeBase[[#This Row],[Incl. Options
End Date]],LesseeBase[[#This Row],[Initial Period
End Date]])</f>
        <v>0</v>
      </c>
      <c r="AC53" s="123"/>
      <c r="AD53" s="119"/>
      <c r="AE53" s="119"/>
      <c r="AF53" s="124"/>
      <c r="AG53" s="121"/>
      <c r="AH53" s="121"/>
      <c r="AI53" s="125" t="e" cm="1">
        <f t="array" ref="AI53">ROUND(ROUND((LesseeBase[[#This Row],[Payment
EndDate]]-LesseeBase[[#This Row],[Payment
StartDate]])/365,2)*_xlfn.IFS(LesseeBase[[#This Row],[Payment
Frequency]]="MO",12,LesseeBase[[#This Row],[Payment
Frequency]]="QT",4,LesseeBase[[#This Row],[Payment
Frequency]]="SA",2,LesseeBase[[#This Row],[Payment
Frequency]]="AN",1),0)</f>
        <v>#N/A</v>
      </c>
      <c r="AJ53" s="123" t="e">
        <f>ROUND(LesseeBase[[#This Row],[Payment
Amount]]*LesseeBase[[#This Row],[Number of
 Payments]],2)</f>
        <v>#N/A</v>
      </c>
      <c r="AK53"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53" s="123" t="e">
        <f>IF(LesseeBase[[#This Row],[Multi-
Record2]]="Multi-Amount", "calc on import",LesseeBase[[#This Row],[Total Amount
of Payments]]-LesseeBase[[#This Row],[Present
Value]])</f>
        <v>#N/A</v>
      </c>
      <c r="AM53" s="123" t="e">
        <f>LesseeBase[[#This Row],[Present
Value]]</f>
        <v>#DIV/0!</v>
      </c>
      <c r="AN53" s="123"/>
      <c r="AO53" s="123" t="e">
        <f>IF(LesseeBase[[#This Row],[Multi-
Record2]]="Multi-Amount", "calc on import",LesseeBase[[#This Row],[Total
CapitalizedValue]]-LesseeBase[[#This Row],[Capitalized
ResidualValue]])</f>
        <v>#DIV/0!</v>
      </c>
      <c r="AP53" s="123" t="e">
        <f>LesseeBase[[#This Row],[Calc Amount
to Amortize]]</f>
        <v>#DIV/0!</v>
      </c>
      <c r="AQ53" s="119" t="s">
        <v>296</v>
      </c>
      <c r="AR53" s="125" t="str">
        <f>IF(LesseeBase[[#This Row],[RoU Asset
AmortizationMethod]] = "Declining Balance", "Enter %","")</f>
        <v/>
      </c>
      <c r="AS53" s="125" t="str">
        <f>IF(LesseeBase[[#This Row],[RoU Asset
AmortizationMethod]]="Usage Based","Enter Usage Base","")</f>
        <v/>
      </c>
      <c r="AT53" s="125" t="str">
        <f>IF(LesseeBase[[#This Row],[RoU Asset
AmortizationMethod]]="Usage Based","Enter Usage UoM","")</f>
        <v/>
      </c>
      <c r="AU53" s="121"/>
      <c r="AV53" s="121">
        <f>IF(LesseeBase[[#This Row],[Incl. Options
End Date]]&gt;0,LesseeBase[[#This Row],[Incl. Options
End Date]],LesseeBase[[#This Row],[Initial Period
End Date]])</f>
        <v>0</v>
      </c>
      <c r="AW53" s="122" t="s">
        <v>321</v>
      </c>
      <c r="AX53" s="125" cm="1">
        <f t="array" ref="AX53">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53" s="119"/>
      <c r="AZ53" s="122"/>
      <c r="BA53" s="119"/>
      <c r="BB53" s="119"/>
      <c r="BC53" s="119"/>
      <c r="BD53" s="119"/>
      <c r="BE53" s="119"/>
      <c r="BF53" s="119"/>
      <c r="BG53" s="119"/>
      <c r="BH53" s="119"/>
    </row>
    <row r="54" spans="1:60" x14ac:dyDescent="0.25">
      <c r="A54" s="119" t="s">
        <v>509</v>
      </c>
      <c r="B54" s="119">
        <f>'Agency Cover'!$B$3</f>
        <v>0</v>
      </c>
      <c r="C54" s="119"/>
      <c r="D54" s="119" t="s">
        <v>291</v>
      </c>
      <c r="E54" s="125">
        <f>COUNTIF(LesseeBase[AgreementCode],LesseeBase[[#This Row],[AgreementCode]])</f>
        <v>0</v>
      </c>
      <c r="F54" s="119"/>
      <c r="G54" s="125">
        <f>COUNTIF(LesseeBase[AgreementTitle],LesseeBase[[#This Row],[AgreementTitle]])</f>
        <v>0</v>
      </c>
      <c r="H54" s="119"/>
      <c r="I54" s="119"/>
      <c r="J54" s="119"/>
      <c r="K54" s="119"/>
      <c r="L54" s="121"/>
      <c r="M54" s="121"/>
      <c r="N54" s="121"/>
      <c r="O54" s="121"/>
      <c r="P54" s="121"/>
      <c r="Q54" s="121"/>
      <c r="R54" s="121"/>
      <c r="S54" s="126">
        <f>LEN(LesseeBase[[#This Row],[Comments]])</f>
        <v>0</v>
      </c>
      <c r="T54" s="122" t="str">
        <f>LesseeBase[[#This Row],[Multi-
Record]]</f>
        <v>None</v>
      </c>
      <c r="U54" s="119">
        <f>LesseeBase[[#This Row],[AgreementCode]]</f>
        <v>0</v>
      </c>
      <c r="V54" s="119" t="str">
        <f>LEFT(LesseeBase[[#This Row],[AgreementTitle]],50)</f>
        <v/>
      </c>
      <c r="W54" s="125">
        <f>LesseeBase[[#This Row],[AgreementType]]</f>
        <v>0</v>
      </c>
      <c r="X54" s="119"/>
      <c r="Y54"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54" s="125">
        <f>LesseeBase[[#This Row],[ProvisionType]]</f>
        <v>0</v>
      </c>
      <c r="AA54" s="121"/>
      <c r="AB54" s="121">
        <f>IF(LesseeBase[[#This Row],[Incl. Options
End Date]]&gt;0,LesseeBase[[#This Row],[Incl. Options
End Date]],LesseeBase[[#This Row],[Initial Period
End Date]])</f>
        <v>0</v>
      </c>
      <c r="AC54" s="123"/>
      <c r="AD54" s="119"/>
      <c r="AE54" s="119"/>
      <c r="AF54" s="124"/>
      <c r="AG54" s="121"/>
      <c r="AH54" s="121"/>
      <c r="AI54" s="125" t="e" cm="1">
        <f t="array" ref="AI54">ROUND(ROUND((LesseeBase[[#This Row],[Payment
EndDate]]-LesseeBase[[#This Row],[Payment
StartDate]])/365,2)*_xlfn.IFS(LesseeBase[[#This Row],[Payment
Frequency]]="MO",12,LesseeBase[[#This Row],[Payment
Frequency]]="QT",4,LesseeBase[[#This Row],[Payment
Frequency]]="SA",2,LesseeBase[[#This Row],[Payment
Frequency]]="AN",1),0)</f>
        <v>#N/A</v>
      </c>
      <c r="AJ54" s="123" t="e">
        <f>ROUND(LesseeBase[[#This Row],[Payment
Amount]]*LesseeBase[[#This Row],[Number of
 Payments]],2)</f>
        <v>#N/A</v>
      </c>
      <c r="AK54"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54" s="123" t="e">
        <f>IF(LesseeBase[[#This Row],[Multi-
Record2]]="Multi-Amount", "calc on import",LesseeBase[[#This Row],[Total Amount
of Payments]]-LesseeBase[[#This Row],[Present
Value]])</f>
        <v>#N/A</v>
      </c>
      <c r="AM54" s="123" t="e">
        <f>LesseeBase[[#This Row],[Present
Value]]</f>
        <v>#DIV/0!</v>
      </c>
      <c r="AN54" s="123"/>
      <c r="AO54" s="123" t="e">
        <f>IF(LesseeBase[[#This Row],[Multi-
Record2]]="Multi-Amount", "calc on import",LesseeBase[[#This Row],[Total
CapitalizedValue]]-LesseeBase[[#This Row],[Capitalized
ResidualValue]])</f>
        <v>#DIV/0!</v>
      </c>
      <c r="AP54" s="123" t="e">
        <f>LesseeBase[[#This Row],[Calc Amount
to Amortize]]</f>
        <v>#DIV/0!</v>
      </c>
      <c r="AQ54" s="119" t="s">
        <v>296</v>
      </c>
      <c r="AR54" s="125" t="str">
        <f>IF(LesseeBase[[#This Row],[RoU Asset
AmortizationMethod]] = "Declining Balance", "Enter %","")</f>
        <v/>
      </c>
      <c r="AS54" s="125" t="str">
        <f>IF(LesseeBase[[#This Row],[RoU Asset
AmortizationMethod]]="Usage Based","Enter Usage Base","")</f>
        <v/>
      </c>
      <c r="AT54" s="125" t="str">
        <f>IF(LesseeBase[[#This Row],[RoU Asset
AmortizationMethod]]="Usage Based","Enter Usage UoM","")</f>
        <v/>
      </c>
      <c r="AU54" s="121"/>
      <c r="AV54" s="121">
        <f>IF(LesseeBase[[#This Row],[Incl. Options
End Date]]&gt;0,LesseeBase[[#This Row],[Incl. Options
End Date]],LesseeBase[[#This Row],[Initial Period
End Date]])</f>
        <v>0</v>
      </c>
      <c r="AW54" s="122" t="s">
        <v>321</v>
      </c>
      <c r="AX54" s="125" cm="1">
        <f t="array" ref="AX54">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54" s="119"/>
      <c r="AZ54" s="122"/>
      <c r="BA54" s="119"/>
      <c r="BB54" s="119"/>
      <c r="BC54" s="119"/>
      <c r="BD54" s="119"/>
      <c r="BE54" s="119"/>
      <c r="BF54" s="119"/>
      <c r="BG54" s="119"/>
      <c r="BH54" s="119"/>
    </row>
    <row r="55" spans="1:60" x14ac:dyDescent="0.25">
      <c r="A55" s="119" t="s">
        <v>509</v>
      </c>
      <c r="B55" s="119">
        <f>'Agency Cover'!$B$3</f>
        <v>0</v>
      </c>
      <c r="C55" s="119"/>
      <c r="D55" s="119" t="s">
        <v>291</v>
      </c>
      <c r="E55" s="125">
        <f>COUNTIF(LesseeBase[AgreementCode],LesseeBase[[#This Row],[AgreementCode]])</f>
        <v>0</v>
      </c>
      <c r="F55" s="119"/>
      <c r="G55" s="125">
        <f>COUNTIF(LesseeBase[AgreementTitle],LesseeBase[[#This Row],[AgreementTitle]])</f>
        <v>0</v>
      </c>
      <c r="H55" s="119"/>
      <c r="I55" s="119"/>
      <c r="J55" s="119"/>
      <c r="K55" s="119"/>
      <c r="L55" s="121"/>
      <c r="M55" s="121"/>
      <c r="N55" s="121"/>
      <c r="O55" s="121"/>
      <c r="P55" s="121"/>
      <c r="Q55" s="121"/>
      <c r="R55" s="121"/>
      <c r="S55" s="126">
        <f>LEN(LesseeBase[[#This Row],[Comments]])</f>
        <v>0</v>
      </c>
      <c r="T55" s="122" t="str">
        <f>LesseeBase[[#This Row],[Multi-
Record]]</f>
        <v>None</v>
      </c>
      <c r="U55" s="119">
        <f>LesseeBase[[#This Row],[AgreementCode]]</f>
        <v>0</v>
      </c>
      <c r="V55" s="119" t="str">
        <f>LEFT(LesseeBase[[#This Row],[AgreementTitle]],50)</f>
        <v/>
      </c>
      <c r="W55" s="125">
        <f>LesseeBase[[#This Row],[AgreementType]]</f>
        <v>0</v>
      </c>
      <c r="X55" s="119"/>
      <c r="Y55"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55" s="125">
        <f>LesseeBase[[#This Row],[ProvisionType]]</f>
        <v>0</v>
      </c>
      <c r="AA55" s="121"/>
      <c r="AB55" s="121">
        <f>IF(LesseeBase[[#This Row],[Incl. Options
End Date]]&gt;0,LesseeBase[[#This Row],[Incl. Options
End Date]],LesseeBase[[#This Row],[Initial Period
End Date]])</f>
        <v>0</v>
      </c>
      <c r="AC55" s="123"/>
      <c r="AD55" s="119"/>
      <c r="AE55" s="119"/>
      <c r="AF55" s="124"/>
      <c r="AG55" s="121"/>
      <c r="AH55" s="121"/>
      <c r="AI55" s="125" t="e" cm="1">
        <f t="array" ref="AI55">ROUND(ROUND((LesseeBase[[#This Row],[Payment
EndDate]]-LesseeBase[[#This Row],[Payment
StartDate]])/365,2)*_xlfn.IFS(LesseeBase[[#This Row],[Payment
Frequency]]="MO",12,LesseeBase[[#This Row],[Payment
Frequency]]="QT",4,LesseeBase[[#This Row],[Payment
Frequency]]="SA",2,LesseeBase[[#This Row],[Payment
Frequency]]="AN",1),0)</f>
        <v>#N/A</v>
      </c>
      <c r="AJ55" s="123" t="e">
        <f>ROUND(LesseeBase[[#This Row],[Payment
Amount]]*LesseeBase[[#This Row],[Number of
 Payments]],2)</f>
        <v>#N/A</v>
      </c>
      <c r="AK55"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55" s="123" t="e">
        <f>IF(LesseeBase[[#This Row],[Multi-
Record2]]="Multi-Amount", "calc on import",LesseeBase[[#This Row],[Total Amount
of Payments]]-LesseeBase[[#This Row],[Present
Value]])</f>
        <v>#N/A</v>
      </c>
      <c r="AM55" s="123" t="e">
        <f>LesseeBase[[#This Row],[Present
Value]]</f>
        <v>#DIV/0!</v>
      </c>
      <c r="AN55" s="123"/>
      <c r="AO55" s="123" t="e">
        <f>IF(LesseeBase[[#This Row],[Multi-
Record2]]="Multi-Amount", "calc on import",LesseeBase[[#This Row],[Total
CapitalizedValue]]-LesseeBase[[#This Row],[Capitalized
ResidualValue]])</f>
        <v>#DIV/0!</v>
      </c>
      <c r="AP55" s="123" t="e">
        <f>LesseeBase[[#This Row],[Calc Amount
to Amortize]]</f>
        <v>#DIV/0!</v>
      </c>
      <c r="AQ55" s="119" t="s">
        <v>296</v>
      </c>
      <c r="AR55" s="125" t="str">
        <f>IF(LesseeBase[[#This Row],[RoU Asset
AmortizationMethod]] = "Declining Balance", "Enter %","")</f>
        <v/>
      </c>
      <c r="AS55" s="125" t="str">
        <f>IF(LesseeBase[[#This Row],[RoU Asset
AmortizationMethod]]="Usage Based","Enter Usage Base","")</f>
        <v/>
      </c>
      <c r="AT55" s="125" t="str">
        <f>IF(LesseeBase[[#This Row],[RoU Asset
AmortizationMethod]]="Usage Based","Enter Usage UoM","")</f>
        <v/>
      </c>
      <c r="AU55" s="121"/>
      <c r="AV55" s="121">
        <f>IF(LesseeBase[[#This Row],[Incl. Options
End Date]]&gt;0,LesseeBase[[#This Row],[Incl. Options
End Date]],LesseeBase[[#This Row],[Initial Period
End Date]])</f>
        <v>0</v>
      </c>
      <c r="AW55" s="122" t="s">
        <v>321</v>
      </c>
      <c r="AX55" s="125" cm="1">
        <f t="array" ref="AX55">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55" s="119"/>
      <c r="AZ55" s="122"/>
      <c r="BA55" s="119"/>
      <c r="BB55" s="119"/>
      <c r="BC55" s="119"/>
      <c r="BD55" s="119"/>
      <c r="BE55" s="119"/>
      <c r="BF55" s="119"/>
      <c r="BG55" s="119"/>
      <c r="BH55" s="119"/>
    </row>
    <row r="56" spans="1:60" x14ac:dyDescent="0.25">
      <c r="A56" s="119" t="s">
        <v>509</v>
      </c>
      <c r="B56" s="119">
        <f>'Agency Cover'!$B$3</f>
        <v>0</v>
      </c>
      <c r="C56" s="119"/>
      <c r="D56" s="119" t="s">
        <v>291</v>
      </c>
      <c r="E56" s="125">
        <f>COUNTIF(LesseeBase[AgreementCode],LesseeBase[[#This Row],[AgreementCode]])</f>
        <v>0</v>
      </c>
      <c r="F56" s="119"/>
      <c r="G56" s="125">
        <f>COUNTIF(LesseeBase[AgreementTitle],LesseeBase[[#This Row],[AgreementTitle]])</f>
        <v>0</v>
      </c>
      <c r="H56" s="119"/>
      <c r="I56" s="119"/>
      <c r="J56" s="119"/>
      <c r="K56" s="119"/>
      <c r="L56" s="121"/>
      <c r="M56" s="121"/>
      <c r="N56" s="121"/>
      <c r="O56" s="121"/>
      <c r="P56" s="121"/>
      <c r="Q56" s="121"/>
      <c r="R56" s="121"/>
      <c r="S56" s="126">
        <f>LEN(LesseeBase[[#This Row],[Comments]])</f>
        <v>0</v>
      </c>
      <c r="T56" s="122" t="str">
        <f>LesseeBase[[#This Row],[Multi-
Record]]</f>
        <v>None</v>
      </c>
      <c r="U56" s="119">
        <f>LesseeBase[[#This Row],[AgreementCode]]</f>
        <v>0</v>
      </c>
      <c r="V56" s="119" t="str">
        <f>LEFT(LesseeBase[[#This Row],[AgreementTitle]],50)</f>
        <v/>
      </c>
      <c r="W56" s="125">
        <f>LesseeBase[[#This Row],[AgreementType]]</f>
        <v>0</v>
      </c>
      <c r="X56" s="119"/>
      <c r="Y56" s="119"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56" s="125">
        <f>LesseeBase[[#This Row],[ProvisionType]]</f>
        <v>0</v>
      </c>
      <c r="AA56" s="121"/>
      <c r="AB56" s="121">
        <f>IF(LesseeBase[[#This Row],[Incl. Options
End Date]]&gt;0,LesseeBase[[#This Row],[Incl. Options
End Date]],LesseeBase[[#This Row],[Initial Period
End Date]])</f>
        <v>0</v>
      </c>
      <c r="AC56" s="123"/>
      <c r="AD56" s="119"/>
      <c r="AE56" s="119"/>
      <c r="AF56" s="124"/>
      <c r="AG56" s="121"/>
      <c r="AH56" s="121"/>
      <c r="AI56" s="125" t="e" cm="1">
        <f t="array" ref="AI56">ROUND(ROUND((LesseeBase[[#This Row],[Payment
EndDate]]-LesseeBase[[#This Row],[Payment
StartDate]])/365,2)*_xlfn.IFS(LesseeBase[[#This Row],[Payment
Frequency]]="MO",12,LesseeBase[[#This Row],[Payment
Frequency]]="QT",4,LesseeBase[[#This Row],[Payment
Frequency]]="SA",2,LesseeBase[[#This Row],[Payment
Frequency]]="AN",1),0)</f>
        <v>#N/A</v>
      </c>
      <c r="AJ56" s="123" t="e">
        <f>ROUND(LesseeBase[[#This Row],[Payment
Amount]]*LesseeBase[[#This Row],[Number of
 Payments]],2)</f>
        <v>#N/A</v>
      </c>
      <c r="AK56" s="123"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56" s="123" t="e">
        <f>IF(LesseeBase[[#This Row],[Multi-
Record2]]="Multi-Amount", "calc on import",LesseeBase[[#This Row],[Total Amount
of Payments]]-LesseeBase[[#This Row],[Present
Value]])</f>
        <v>#N/A</v>
      </c>
      <c r="AM56" s="123" t="e">
        <f>LesseeBase[[#This Row],[Present
Value]]</f>
        <v>#DIV/0!</v>
      </c>
      <c r="AN56" s="123"/>
      <c r="AO56" s="123" t="e">
        <f>IF(LesseeBase[[#This Row],[Multi-
Record2]]="Multi-Amount", "calc on import",LesseeBase[[#This Row],[Total
CapitalizedValue]]-LesseeBase[[#This Row],[Capitalized
ResidualValue]])</f>
        <v>#DIV/0!</v>
      </c>
      <c r="AP56" s="123" t="e">
        <f>LesseeBase[[#This Row],[Calc Amount
to Amortize]]</f>
        <v>#DIV/0!</v>
      </c>
      <c r="AQ56" s="119" t="s">
        <v>296</v>
      </c>
      <c r="AR56" s="125" t="str">
        <f>IF(LesseeBase[[#This Row],[RoU Asset
AmortizationMethod]] = "Declining Balance", "Enter %","")</f>
        <v/>
      </c>
      <c r="AS56" s="125" t="str">
        <f>IF(LesseeBase[[#This Row],[RoU Asset
AmortizationMethod]]="Usage Based","Enter Usage Base","")</f>
        <v/>
      </c>
      <c r="AT56" s="125" t="str">
        <f>IF(LesseeBase[[#This Row],[RoU Asset
AmortizationMethod]]="Usage Based","Enter Usage UoM","")</f>
        <v/>
      </c>
      <c r="AU56" s="121"/>
      <c r="AV56" s="121">
        <f>IF(LesseeBase[[#This Row],[Incl. Options
End Date]]&gt;0,LesseeBase[[#This Row],[Incl. Options
End Date]],LesseeBase[[#This Row],[Initial Period
End Date]])</f>
        <v>0</v>
      </c>
      <c r="AW56" s="122" t="s">
        <v>321</v>
      </c>
      <c r="AX56" s="125" cm="1">
        <f t="array" ref="AX56">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c r="AY56" s="119"/>
      <c r="AZ56" s="122"/>
      <c r="BA56" s="119"/>
      <c r="BB56" s="119"/>
      <c r="BC56" s="119"/>
      <c r="BD56" s="119"/>
      <c r="BE56" s="119"/>
      <c r="BF56" s="119"/>
      <c r="BG56" s="119"/>
      <c r="BH56" s="119"/>
    </row>
    <row r="57" spans="1:60" x14ac:dyDescent="0.25">
      <c r="A57" t="s">
        <v>509</v>
      </c>
      <c r="B57">
        <f>'Agency Cover'!$B$3</f>
        <v>0</v>
      </c>
      <c r="C57" s="120" t="s">
        <v>517</v>
      </c>
      <c r="D57" t="s">
        <v>291</v>
      </c>
      <c r="E57" s="15">
        <f>COUNTIF(LesseeBase[AgreementCode],LesseeBase[[#This Row],[AgreementCode]])</f>
        <v>1</v>
      </c>
      <c r="F57" t="s">
        <v>518</v>
      </c>
      <c r="G57" s="15">
        <f>COUNTIF(LesseeBase[AgreementTitle],LesseeBase[[#This Row],[AgreementTitle]])</f>
        <v>1</v>
      </c>
      <c r="R57" s="17"/>
      <c r="S57" s="25">
        <f>LEN(LesseeBase[[#This Row],[Comments]])</f>
        <v>0</v>
      </c>
      <c r="T57" s="3" t="str">
        <f>LesseeBase[[#This Row],[Multi-
Record]]</f>
        <v>None</v>
      </c>
      <c r="U57" t="str">
        <f>LesseeBase[[#This Row],[AgreementCode]]</f>
        <v>Formula  Row</v>
      </c>
      <c r="V57" t="str">
        <f>LEFT(LesseeBase[[#This Row],[AgreementTitle]],50)</f>
        <v>Formula Row - Do Not Delete - Copy if needed</v>
      </c>
      <c r="W57" s="15">
        <f>LesseeBase[[#This Row],[AgreementType]]</f>
        <v>0</v>
      </c>
      <c r="Y57" t="str">
        <f>IF(LesseeBase[[#This Row],[Incl. Options
End Date]] = 0, IF(ROUND(ROUND((LesseeBase[[#This Row],[Initial Period
End Date]]-LesseeBase[[#This Row],[Initial Period
Start Date]])/365,2)*12,0)&lt;=12,"None","Transactional"), IF(ROUND(ROUND((LesseeBase[[#This Row],[Incl. Options
End Date]]-LesseeBase[[#This Row],[Initial Period
Start Date]])/365,2)*12,0)&lt;=12,"None","Transactional"))</f>
        <v>None</v>
      </c>
      <c r="Z57" s="15">
        <f>LesseeBase[[#This Row],[ProvisionType]]</f>
        <v>0</v>
      </c>
      <c r="AB57" s="17">
        <f>IF(LesseeBase[[#This Row],[Incl. Options
End Date]]&gt;0,LesseeBase[[#This Row],[Incl. Options
End Date]],LesseeBase[[#This Row],[Initial Period
End Date]])</f>
        <v>0</v>
      </c>
      <c r="AI57" s="15" t="e" cm="1">
        <f t="array" ref="AI57">ROUND(ROUND((LesseeBase[[#This Row],[Payment
EndDate]]-LesseeBase[[#This Row],[Payment
StartDate]])/365,2)*_xlfn.IFS(LesseeBase[[#This Row],[Payment
Frequency]]="MO",12,LesseeBase[[#This Row],[Payment
Frequency]]="QT",4,LesseeBase[[#This Row],[Payment
Frequency]]="SA",2,LesseeBase[[#This Row],[Payment
Frequency]]="AN",1),0)</f>
        <v>#N/A</v>
      </c>
      <c r="AJ57" s="19" t="e">
        <f>ROUND(LesseeBase[[#This Row],[Payment
Amount]]*LesseeBase[[#This Row],[Number of
 Payments]],2)</f>
        <v>#N/A</v>
      </c>
      <c r="AK57" s="19" t="e">
        <f>IF(LesseeBase[[#This Row],[Multi-
Record2]]="Multi-Amount", "calc on import", ROUND(PV(LesseeBase[[#This Row],[Annual
Rate]]/IF(LesseeBase[[#This Row],[Payment
Frequency]] = "MO",12,IF(LesseeBase[[#This Row],[Payment
Frequency]] = "QT",4,IF(LesseeBase[[#This Row],[Payment
Frequency]] = "SA",2,IF(LesseeBase[[#This Row],[Payment
Frequency]] = "AN",1,0)))),LesseeBase[[#This Row],[Number of
 Payments]],LesseeBase[[#This Row],[Payment
Amount]],,IF(LesseeBase[[#This Row],[Payment
Timing]]="Advance",1,IF(LesseeBase[[#This Row],[Payment
Timing]]="Arrears",0,"x")))*-1,2))</f>
        <v>#DIV/0!</v>
      </c>
      <c r="AL57" s="19" t="e">
        <f>IF(LesseeBase[[#This Row],[Multi-
Record2]]="Multi-Amount", "calc on import",LesseeBase[[#This Row],[Total Amount
of Payments]]-LesseeBase[[#This Row],[Present
Value]])</f>
        <v>#N/A</v>
      </c>
      <c r="AM57" s="19" t="e">
        <f>LesseeBase[[#This Row],[Present
Value]]</f>
        <v>#DIV/0!</v>
      </c>
      <c r="AO57" s="19" t="e">
        <f>IF(LesseeBase[[#This Row],[Multi-
Record2]]="Multi-Amount", "calc on import",LesseeBase[[#This Row],[Total
CapitalizedValue]]-LesseeBase[[#This Row],[Capitalized
ResidualValue]])</f>
        <v>#DIV/0!</v>
      </c>
      <c r="AP57" s="19" t="e">
        <f>LesseeBase[[#This Row],[Calc Amount
to Amortize]]</f>
        <v>#DIV/0!</v>
      </c>
      <c r="AQ57" t="s">
        <v>296</v>
      </c>
      <c r="AR57" s="15" t="str">
        <f>IF(LesseeBase[[#This Row],[RoU Asset
AmortizationMethod]] = "Declining Balance", "Enter %","")</f>
        <v/>
      </c>
      <c r="AS57" s="15" t="str">
        <f>IF(LesseeBase[[#This Row],[RoU Asset
AmortizationMethod]]="Usage Based","Enter Usage Base","")</f>
        <v/>
      </c>
      <c r="AT57" s="15" t="str">
        <f>IF(LesseeBase[[#This Row],[RoU Asset
AmortizationMethod]]="Usage Based","Enter Usage UoM","")</f>
        <v/>
      </c>
      <c r="AV57" s="17">
        <f>IF(LesseeBase[[#This Row],[Incl. Options
End Date]]&gt;0,LesseeBase[[#This Row],[Incl. Options
End Date]],LesseeBase[[#This Row],[Initial Period
End Date]])</f>
        <v>0</v>
      </c>
      <c r="AW57" s="3" t="s">
        <v>321</v>
      </c>
      <c r="AX57" s="15" cm="1">
        <f t="array" ref="AX57">ROUND(ROUND((LesseeBase[[#This Row],[RoU Amortization
EndDate]]-LesseeBase[[#This Row],[RoU Amortization
StartDate]])/365,2)*_xlfn.IFS(LesseeBase[[#This Row],[RoU Amortization
Frequency]]="MO",12,LesseeBase[[#This Row],[RoU Amortization
Frequency]]="QT",4,LesseeBase[[#This Row],[RoU Amortization
Frequency]]="SA",2,LesseeBase[[#This Row],[RoU Amortization
Frequency]]="AN",1),0)</f>
        <v>0</v>
      </c>
    </row>
  </sheetData>
  <sheetProtection algorithmName="SHA-512" hashValue="6+Y2XwSyslwWz12Kmj62mQ9mD7Wuy9tfk0OruZAKDmEd8ZcbkvmryvBAe6L2aUs/wA0oKAI5XjC4k5U3eZv0jw==" saltValue="R1y+q6A6c99dcRgr4Aj+pA==" spinCount="100000" sheet="1" objects="1" scenarios="1" insertRows="0" deleteRows="0" autoFilter="0"/>
  <phoneticPr fontId="9" type="noConversion"/>
  <conditionalFormatting sqref="E17:E57 G17:G57">
    <cfRule type="cellIs" dxfId="120" priority="94" operator="greaterThan">
      <formula>1</formula>
    </cfRule>
  </conditionalFormatting>
  <conditionalFormatting sqref="E3">
    <cfRule type="containsText" dxfId="119" priority="89" operator="containsText" text="Error: 0">
      <formula>NOT(ISERROR(SEARCH("Error: 0",E3)))</formula>
    </cfRule>
  </conditionalFormatting>
  <conditionalFormatting sqref="G3">
    <cfRule type="containsText" dxfId="118" priority="87" operator="containsText" text="Error: 0">
      <formula>NOT(ISERROR(SEARCH("Error: 0",G3)))</formula>
    </cfRule>
  </conditionalFormatting>
  <conditionalFormatting sqref="S3">
    <cfRule type="containsText" dxfId="117" priority="85" operator="containsText" text="Error: 0">
      <formula>NOT(ISERROR(SEARCH("Error: 0",S3)))</formula>
    </cfRule>
  </conditionalFormatting>
  <conditionalFormatting sqref="C3">
    <cfRule type="containsText" dxfId="116" priority="83" operator="containsText" text="Error: 0">
      <formula>NOT(ISERROR(SEARCH("Error: 0",C3)))</formula>
    </cfRule>
  </conditionalFormatting>
  <conditionalFormatting sqref="F3">
    <cfRule type="containsText" dxfId="115" priority="82" operator="containsText" text="Error: 0">
      <formula>NOT(ISERROR(SEARCH("Error: 0",F3)))</formula>
    </cfRule>
  </conditionalFormatting>
  <conditionalFormatting sqref="I3">
    <cfRule type="containsText" dxfId="114" priority="81" operator="containsText" text="Error: 0">
      <formula>NOT(ISERROR(SEARCH("Error: 0",I3)))</formula>
    </cfRule>
  </conditionalFormatting>
  <conditionalFormatting sqref="J3">
    <cfRule type="containsText" dxfId="113" priority="80" operator="containsText" text="Error: 0">
      <formula>NOT(ISERROR(SEARCH("Error: 0",J3)))</formula>
    </cfRule>
  </conditionalFormatting>
  <conditionalFormatting sqref="K3">
    <cfRule type="containsText" dxfId="112" priority="79" operator="containsText" text="Error: 0">
      <formula>NOT(ISERROR(SEARCH("Error: 0",K3)))</formula>
    </cfRule>
  </conditionalFormatting>
  <conditionalFormatting sqref="T3:U3">
    <cfRule type="containsText" dxfId="111" priority="78" operator="containsText" text="Error: 0">
      <formula>NOT(ISERROR(SEARCH("Error: 0",T3)))</formula>
    </cfRule>
  </conditionalFormatting>
  <conditionalFormatting sqref="V3">
    <cfRule type="containsText" dxfId="110" priority="77" operator="containsText" text="Error: 0">
      <formula>NOT(ISERROR(SEARCH("Error: 0",V3)))</formula>
    </cfRule>
  </conditionalFormatting>
  <conditionalFormatting sqref="W3">
    <cfRule type="containsText" dxfId="109" priority="76" operator="containsText" text="Error: 0">
      <formula>NOT(ISERROR(SEARCH("Error: 0",W3)))</formula>
    </cfRule>
  </conditionalFormatting>
  <conditionalFormatting sqref="Y3">
    <cfRule type="containsText" dxfId="108" priority="75" operator="containsText" text="Error: 0">
      <formula>NOT(ISERROR(SEARCH("Error: 0",Y3)))</formula>
    </cfRule>
  </conditionalFormatting>
  <conditionalFormatting sqref="Z3">
    <cfRule type="containsText" dxfId="107" priority="74" operator="containsText" text="Error: 0">
      <formula>NOT(ISERROR(SEARCH("Error: 0",Z3)))</formula>
    </cfRule>
  </conditionalFormatting>
  <conditionalFormatting sqref="AA3">
    <cfRule type="containsText" dxfId="106" priority="73" operator="containsText" text="Error: 0">
      <formula>NOT(ISERROR(SEARCH("Error: 0",AA3)))</formula>
    </cfRule>
  </conditionalFormatting>
  <conditionalFormatting sqref="AB3">
    <cfRule type="containsText" dxfId="105" priority="72" operator="containsText" text="Error: 0">
      <formula>NOT(ISERROR(SEARCH("Error: 0",AB3)))</formula>
    </cfRule>
  </conditionalFormatting>
  <conditionalFormatting sqref="AC3">
    <cfRule type="containsText" dxfId="104" priority="71" operator="containsText" text="Error: 0">
      <formula>NOT(ISERROR(SEARCH("Error: 0",AC3)))</formula>
    </cfRule>
  </conditionalFormatting>
  <conditionalFormatting sqref="AD3">
    <cfRule type="containsText" dxfId="103" priority="70" operator="containsText" text="Error: 0">
      <formula>NOT(ISERROR(SEARCH("Error: 0",AD3)))</formula>
    </cfRule>
  </conditionalFormatting>
  <conditionalFormatting sqref="AE3">
    <cfRule type="containsText" dxfId="102" priority="69" operator="containsText" text="Error: 0">
      <formula>NOT(ISERROR(SEARCH("Error: 0",AE3)))</formula>
    </cfRule>
  </conditionalFormatting>
  <conditionalFormatting sqref="AF3">
    <cfRule type="containsText" dxfId="101" priority="68" operator="containsText" text="Error: 0">
      <formula>NOT(ISERROR(SEARCH("Error: 0",AF3)))</formula>
    </cfRule>
  </conditionalFormatting>
  <conditionalFormatting sqref="AG3">
    <cfRule type="containsText" dxfId="100" priority="67" operator="containsText" text="Error: 0">
      <formula>NOT(ISERROR(SEARCH("Error: 0",AG3)))</formula>
    </cfRule>
  </conditionalFormatting>
  <conditionalFormatting sqref="AH3">
    <cfRule type="containsText" dxfId="99" priority="66" operator="containsText" text="Error: 0">
      <formula>NOT(ISERROR(SEARCH("Error: 0",AH3)))</formula>
    </cfRule>
  </conditionalFormatting>
  <conditionalFormatting sqref="AM3">
    <cfRule type="containsText" dxfId="98" priority="65" operator="containsText" text="Error: 0">
      <formula>NOT(ISERROR(SEARCH("Error: 0",AM3)))</formula>
    </cfRule>
  </conditionalFormatting>
  <conditionalFormatting sqref="AN3">
    <cfRule type="containsText" dxfId="97" priority="64" operator="containsText" text="Error: 0">
      <formula>NOT(ISERROR(SEARCH("Error: 0",AN3)))</formula>
    </cfRule>
  </conditionalFormatting>
  <conditionalFormatting sqref="AP3">
    <cfRule type="containsText" dxfId="96" priority="63" operator="containsText" text="Error: 0">
      <formula>NOT(ISERROR(SEARCH("Error: 0",AP3)))</formula>
    </cfRule>
  </conditionalFormatting>
  <conditionalFormatting sqref="AQ3">
    <cfRule type="containsText" dxfId="95" priority="62" operator="containsText" text="Error: 0">
      <formula>NOT(ISERROR(SEARCH("Error: 0",AQ3)))</formula>
    </cfRule>
  </conditionalFormatting>
  <conditionalFormatting sqref="AR3">
    <cfRule type="containsText" dxfId="94" priority="61" operator="containsText" text="Error: 0">
      <formula>NOT(ISERROR(SEARCH("Error: 0",AR3)))</formula>
    </cfRule>
  </conditionalFormatting>
  <conditionalFormatting sqref="AS3">
    <cfRule type="containsText" dxfId="93" priority="60" operator="containsText" text="Error: 0">
      <formula>NOT(ISERROR(SEARCH("Error: 0",AS3)))</formula>
    </cfRule>
  </conditionalFormatting>
  <conditionalFormatting sqref="AT3">
    <cfRule type="containsText" dxfId="92" priority="59" operator="containsText" text="Error: 0">
      <formula>NOT(ISERROR(SEARCH("Error: 0",AT3)))</formula>
    </cfRule>
  </conditionalFormatting>
  <conditionalFormatting sqref="AU3">
    <cfRule type="containsText" dxfId="91" priority="58" operator="containsText" text="Error: 0">
      <formula>NOT(ISERROR(SEARCH("Error: 0",AU3)))</formula>
    </cfRule>
  </conditionalFormatting>
  <conditionalFormatting sqref="AV3">
    <cfRule type="containsText" dxfId="90" priority="57" operator="containsText" text="Error: 0">
      <formula>NOT(ISERROR(SEARCH("Error: 0",AV3)))</formula>
    </cfRule>
  </conditionalFormatting>
  <conditionalFormatting sqref="AW3">
    <cfRule type="containsText" dxfId="89" priority="56" operator="containsText" text="Error: 0">
      <formula>NOT(ISERROR(SEARCH("Error: 0",AW3)))</formula>
    </cfRule>
  </conditionalFormatting>
  <conditionalFormatting sqref="L3:M3">
    <cfRule type="containsText" dxfId="88" priority="54" operator="containsText" text="Error: 0">
      <formula>NOT(ISERROR(SEARCH("Error: 0",L3)))</formula>
    </cfRule>
  </conditionalFormatting>
  <conditionalFormatting sqref="Z17:BH57">
    <cfRule type="expression" dxfId="87" priority="33" stopIfTrue="1">
      <formula>$Y17="None"</formula>
    </cfRule>
  </conditionalFormatting>
  <conditionalFormatting sqref="AV17:AV57">
    <cfRule type="cellIs" dxfId="86" priority="29" operator="equal">
      <formula>0</formula>
    </cfRule>
    <cfRule type="cellIs" dxfId="85" priority="30" operator="equal">
      <formula>0</formula>
    </cfRule>
  </conditionalFormatting>
  <conditionalFormatting sqref="AB17:AB57">
    <cfRule type="cellIs" dxfId="84" priority="28" operator="equal">
      <formula>0</formula>
    </cfRule>
  </conditionalFormatting>
  <conditionalFormatting sqref="S17:S57">
    <cfRule type="cellIs" dxfId="83" priority="27" operator="greaterThan">
      <formula>300</formula>
    </cfRule>
  </conditionalFormatting>
  <conditionalFormatting sqref="D3">
    <cfRule type="containsText" dxfId="82" priority="25" operator="containsText" text="Error: 0">
      <formula>NOT(ISERROR(SEARCH("Error: 0",D3)))</formula>
    </cfRule>
  </conditionalFormatting>
  <conditionalFormatting sqref="E6:E16 G6:G16">
    <cfRule type="cellIs" dxfId="81" priority="6" operator="greaterThan">
      <formula>1</formula>
    </cfRule>
  </conditionalFormatting>
  <conditionalFormatting sqref="Z6:BH16">
    <cfRule type="expression" dxfId="80" priority="5" stopIfTrue="1">
      <formula>$Y6="None"</formula>
    </cfRule>
  </conditionalFormatting>
  <conditionalFormatting sqref="AV6:AV16">
    <cfRule type="cellIs" dxfId="79" priority="3" operator="equal">
      <formula>0</formula>
    </cfRule>
    <cfRule type="cellIs" dxfId="78" priority="4" operator="equal">
      <formula>0</formula>
    </cfRule>
  </conditionalFormatting>
  <conditionalFormatting sqref="AB6:AB16">
    <cfRule type="cellIs" dxfId="77" priority="2" operator="equal">
      <formula>0</formula>
    </cfRule>
  </conditionalFormatting>
  <conditionalFormatting sqref="S6:S16">
    <cfRule type="cellIs" dxfId="76" priority="1" operator="greaterThan">
      <formula>300</formula>
    </cfRule>
  </conditionalFormatting>
  <dataValidations xWindow="929" yWindow="374" count="26">
    <dataValidation type="textLength" showErrorMessage="1" errorTitle="Data Input Error" error="Title is required and the title cannot excced 75 characters, including spaces." promptTitle="Agreement Title Required" prompt="This field is required and must be unique across all agencies.  Maximum 75 chanarcters.  Inlcude agency number to ensure uniqueness." sqref="K57 F6:F57" xr:uid="{00000000-0002-0000-0400-000000000000}">
      <formula1>1</formula1>
      <formula2>75</formula2>
    </dataValidation>
    <dataValidation type="textLength" showErrorMessage="1" errorTitle="Input Error" error="Enter unique 12-character code:_x000a_3-digit agency-YYYY-###_x000a_Example: 020-2019-003" promptTitle="Field is Rquired" prompt="Enter unique 12-character code:_x000a_3-digit agency-YYYY-###_x000a_Example: 020-2019-003" sqref="C6:C57" xr:uid="{00000000-0002-0000-0400-000001000000}">
      <formula1>12</formula1>
      <formula2>12</formula2>
    </dataValidation>
    <dataValidation type="textLength" allowBlank="1" showErrorMessage="1" errorTitle="Maximum Length Exceeded" error="There is a 12-character maximum length on this field, including spaces." promptTitle="Optional Field" prompt="Data is an optional reference.  There is a 12-character maximum length if used." sqref="H6:H57" xr:uid="{00000000-0002-0000-0400-000002000000}">
      <formula1>0</formula1>
      <formula2>12</formula2>
    </dataValidation>
    <dataValidation type="textLength" showErrorMessage="1" errorTitle="Input Error" error="Required field;_x000a_No more than 12 characters" promptTitle="Provision Reference Required" prompt="This field is required;_x000a_There is a 12-character maximum length, including spaces" sqref="U6:U57" xr:uid="{00000000-0002-0000-0400-000003000000}">
      <formula1>1</formula1>
      <formula2>12</formula2>
    </dataValidation>
    <dataValidation type="textLength" showErrorMessage="1" errorTitle="Input Error" error="Required field;_x000a_No more than 50 characters" promptTitle="Provision Reference Required" prompt="This field is required;_x000a_There is a 50-character maximum length, including spaces" sqref="V6:V57" xr:uid="{00000000-0002-0000-0400-000004000000}">
      <formula1>1</formula1>
      <formula2>50</formula2>
    </dataValidation>
    <dataValidation type="date" showErrorMessage="1" errorTitle="Input Error" error="Please enter a valid date." sqref="AA6:AA57" xr:uid="{00000000-0002-0000-0400-000005000000}">
      <formula1>29221</formula1>
      <formula2>88025</formula2>
    </dataValidation>
    <dataValidation type="decimal" allowBlank="1" showErrorMessage="1" errorTitle="Input Error" error="The Payment Amount must be greater than zero (0)." promptTitle="Payment Amount Entry" prompt="Enter the amount of the routine, periodic payment." sqref="AC6:AC57" xr:uid="{00000000-0002-0000-0400-000006000000}">
      <formula1>0.01</formula1>
      <formula2>999999999.99</formula2>
    </dataValidation>
    <dataValidation type="list" showErrorMessage="1" errorTitle="Input Error" error="You must select a value from the list." promptTitle="Payment Frequency Selection" prompt="Select a Payment Freqency from the list." sqref="AD6:AD57 AW6:AW57" xr:uid="{00000000-0002-0000-0400-000007000000}">
      <formula1>"MO, QT, SA, AN"</formula1>
    </dataValidation>
    <dataValidation type="list" showErrorMessage="1" errorTitle="Input Error" error="You must select a value from the list." promptTitle="Payment Timing Selection" prompt="Select a Payment Timing from the list." sqref="AE6:AE57" xr:uid="{00000000-0002-0000-0400-000008000000}">
      <formula1>"Advance, Arrears"</formula1>
    </dataValidation>
    <dataValidation type="decimal" allowBlank="1" showErrorMessage="1" errorTitle="Input Error" error="The Capitalized Amount must be greater than zero (0)." promptTitle="Capitlaized Value Entry" prompt="Enter the amount of the RoU Asset to be capitalized, including any residual value." sqref="AM6:AM57" xr:uid="{00000000-0002-0000-0400-000009000000}">
      <formula1>0.01</formula1>
      <formula2>999999999.99</formula2>
    </dataValidation>
    <dataValidation type="decimal" allowBlank="1" showErrorMessage="1" errorTitle="Input Error" error="The Residual Amount cannot be negative." promptTitle="Residual Value Entry" prompt="Enter the amount of the RoU Asset residual value, if any." sqref="AN6:AN57" xr:uid="{00000000-0002-0000-0400-00000A000000}">
      <formula1>0</formula1>
      <formula2>999999999.99</formula2>
    </dataValidation>
    <dataValidation type="decimal" allowBlank="1" showErrorMessage="1" errorTitle="Input Error" error="The Amount to be Amortized must be greater than zero (0)." promptTitle="Amount to be Amortized Entry" prompt="Validate or enter the amount of the RoU Asset to be amortized." sqref="AP6:AP57" xr:uid="{00000000-0002-0000-0400-00000B000000}">
      <formula1>0.01</formula1>
      <formula2>999999999.99</formula2>
    </dataValidation>
    <dataValidation type="date" operator="greaterThan" allowBlank="1" showErrorMessage="1" errorTitle="Input Error" error="Enter a valid amortization start date." promptTitle="RoU Amortiz. Start Date Entry" prompt="Enter the date to start the RoU Asset amortization." sqref="AU6:AV57" xr:uid="{00000000-0002-0000-0400-00000C000000}">
      <formula1>36526</formula1>
    </dataValidation>
    <dataValidation type="textLength" operator="lessThanOrEqual" allowBlank="1" showErrorMessage="1" errorTitle="Input Error" error="100 character maximum has been exceeded." promptTitle="Related Party Lease Designation" prompt="If this is a Related Party lease, enter the name of the related party (100 character maximum, including spaces)." sqref="AY6:AY57" xr:uid="{00000000-0002-0000-0400-00000D000000}">
      <formula1>100</formula1>
    </dataValidation>
    <dataValidation type="list" allowBlank="1" showErrorMessage="1" errorTitle="Input Error" error="Select a value from the list." promptTitle="Sale Leaseback Designation" prompt="Indicate a Sale / Leaseback with a Y." sqref="AZ6:AZ57" xr:uid="{00000000-0002-0000-0400-00000E000000}">
      <formula1>"Y, N"</formula1>
    </dataValidation>
    <dataValidation type="textLength" allowBlank="1" showErrorMessage="1" errorTitle="Input Error" error="Enter 12-character code:_x000a_3-digit agency-YYYY-###_x000a_Example: 020-2019-003" promptTitle="Lease/Leaseback Designation" prompt="Enter 12-character code of the related lease:_x000a_3-digit agency-YYYY-###_x000a_Example: 020-2019-003" sqref="BA6:BA57" xr:uid="{00000000-0002-0000-0400-00000F000000}">
      <formula1>12</formula1>
      <formula2>12</formula2>
    </dataValidation>
    <dataValidation type="list" showErrorMessage="1" errorTitle="Input Error" error="Seelct a value from the list." promptTitle="G/L Account Entry" prompt="Select a G/L Account from the list." sqref="BB6:BH57" xr:uid="{00000000-0002-0000-0400-000010000000}">
      <formula1>GLAccountLU</formula1>
    </dataValidation>
    <dataValidation type="list" showErrorMessage="1" errorTitle="Input Error" error="You must select a value from the list." promptTitle="Agreement Type Selection" prompt="Required data;_x000a_Select a value from the list." sqref="I6:I57" xr:uid="{00000000-0002-0000-0400-000011000000}">
      <formula1>AgrmtTypeLU</formula1>
    </dataValidation>
    <dataValidation type="list" showErrorMessage="1" errorTitle="Input Error" error="You must select a value from the list." promptTitle="Agreement Status Selection" prompt="Required;_x000a_Select a value from the list." sqref="J6:J57" xr:uid="{00000000-0002-0000-0400-000012000000}">
      <formula1>AgrmtStatusLU</formula1>
    </dataValidation>
    <dataValidation type="list" showErrorMessage="1" errorTitle="Input Error" error="You must select a value from the list." promptTitle="Provision Type Selection" prompt="Required data;_x000a_Select a value from the list." sqref="W6:W57" xr:uid="{00000000-0002-0000-0400-000013000000}">
      <formula1>ProvTypeLU</formula1>
    </dataValidation>
    <dataValidation type="list" showErrorMessage="1" errorTitle="Input Error" error="You must select a value from the list." promptTitle="Reporting Category Selection" prompt="Required data;_x000a_Select a value from the list." sqref="Z6:Z57" xr:uid="{00000000-0002-0000-0400-000014000000}">
      <formula1>RptCatLU</formula1>
    </dataValidation>
    <dataValidation type="date" operator="greaterThan" showErrorMessage="1" errorTitle="Input Error" error="End Date must be after the start date." promptTitle="Included Option End Date Entry" prompt="Enter the end date of the included option periods." sqref="O6:O57" xr:uid="{00000000-0002-0000-0400-000015000000}">
      <formula1>N6</formula1>
    </dataValidation>
    <dataValidation type="date" operator="greaterThan" allowBlank="1" showErrorMessage="1" errorTitle="Input Error" error="End Date must be after the start date." promptTitle="Inital Period End Date Entry" prompt="Enter the end date of the inital agreement period." sqref="M6:M57" xr:uid="{00000000-0002-0000-0400-000016000000}">
      <formula1>L6</formula1>
    </dataValidation>
    <dataValidation type="textLength" operator="lessThanOrEqual" showErrorMessage="1" errorTitle="Input Error" error="Comments cannot exceed 300 characters." promptTitle="Comments Data Entry" prompt="Enter the documentation comments up to 300 characters, including spaces." sqref="R6:R57" xr:uid="{00000000-0002-0000-0400-000017000000}">
      <formula1>300</formula1>
    </dataValidation>
    <dataValidation operator="greaterThan" showInputMessage="1" showErrorMessage="1" sqref="S6:S57" xr:uid="{00000000-0002-0000-0400-000018000000}"/>
    <dataValidation type="list" showErrorMessage="1" errorTitle="Input Error" error="Entry Required_x000a_Select from List" promptTitle="Field is Rquired" prompt="Indicate whether or not this is a special case." sqref="D6:D57" xr:uid="{00000000-0002-0000-0400-000019000000}">
      <formula1>"None, Multi-Provision, Multi-Amount"</formula1>
    </dataValidation>
  </dataValidations>
  <pageMargins left="0.7" right="0.7" top="0.75" bottom="0.75" header="0.3" footer="0.3"/>
  <pageSetup orientation="portrait" r:id="rId1"/>
  <ignoredErrors>
    <ignoredError sqref="B17:B56 G57 S17:U57 Y17:Y28 AB17:AB57 AR17:AU57 AX17:AX57 Y30:Y57" unlockedFormula="1"/>
    <ignoredError sqref="C17:D56 F17:F56 H17:J56 O17:O57 AD17:AE57 BB17:BH57" listDataValidation="1"/>
    <ignoredError sqref="E17:E56 G17:G56 V17:W57 Z17:AA57 AV17:AV57" unlockedFormula="1" listDataValidation="1"/>
  </ignoredErrors>
  <legacyDrawing r:id="rId2"/>
  <tableParts count="1">
    <tablePart r:id="rId3"/>
  </tableParts>
  <extLst>
    <ext xmlns:x14="http://schemas.microsoft.com/office/spreadsheetml/2009/9/main" uri="{CCE6A557-97BC-4b89-ADB6-D9C93CAAB3DF}">
      <x14:dataValidations xmlns:xm="http://schemas.microsoft.com/office/excel/2006/main" xWindow="929" yWindow="374" count="2">
        <x14:dataValidation type="list" showErrorMessage="1" errorTitle="Input Error" error="You must select a value from the list." promptTitle="Reporting Type Selection" prompt="Required data;_x000a_Select a value from the list." xr:uid="{00000000-0002-0000-0400-00001A000000}">
          <x14:formula1>
            <xm:f>'Ref-RptType'!$A$2:$A$5</xm:f>
          </x14:formula1>
          <xm:sqref>Y6:Y57</xm:sqref>
        </x14:dataValidation>
        <x14:dataValidation type="list" showErrorMessage="1" errorTitle="Input Error" error="You must select a value from the list." promptTitle="RoU Asset Amortization Selection" prompt="Required data;_x000a_Select a value from the list." xr:uid="{00000000-0002-0000-0400-00001B000000}">
          <x14:formula1>
            <xm:f>'Ref-AmortMethod'!$A$2:$A$5</xm:f>
          </x14:formula1>
          <xm:sqref>AQ6:AQ57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00"/>
  <sheetViews>
    <sheetView workbookViewId="0">
      <pane ySplit="3" topLeftCell="A4" activePane="bottomLeft" state="frozen"/>
      <selection pane="bottomLeft" activeCell="B4" sqref="B4"/>
    </sheetView>
  </sheetViews>
  <sheetFormatPr defaultRowHeight="15" x14ac:dyDescent="0.25"/>
  <cols>
    <col min="1" max="1" width="25" customWidth="1"/>
    <col min="2" max="2" width="22.5703125" customWidth="1"/>
    <col min="3" max="3" width="56.42578125" customWidth="1"/>
    <col min="4" max="4" width="65.42578125" customWidth="1"/>
  </cols>
  <sheetData>
    <row r="1" spans="1:4" x14ac:dyDescent="0.25">
      <c r="A1" s="1" t="s">
        <v>684</v>
      </c>
    </row>
    <row r="3" spans="1:4" x14ac:dyDescent="0.25">
      <c r="A3" s="127" t="s">
        <v>687</v>
      </c>
      <c r="B3" s="128" t="s">
        <v>685</v>
      </c>
      <c r="C3" s="128" t="s">
        <v>690</v>
      </c>
      <c r="D3" s="129" t="s">
        <v>686</v>
      </c>
    </row>
    <row r="4" spans="1:4" x14ac:dyDescent="0.25">
      <c r="A4" s="130">
        <f>'Agency Cover'!$B$3</f>
        <v>0</v>
      </c>
      <c r="B4" s="135"/>
      <c r="C4" s="135"/>
      <c r="D4" s="135"/>
    </row>
    <row r="5" spans="1:4" x14ac:dyDescent="0.25">
      <c r="A5" s="130">
        <f>'Agency Cover'!$B$3</f>
        <v>0</v>
      </c>
      <c r="B5" s="135"/>
      <c r="C5" s="135"/>
      <c r="D5" s="135"/>
    </row>
    <row r="6" spans="1:4" x14ac:dyDescent="0.25">
      <c r="A6" s="130">
        <f>'Agency Cover'!$B$3</f>
        <v>0</v>
      </c>
      <c r="B6" s="135"/>
      <c r="C6" s="135"/>
      <c r="D6" s="135"/>
    </row>
    <row r="7" spans="1:4" x14ac:dyDescent="0.25">
      <c r="A7" s="130">
        <f>'Agency Cover'!$B$3</f>
        <v>0</v>
      </c>
      <c r="B7" s="135"/>
      <c r="C7" s="135"/>
      <c r="D7" s="135"/>
    </row>
    <row r="8" spans="1:4" x14ac:dyDescent="0.25">
      <c r="A8" s="130">
        <f>'Agency Cover'!$B$3</f>
        <v>0</v>
      </c>
      <c r="B8" s="135"/>
      <c r="C8" s="135"/>
      <c r="D8" s="135"/>
    </row>
    <row r="9" spans="1:4" x14ac:dyDescent="0.25">
      <c r="A9" s="130">
        <f>'Agency Cover'!$B$3</f>
        <v>0</v>
      </c>
      <c r="B9" s="135"/>
      <c r="C9" s="135"/>
      <c r="D9" s="135"/>
    </row>
    <row r="10" spans="1:4" x14ac:dyDescent="0.25">
      <c r="A10" s="130">
        <f>'Agency Cover'!$B$3</f>
        <v>0</v>
      </c>
      <c r="B10" s="135"/>
      <c r="C10" s="135"/>
      <c r="D10" s="135"/>
    </row>
    <row r="11" spans="1:4" x14ac:dyDescent="0.25">
      <c r="A11" s="130">
        <f>'Agency Cover'!$B$3</f>
        <v>0</v>
      </c>
      <c r="B11" s="135"/>
      <c r="C11" s="135"/>
      <c r="D11" s="135"/>
    </row>
    <row r="12" spans="1:4" x14ac:dyDescent="0.25">
      <c r="A12" s="130">
        <f>'Agency Cover'!$B$3</f>
        <v>0</v>
      </c>
      <c r="B12" s="135"/>
      <c r="C12" s="135"/>
      <c r="D12" s="135"/>
    </row>
    <row r="13" spans="1:4" x14ac:dyDescent="0.25">
      <c r="A13" s="130">
        <f>'Agency Cover'!$B$3</f>
        <v>0</v>
      </c>
      <c r="B13" s="135"/>
      <c r="C13" s="135"/>
      <c r="D13" s="135"/>
    </row>
    <row r="14" spans="1:4" x14ac:dyDescent="0.25">
      <c r="A14" s="130">
        <f>'Agency Cover'!$B$3</f>
        <v>0</v>
      </c>
      <c r="B14" s="135"/>
      <c r="C14" s="135"/>
      <c r="D14" s="135"/>
    </row>
    <row r="15" spans="1:4" x14ac:dyDescent="0.25">
      <c r="A15" s="130">
        <f>'Agency Cover'!$B$3</f>
        <v>0</v>
      </c>
      <c r="B15" s="135"/>
      <c r="C15" s="135"/>
      <c r="D15" s="135"/>
    </row>
    <row r="16" spans="1:4" x14ac:dyDescent="0.25">
      <c r="A16" s="130">
        <f>'Agency Cover'!$B$3</f>
        <v>0</v>
      </c>
      <c r="B16" s="135"/>
      <c r="C16" s="135"/>
      <c r="D16" s="135"/>
    </row>
    <row r="17" spans="1:4" x14ac:dyDescent="0.25">
      <c r="A17" s="130">
        <f>'Agency Cover'!$B$3</f>
        <v>0</v>
      </c>
      <c r="B17" s="135"/>
      <c r="C17" s="135"/>
      <c r="D17" s="135"/>
    </row>
    <row r="18" spans="1:4" x14ac:dyDescent="0.25">
      <c r="A18" s="130">
        <f>'Agency Cover'!$B$3</f>
        <v>0</v>
      </c>
      <c r="B18" s="135"/>
      <c r="C18" s="135"/>
      <c r="D18" s="135"/>
    </row>
    <row r="19" spans="1:4" x14ac:dyDescent="0.25">
      <c r="A19" s="130">
        <f>'Agency Cover'!$B$3</f>
        <v>0</v>
      </c>
      <c r="B19" s="135"/>
      <c r="C19" s="135"/>
      <c r="D19" s="135"/>
    </row>
    <row r="20" spans="1:4" x14ac:dyDescent="0.25">
      <c r="A20" s="130">
        <f>'Agency Cover'!$B$3</f>
        <v>0</v>
      </c>
      <c r="B20" s="135"/>
      <c r="C20" s="135"/>
      <c r="D20" s="135"/>
    </row>
    <row r="21" spans="1:4" x14ac:dyDescent="0.25">
      <c r="A21" s="130">
        <f>'Agency Cover'!$B$3</f>
        <v>0</v>
      </c>
      <c r="B21" s="135"/>
      <c r="C21" s="135"/>
      <c r="D21" s="135"/>
    </row>
    <row r="22" spans="1:4" x14ac:dyDescent="0.25">
      <c r="A22" s="130">
        <f>'Agency Cover'!$B$3</f>
        <v>0</v>
      </c>
      <c r="B22" s="135"/>
      <c r="C22" s="135"/>
      <c r="D22" s="135"/>
    </row>
    <row r="23" spans="1:4" x14ac:dyDescent="0.25">
      <c r="A23" s="130">
        <f>'Agency Cover'!$B$3</f>
        <v>0</v>
      </c>
      <c r="B23" s="135"/>
      <c r="C23" s="135"/>
      <c r="D23" s="135"/>
    </row>
    <row r="24" spans="1:4" x14ac:dyDescent="0.25">
      <c r="A24" s="130">
        <f>'Agency Cover'!$B$3</f>
        <v>0</v>
      </c>
      <c r="B24" s="135"/>
      <c r="C24" s="135"/>
      <c r="D24" s="135"/>
    </row>
    <row r="25" spans="1:4" x14ac:dyDescent="0.25">
      <c r="A25" s="130">
        <f>'Agency Cover'!$B$3</f>
        <v>0</v>
      </c>
      <c r="B25" s="135"/>
      <c r="C25" s="135"/>
      <c r="D25" s="135"/>
    </row>
    <row r="26" spans="1:4" x14ac:dyDescent="0.25">
      <c r="A26" s="130">
        <f>'Agency Cover'!$B$3</f>
        <v>0</v>
      </c>
      <c r="B26" s="135"/>
      <c r="C26" s="135"/>
      <c r="D26" s="135"/>
    </row>
    <row r="27" spans="1:4" x14ac:dyDescent="0.25">
      <c r="A27" s="130">
        <f>'Agency Cover'!$B$3</f>
        <v>0</v>
      </c>
      <c r="B27" s="135"/>
      <c r="C27" s="135"/>
      <c r="D27" s="135"/>
    </row>
    <row r="28" spans="1:4" x14ac:dyDescent="0.25">
      <c r="A28" s="130">
        <f>'Agency Cover'!$B$3</f>
        <v>0</v>
      </c>
      <c r="B28" s="135"/>
      <c r="C28" s="135"/>
      <c r="D28" s="135"/>
    </row>
    <row r="29" spans="1:4" x14ac:dyDescent="0.25">
      <c r="A29" s="130">
        <f>'Agency Cover'!$B$3</f>
        <v>0</v>
      </c>
      <c r="B29" s="135"/>
      <c r="C29" s="135"/>
      <c r="D29" s="135"/>
    </row>
    <row r="30" spans="1:4" x14ac:dyDescent="0.25">
      <c r="A30" s="130">
        <f>'Agency Cover'!$B$3</f>
        <v>0</v>
      </c>
      <c r="B30" s="135"/>
      <c r="C30" s="135"/>
      <c r="D30" s="135"/>
    </row>
    <row r="31" spans="1:4" x14ac:dyDescent="0.25">
      <c r="A31" s="130">
        <f>'Agency Cover'!$B$3</f>
        <v>0</v>
      </c>
      <c r="B31" s="135"/>
      <c r="C31" s="135"/>
      <c r="D31" s="135"/>
    </row>
    <row r="32" spans="1:4" x14ac:dyDescent="0.25">
      <c r="A32" s="130">
        <f>'Agency Cover'!$B$3</f>
        <v>0</v>
      </c>
      <c r="B32" s="135"/>
      <c r="C32" s="135"/>
      <c r="D32" s="135"/>
    </row>
    <row r="33" spans="1:4" x14ac:dyDescent="0.25">
      <c r="A33" s="130">
        <f>'Agency Cover'!$B$3</f>
        <v>0</v>
      </c>
      <c r="B33" s="135"/>
      <c r="C33" s="135"/>
      <c r="D33" s="135"/>
    </row>
    <row r="34" spans="1:4" x14ac:dyDescent="0.25">
      <c r="A34" s="130">
        <f>'Agency Cover'!$B$3</f>
        <v>0</v>
      </c>
      <c r="B34" s="135"/>
      <c r="C34" s="135"/>
      <c r="D34" s="135"/>
    </row>
    <row r="35" spans="1:4" x14ac:dyDescent="0.25">
      <c r="A35" s="130">
        <f>'Agency Cover'!$B$3</f>
        <v>0</v>
      </c>
      <c r="B35" s="135"/>
      <c r="C35" s="135"/>
      <c r="D35" s="135"/>
    </row>
    <row r="36" spans="1:4" x14ac:dyDescent="0.25">
      <c r="A36" s="130">
        <f>'Agency Cover'!$B$3</f>
        <v>0</v>
      </c>
      <c r="B36" s="135"/>
      <c r="C36" s="135"/>
      <c r="D36" s="135"/>
    </row>
    <row r="37" spans="1:4" x14ac:dyDescent="0.25">
      <c r="A37" s="130">
        <f>'Agency Cover'!$B$3</f>
        <v>0</v>
      </c>
      <c r="B37" s="135"/>
      <c r="C37" s="135"/>
      <c r="D37" s="135"/>
    </row>
    <row r="38" spans="1:4" x14ac:dyDescent="0.25">
      <c r="A38" s="130">
        <f>'Agency Cover'!$B$3</f>
        <v>0</v>
      </c>
      <c r="B38" s="135"/>
      <c r="C38" s="135"/>
      <c r="D38" s="135"/>
    </row>
    <row r="39" spans="1:4" x14ac:dyDescent="0.25">
      <c r="A39" s="130">
        <f>'Agency Cover'!$B$3</f>
        <v>0</v>
      </c>
      <c r="B39" s="135"/>
      <c r="C39" s="135"/>
      <c r="D39" s="135"/>
    </row>
    <row r="40" spans="1:4" x14ac:dyDescent="0.25">
      <c r="A40" s="130">
        <f>'Agency Cover'!$B$3</f>
        <v>0</v>
      </c>
      <c r="B40" s="135"/>
      <c r="C40" s="135"/>
      <c r="D40" s="135"/>
    </row>
    <row r="41" spans="1:4" x14ac:dyDescent="0.25">
      <c r="A41" s="130">
        <f>'Agency Cover'!$B$3</f>
        <v>0</v>
      </c>
      <c r="B41" s="135"/>
      <c r="C41" s="135"/>
      <c r="D41" s="135"/>
    </row>
    <row r="42" spans="1:4" x14ac:dyDescent="0.25">
      <c r="A42" s="130">
        <f>'Agency Cover'!$B$3</f>
        <v>0</v>
      </c>
      <c r="B42" s="135"/>
      <c r="C42" s="135"/>
      <c r="D42" s="135"/>
    </row>
    <row r="43" spans="1:4" x14ac:dyDescent="0.25">
      <c r="A43" s="130">
        <f>'Agency Cover'!$B$3</f>
        <v>0</v>
      </c>
      <c r="B43" s="135"/>
      <c r="C43" s="135"/>
      <c r="D43" s="135"/>
    </row>
    <row r="44" spans="1:4" x14ac:dyDescent="0.25">
      <c r="A44" s="130">
        <f>'Agency Cover'!$B$3</f>
        <v>0</v>
      </c>
      <c r="B44" s="135"/>
      <c r="C44" s="135"/>
      <c r="D44" s="135"/>
    </row>
    <row r="45" spans="1:4" x14ac:dyDescent="0.25">
      <c r="A45" s="130">
        <f>'Agency Cover'!$B$3</f>
        <v>0</v>
      </c>
      <c r="B45" s="135"/>
      <c r="C45" s="135"/>
      <c r="D45" s="135"/>
    </row>
    <row r="46" spans="1:4" x14ac:dyDescent="0.25">
      <c r="A46" s="130">
        <f>'Agency Cover'!$B$3</f>
        <v>0</v>
      </c>
      <c r="B46" s="135"/>
      <c r="C46" s="135"/>
      <c r="D46" s="135"/>
    </row>
    <row r="47" spans="1:4" x14ac:dyDescent="0.25">
      <c r="A47" s="130">
        <f>'Agency Cover'!$B$3</f>
        <v>0</v>
      </c>
      <c r="B47" s="135"/>
      <c r="C47" s="135"/>
      <c r="D47" s="135"/>
    </row>
    <row r="48" spans="1:4" x14ac:dyDescent="0.25">
      <c r="A48" s="130">
        <f>'Agency Cover'!$B$3</f>
        <v>0</v>
      </c>
      <c r="B48" s="135"/>
      <c r="C48" s="135"/>
      <c r="D48" s="135"/>
    </row>
    <row r="49" spans="1:4" x14ac:dyDescent="0.25">
      <c r="A49" s="130">
        <f>'Agency Cover'!$B$3</f>
        <v>0</v>
      </c>
      <c r="B49" s="135"/>
      <c r="C49" s="135"/>
      <c r="D49" s="135"/>
    </row>
    <row r="50" spans="1:4" x14ac:dyDescent="0.25">
      <c r="A50" s="130">
        <f>'Agency Cover'!$B$3</f>
        <v>0</v>
      </c>
      <c r="B50" s="135"/>
      <c r="C50" s="135"/>
      <c r="D50" s="135"/>
    </row>
    <row r="51" spans="1:4" x14ac:dyDescent="0.25">
      <c r="A51" s="130">
        <f>'Agency Cover'!$B$3</f>
        <v>0</v>
      </c>
      <c r="B51" s="135"/>
      <c r="C51" s="135"/>
      <c r="D51" s="135"/>
    </row>
    <row r="52" spans="1:4" x14ac:dyDescent="0.25">
      <c r="A52" s="130">
        <f>'Agency Cover'!$B$3</f>
        <v>0</v>
      </c>
      <c r="B52" s="135"/>
      <c r="C52" s="135"/>
      <c r="D52" s="135"/>
    </row>
    <row r="53" spans="1:4" x14ac:dyDescent="0.25">
      <c r="A53" s="130">
        <f>'Agency Cover'!$B$3</f>
        <v>0</v>
      </c>
      <c r="B53" s="135"/>
      <c r="C53" s="135"/>
      <c r="D53" s="135"/>
    </row>
    <row r="54" spans="1:4" x14ac:dyDescent="0.25">
      <c r="A54" s="130">
        <f>'Agency Cover'!$B$3</f>
        <v>0</v>
      </c>
      <c r="B54" s="135"/>
      <c r="C54" s="135"/>
      <c r="D54" s="135"/>
    </row>
    <row r="55" spans="1:4" x14ac:dyDescent="0.25">
      <c r="A55" s="130">
        <f>'Agency Cover'!$B$3</f>
        <v>0</v>
      </c>
      <c r="B55" s="135"/>
      <c r="C55" s="135"/>
      <c r="D55" s="135"/>
    </row>
    <row r="56" spans="1:4" x14ac:dyDescent="0.25">
      <c r="A56" s="130">
        <f>'Agency Cover'!$B$3</f>
        <v>0</v>
      </c>
      <c r="B56" s="135"/>
      <c r="C56" s="135"/>
      <c r="D56" s="135"/>
    </row>
    <row r="57" spans="1:4" x14ac:dyDescent="0.25">
      <c r="A57" s="130">
        <f>'Agency Cover'!$B$3</f>
        <v>0</v>
      </c>
      <c r="B57" s="135"/>
      <c r="C57" s="135"/>
      <c r="D57" s="135"/>
    </row>
    <row r="58" spans="1:4" x14ac:dyDescent="0.25">
      <c r="A58" s="130">
        <f>'Agency Cover'!$B$3</f>
        <v>0</v>
      </c>
      <c r="B58" s="135"/>
      <c r="C58" s="135"/>
      <c r="D58" s="135"/>
    </row>
    <row r="59" spans="1:4" x14ac:dyDescent="0.25">
      <c r="A59" s="130">
        <f>'Agency Cover'!$B$3</f>
        <v>0</v>
      </c>
      <c r="B59" s="135"/>
      <c r="C59" s="135"/>
      <c r="D59" s="135"/>
    </row>
    <row r="60" spans="1:4" x14ac:dyDescent="0.25">
      <c r="A60" s="130">
        <f>'Agency Cover'!$B$3</f>
        <v>0</v>
      </c>
      <c r="B60" s="135"/>
      <c r="C60" s="135"/>
      <c r="D60" s="135"/>
    </row>
    <row r="61" spans="1:4" x14ac:dyDescent="0.25">
      <c r="A61" s="130">
        <f>'Agency Cover'!$B$3</f>
        <v>0</v>
      </c>
      <c r="B61" s="135"/>
      <c r="C61" s="135"/>
      <c r="D61" s="135"/>
    </row>
    <row r="62" spans="1:4" x14ac:dyDescent="0.25">
      <c r="A62" s="130">
        <f>'Agency Cover'!$B$3</f>
        <v>0</v>
      </c>
      <c r="B62" s="135"/>
      <c r="C62" s="135"/>
      <c r="D62" s="135"/>
    </row>
    <row r="63" spans="1:4" x14ac:dyDescent="0.25">
      <c r="A63" s="130">
        <f>'Agency Cover'!$B$3</f>
        <v>0</v>
      </c>
      <c r="B63" s="135"/>
      <c r="C63" s="135"/>
      <c r="D63" s="135"/>
    </row>
    <row r="64" spans="1:4" x14ac:dyDescent="0.25">
      <c r="A64" s="130">
        <f>'Agency Cover'!$B$3</f>
        <v>0</v>
      </c>
      <c r="B64" s="135"/>
      <c r="C64" s="135"/>
      <c r="D64" s="135"/>
    </row>
    <row r="65" spans="1:4" x14ac:dyDescent="0.25">
      <c r="A65" s="130">
        <f>'Agency Cover'!$B$3</f>
        <v>0</v>
      </c>
      <c r="B65" s="135"/>
      <c r="C65" s="135"/>
      <c r="D65" s="135"/>
    </row>
    <row r="66" spans="1:4" x14ac:dyDescent="0.25">
      <c r="A66" s="130">
        <f>'Agency Cover'!$B$3</f>
        <v>0</v>
      </c>
      <c r="B66" s="135"/>
      <c r="C66" s="135"/>
      <c r="D66" s="135"/>
    </row>
    <row r="67" spans="1:4" x14ac:dyDescent="0.25">
      <c r="A67" s="130">
        <f>'Agency Cover'!$B$3</f>
        <v>0</v>
      </c>
      <c r="B67" s="135"/>
      <c r="C67" s="135"/>
      <c r="D67" s="135"/>
    </row>
    <row r="68" spans="1:4" x14ac:dyDescent="0.25">
      <c r="A68" s="130">
        <f>'Agency Cover'!$B$3</f>
        <v>0</v>
      </c>
      <c r="B68" s="135"/>
      <c r="C68" s="135"/>
      <c r="D68" s="135"/>
    </row>
    <row r="69" spans="1:4" x14ac:dyDescent="0.25">
      <c r="A69" s="130">
        <f>'Agency Cover'!$B$3</f>
        <v>0</v>
      </c>
      <c r="B69" s="135"/>
      <c r="C69" s="135"/>
      <c r="D69" s="135"/>
    </row>
    <row r="70" spans="1:4" x14ac:dyDescent="0.25">
      <c r="A70" s="130">
        <f>'Agency Cover'!$B$3</f>
        <v>0</v>
      </c>
      <c r="B70" s="135"/>
      <c r="C70" s="135"/>
      <c r="D70" s="135"/>
    </row>
    <row r="71" spans="1:4" x14ac:dyDescent="0.25">
      <c r="A71" s="130">
        <f>'Agency Cover'!$B$3</f>
        <v>0</v>
      </c>
      <c r="B71" s="135"/>
      <c r="C71" s="135"/>
      <c r="D71" s="135"/>
    </row>
    <row r="72" spans="1:4" x14ac:dyDescent="0.25">
      <c r="A72" s="130">
        <f>'Agency Cover'!$B$3</f>
        <v>0</v>
      </c>
      <c r="B72" s="135"/>
      <c r="C72" s="135"/>
      <c r="D72" s="135"/>
    </row>
    <row r="73" spans="1:4" x14ac:dyDescent="0.25">
      <c r="A73" s="130">
        <f>'Agency Cover'!$B$3</f>
        <v>0</v>
      </c>
      <c r="B73" s="135"/>
      <c r="C73" s="135"/>
      <c r="D73" s="135"/>
    </row>
    <row r="74" spans="1:4" x14ac:dyDescent="0.25">
      <c r="A74" s="130">
        <f>'Agency Cover'!$B$3</f>
        <v>0</v>
      </c>
      <c r="B74" s="135"/>
      <c r="C74" s="135"/>
      <c r="D74" s="135"/>
    </row>
    <row r="75" spans="1:4" x14ac:dyDescent="0.25">
      <c r="A75" s="130">
        <f>'Agency Cover'!$B$3</f>
        <v>0</v>
      </c>
      <c r="B75" s="135"/>
      <c r="C75" s="135"/>
      <c r="D75" s="135"/>
    </row>
    <row r="76" spans="1:4" x14ac:dyDescent="0.25">
      <c r="A76" s="130">
        <f>'Agency Cover'!$B$3</f>
        <v>0</v>
      </c>
      <c r="B76" s="135"/>
      <c r="C76" s="135"/>
      <c r="D76" s="135"/>
    </row>
    <row r="77" spans="1:4" x14ac:dyDescent="0.25">
      <c r="A77" s="130">
        <f>'Agency Cover'!$B$3</f>
        <v>0</v>
      </c>
      <c r="B77" s="135"/>
      <c r="C77" s="135"/>
      <c r="D77" s="135"/>
    </row>
    <row r="78" spans="1:4" x14ac:dyDescent="0.25">
      <c r="A78" s="130">
        <f>'Agency Cover'!$B$3</f>
        <v>0</v>
      </c>
      <c r="B78" s="135"/>
      <c r="C78" s="135"/>
      <c r="D78" s="135"/>
    </row>
    <row r="79" spans="1:4" x14ac:dyDescent="0.25">
      <c r="A79" s="130">
        <f>'Agency Cover'!$B$3</f>
        <v>0</v>
      </c>
      <c r="B79" s="135"/>
      <c r="C79" s="135"/>
      <c r="D79" s="135"/>
    </row>
    <row r="80" spans="1:4" x14ac:dyDescent="0.25">
      <c r="A80" s="130">
        <f>'Agency Cover'!$B$3</f>
        <v>0</v>
      </c>
      <c r="B80" s="135"/>
      <c r="C80" s="135"/>
      <c r="D80" s="135"/>
    </row>
    <row r="81" spans="1:4" x14ac:dyDescent="0.25">
      <c r="A81" s="130">
        <f>'Agency Cover'!$B$3</f>
        <v>0</v>
      </c>
      <c r="B81" s="135"/>
      <c r="C81" s="135"/>
      <c r="D81" s="135"/>
    </row>
    <row r="82" spans="1:4" x14ac:dyDescent="0.25">
      <c r="A82" s="130">
        <f>'Agency Cover'!$B$3</f>
        <v>0</v>
      </c>
      <c r="B82" s="135"/>
      <c r="C82" s="135"/>
      <c r="D82" s="135"/>
    </row>
    <row r="83" spans="1:4" x14ac:dyDescent="0.25">
      <c r="A83" s="130">
        <f>'Agency Cover'!$B$3</f>
        <v>0</v>
      </c>
      <c r="B83" s="135"/>
      <c r="C83" s="135"/>
      <c r="D83" s="135"/>
    </row>
    <row r="84" spans="1:4" x14ac:dyDescent="0.25">
      <c r="A84" s="130">
        <f>'Agency Cover'!$B$3</f>
        <v>0</v>
      </c>
      <c r="B84" s="135"/>
      <c r="C84" s="135"/>
      <c r="D84" s="135"/>
    </row>
    <row r="85" spans="1:4" x14ac:dyDescent="0.25">
      <c r="A85" s="130">
        <f>'Agency Cover'!$B$3</f>
        <v>0</v>
      </c>
      <c r="B85" s="135"/>
      <c r="C85" s="135"/>
      <c r="D85" s="135"/>
    </row>
    <row r="86" spans="1:4" x14ac:dyDescent="0.25">
      <c r="A86" s="130">
        <f>'Agency Cover'!$B$3</f>
        <v>0</v>
      </c>
      <c r="B86" s="135"/>
      <c r="C86" s="135"/>
      <c r="D86" s="135"/>
    </row>
    <row r="87" spans="1:4" x14ac:dyDescent="0.25">
      <c r="A87" s="130">
        <f>'Agency Cover'!$B$3</f>
        <v>0</v>
      </c>
      <c r="B87" s="135"/>
      <c r="C87" s="135"/>
      <c r="D87" s="135"/>
    </row>
    <row r="88" spans="1:4" x14ac:dyDescent="0.25">
      <c r="A88" s="130">
        <f>'Agency Cover'!$B$3</f>
        <v>0</v>
      </c>
      <c r="B88" s="135"/>
      <c r="C88" s="135"/>
      <c r="D88" s="135"/>
    </row>
    <row r="89" spans="1:4" x14ac:dyDescent="0.25">
      <c r="A89" s="130">
        <f>'Agency Cover'!$B$3</f>
        <v>0</v>
      </c>
      <c r="B89" s="135"/>
      <c r="C89" s="135"/>
      <c r="D89" s="135"/>
    </row>
    <row r="90" spans="1:4" x14ac:dyDescent="0.25">
      <c r="A90" s="130">
        <f>'Agency Cover'!$B$3</f>
        <v>0</v>
      </c>
      <c r="B90" s="135"/>
      <c r="C90" s="135"/>
      <c r="D90" s="135"/>
    </row>
    <row r="91" spans="1:4" x14ac:dyDescent="0.25">
      <c r="A91" s="130">
        <f>'Agency Cover'!$B$3</f>
        <v>0</v>
      </c>
      <c r="B91" s="135"/>
      <c r="C91" s="135"/>
      <c r="D91" s="135"/>
    </row>
    <row r="92" spans="1:4" x14ac:dyDescent="0.25">
      <c r="A92" s="130">
        <f>'Agency Cover'!$B$3</f>
        <v>0</v>
      </c>
      <c r="B92" s="135"/>
      <c r="C92" s="135"/>
      <c r="D92" s="135"/>
    </row>
    <row r="93" spans="1:4" x14ac:dyDescent="0.25">
      <c r="A93" s="130">
        <f>'Agency Cover'!$B$3</f>
        <v>0</v>
      </c>
      <c r="B93" s="135"/>
      <c r="C93" s="135"/>
      <c r="D93" s="135"/>
    </row>
    <row r="94" spans="1:4" x14ac:dyDescent="0.25">
      <c r="A94" s="130">
        <f>'Agency Cover'!$B$3</f>
        <v>0</v>
      </c>
      <c r="B94" s="135"/>
      <c r="C94" s="135"/>
      <c r="D94" s="135"/>
    </row>
    <row r="95" spans="1:4" x14ac:dyDescent="0.25">
      <c r="A95" s="130">
        <f>'Agency Cover'!$B$3</f>
        <v>0</v>
      </c>
      <c r="B95" s="135"/>
      <c r="C95" s="135"/>
      <c r="D95" s="135"/>
    </row>
    <row r="96" spans="1:4" x14ac:dyDescent="0.25">
      <c r="A96" s="130">
        <f>'Agency Cover'!$B$3</f>
        <v>0</v>
      </c>
      <c r="B96" s="135"/>
      <c r="C96" s="135"/>
      <c r="D96" s="135"/>
    </row>
    <row r="97" spans="1:4" x14ac:dyDescent="0.25">
      <c r="A97" s="130">
        <f>'Agency Cover'!$B$3</f>
        <v>0</v>
      </c>
      <c r="B97" s="135"/>
      <c r="C97" s="135"/>
      <c r="D97" s="135"/>
    </row>
    <row r="98" spans="1:4" x14ac:dyDescent="0.25">
      <c r="A98" s="130">
        <f>'Agency Cover'!$B$3</f>
        <v>0</v>
      </c>
      <c r="B98" s="135"/>
      <c r="C98" s="135"/>
      <c r="D98" s="135"/>
    </row>
    <row r="99" spans="1:4" x14ac:dyDescent="0.25">
      <c r="A99" s="130">
        <f>'Agency Cover'!$B$3</f>
        <v>0</v>
      </c>
      <c r="B99" s="135"/>
      <c r="C99" s="135"/>
      <c r="D99" s="135"/>
    </row>
    <row r="100" spans="1:4" ht="30" x14ac:dyDescent="0.25">
      <c r="A100" s="132">
        <f>'Agency Cover'!$B$3</f>
        <v>0</v>
      </c>
      <c r="B100" s="133" t="s">
        <v>688</v>
      </c>
      <c r="C100" s="133" t="s">
        <v>688</v>
      </c>
      <c r="D100" s="134" t="s">
        <v>689</v>
      </c>
    </row>
    <row r="101" spans="1:4" x14ac:dyDescent="0.25">
      <c r="A101" s="130"/>
      <c r="B101" s="131"/>
      <c r="C101" s="131"/>
      <c r="D101" s="131"/>
    </row>
    <row r="102" spans="1:4" x14ac:dyDescent="0.25">
      <c r="A102" s="130"/>
      <c r="B102" s="131"/>
      <c r="C102" s="131"/>
      <c r="D102" s="131"/>
    </row>
    <row r="103" spans="1:4" x14ac:dyDescent="0.25">
      <c r="A103" s="130"/>
      <c r="B103" s="131"/>
      <c r="C103" s="131"/>
      <c r="D103" s="131"/>
    </row>
    <row r="104" spans="1:4" x14ac:dyDescent="0.25">
      <c r="A104" s="130"/>
      <c r="B104" s="131"/>
      <c r="C104" s="131"/>
      <c r="D104" s="131"/>
    </row>
    <row r="105" spans="1:4" x14ac:dyDescent="0.25">
      <c r="A105" s="130"/>
      <c r="B105" s="131"/>
      <c r="C105" s="131"/>
      <c r="D105" s="131"/>
    </row>
    <row r="106" spans="1:4" x14ac:dyDescent="0.25">
      <c r="A106" s="130"/>
      <c r="B106" s="131"/>
      <c r="C106" s="131"/>
      <c r="D106" s="131"/>
    </row>
    <row r="107" spans="1:4" x14ac:dyDescent="0.25">
      <c r="A107" s="130"/>
      <c r="B107" s="131"/>
      <c r="C107" s="131"/>
      <c r="D107" s="131"/>
    </row>
    <row r="108" spans="1:4" x14ac:dyDescent="0.25">
      <c r="A108" s="130"/>
      <c r="B108" s="131"/>
      <c r="C108" s="131"/>
      <c r="D108" s="131"/>
    </row>
    <row r="109" spans="1:4" x14ac:dyDescent="0.25">
      <c r="A109" s="130"/>
      <c r="B109" s="131"/>
      <c r="C109" s="131"/>
      <c r="D109" s="131"/>
    </row>
    <row r="110" spans="1:4" x14ac:dyDescent="0.25">
      <c r="A110" s="130"/>
      <c r="B110" s="131"/>
      <c r="C110" s="131"/>
      <c r="D110" s="131"/>
    </row>
    <row r="111" spans="1:4" x14ac:dyDescent="0.25">
      <c r="A111" s="130"/>
      <c r="B111" s="131"/>
      <c r="C111" s="131"/>
      <c r="D111" s="131"/>
    </row>
    <row r="112" spans="1:4" x14ac:dyDescent="0.25">
      <c r="A112" s="130"/>
      <c r="B112" s="131"/>
      <c r="C112" s="131"/>
      <c r="D112" s="131"/>
    </row>
    <row r="113" spans="1:4" x14ac:dyDescent="0.25">
      <c r="A113" s="130"/>
      <c r="B113" s="131"/>
      <c r="C113" s="131"/>
      <c r="D113" s="131"/>
    </row>
    <row r="114" spans="1:4" x14ac:dyDescent="0.25">
      <c r="A114" s="130"/>
      <c r="B114" s="131"/>
      <c r="C114" s="131"/>
      <c r="D114" s="131"/>
    </row>
    <row r="115" spans="1:4" x14ac:dyDescent="0.25">
      <c r="A115" s="130"/>
      <c r="B115" s="131"/>
      <c r="C115" s="131"/>
      <c r="D115" s="131"/>
    </row>
    <row r="116" spans="1:4" x14ac:dyDescent="0.25">
      <c r="A116" s="130"/>
      <c r="B116" s="131"/>
      <c r="C116" s="131"/>
      <c r="D116" s="131"/>
    </row>
    <row r="117" spans="1:4" x14ac:dyDescent="0.25">
      <c r="A117" s="130"/>
      <c r="B117" s="131"/>
      <c r="C117" s="131"/>
      <c r="D117" s="131"/>
    </row>
    <row r="118" spans="1:4" x14ac:dyDescent="0.25">
      <c r="A118" s="130"/>
      <c r="B118" s="131"/>
      <c r="C118" s="131"/>
      <c r="D118" s="131"/>
    </row>
    <row r="119" spans="1:4" x14ac:dyDescent="0.25">
      <c r="A119" s="130"/>
      <c r="B119" s="131"/>
      <c r="C119" s="131"/>
      <c r="D119" s="131"/>
    </row>
    <row r="120" spans="1:4" x14ac:dyDescent="0.25">
      <c r="A120" s="130"/>
      <c r="B120" s="131"/>
      <c r="C120" s="131"/>
      <c r="D120" s="131"/>
    </row>
    <row r="121" spans="1:4" x14ac:dyDescent="0.25">
      <c r="A121" s="130"/>
      <c r="B121" s="131"/>
      <c r="C121" s="131"/>
      <c r="D121" s="131"/>
    </row>
    <row r="122" spans="1:4" x14ac:dyDescent="0.25">
      <c r="A122" s="130"/>
      <c r="B122" s="131"/>
      <c r="C122" s="131"/>
      <c r="D122" s="131"/>
    </row>
    <row r="123" spans="1:4" x14ac:dyDescent="0.25">
      <c r="A123" s="130"/>
      <c r="B123" s="131"/>
      <c r="C123" s="131"/>
      <c r="D123" s="131"/>
    </row>
    <row r="124" spans="1:4" x14ac:dyDescent="0.25">
      <c r="A124" s="130"/>
      <c r="B124" s="131"/>
      <c r="C124" s="131"/>
      <c r="D124" s="131"/>
    </row>
    <row r="125" spans="1:4" x14ac:dyDescent="0.25">
      <c r="A125" s="130"/>
      <c r="B125" s="131"/>
      <c r="C125" s="131"/>
      <c r="D125" s="131"/>
    </row>
    <row r="126" spans="1:4" x14ac:dyDescent="0.25">
      <c r="A126" s="130"/>
      <c r="B126" s="131"/>
      <c r="C126" s="131"/>
      <c r="D126" s="131"/>
    </row>
    <row r="127" spans="1:4" x14ac:dyDescent="0.25">
      <c r="A127" s="130"/>
      <c r="B127" s="131"/>
      <c r="C127" s="131"/>
      <c r="D127" s="131"/>
    </row>
    <row r="128" spans="1:4" x14ac:dyDescent="0.25">
      <c r="A128" s="130"/>
      <c r="B128" s="131"/>
      <c r="C128" s="131"/>
      <c r="D128" s="131"/>
    </row>
    <row r="129" spans="1:4" x14ac:dyDescent="0.25">
      <c r="A129" s="130"/>
      <c r="B129" s="131"/>
      <c r="C129" s="131"/>
      <c r="D129" s="131"/>
    </row>
    <row r="130" spans="1:4" x14ac:dyDescent="0.25">
      <c r="A130" s="130"/>
      <c r="B130" s="131"/>
      <c r="C130" s="131"/>
      <c r="D130" s="131"/>
    </row>
    <row r="131" spans="1:4" x14ac:dyDescent="0.25">
      <c r="A131" s="130"/>
      <c r="B131" s="131"/>
      <c r="C131" s="131"/>
      <c r="D131" s="131"/>
    </row>
    <row r="132" spans="1:4" x14ac:dyDescent="0.25">
      <c r="A132" s="130"/>
      <c r="B132" s="131"/>
      <c r="C132" s="131"/>
      <c r="D132" s="131"/>
    </row>
    <row r="133" spans="1:4" x14ac:dyDescent="0.25">
      <c r="A133" s="130"/>
      <c r="B133" s="131"/>
      <c r="C133" s="131"/>
      <c r="D133" s="131"/>
    </row>
    <row r="134" spans="1:4" x14ac:dyDescent="0.25">
      <c r="A134" s="130"/>
      <c r="B134" s="131"/>
      <c r="C134" s="131"/>
      <c r="D134" s="131"/>
    </row>
    <row r="135" spans="1:4" x14ac:dyDescent="0.25">
      <c r="A135" s="130"/>
      <c r="B135" s="131"/>
      <c r="C135" s="131"/>
      <c r="D135" s="131"/>
    </row>
    <row r="136" spans="1:4" x14ac:dyDescent="0.25">
      <c r="A136" s="130"/>
      <c r="B136" s="131"/>
      <c r="C136" s="131"/>
      <c r="D136" s="131"/>
    </row>
    <row r="137" spans="1:4" x14ac:dyDescent="0.25">
      <c r="A137" s="130"/>
      <c r="B137" s="131"/>
      <c r="C137" s="131"/>
      <c r="D137" s="131"/>
    </row>
    <row r="138" spans="1:4" x14ac:dyDescent="0.25">
      <c r="A138" s="130"/>
      <c r="B138" s="131"/>
      <c r="C138" s="131"/>
      <c r="D138" s="131"/>
    </row>
    <row r="139" spans="1:4" x14ac:dyDescent="0.25">
      <c r="A139" s="130"/>
      <c r="B139" s="131"/>
      <c r="C139" s="131"/>
      <c r="D139" s="131"/>
    </row>
    <row r="140" spans="1:4" x14ac:dyDescent="0.25">
      <c r="A140" s="130"/>
      <c r="B140" s="131"/>
      <c r="C140" s="131"/>
      <c r="D140" s="131"/>
    </row>
    <row r="141" spans="1:4" x14ac:dyDescent="0.25">
      <c r="A141" s="130"/>
      <c r="B141" s="131"/>
      <c r="C141" s="131"/>
      <c r="D141" s="131"/>
    </row>
    <row r="142" spans="1:4" x14ac:dyDescent="0.25">
      <c r="A142" s="130"/>
      <c r="B142" s="131"/>
      <c r="C142" s="131"/>
      <c r="D142" s="131"/>
    </row>
    <row r="143" spans="1:4" x14ac:dyDescent="0.25">
      <c r="A143" s="130"/>
      <c r="B143" s="131"/>
      <c r="C143" s="131"/>
      <c r="D143" s="131"/>
    </row>
    <row r="144" spans="1:4" x14ac:dyDescent="0.25">
      <c r="A144" s="130"/>
      <c r="B144" s="131"/>
      <c r="C144" s="131"/>
      <c r="D144" s="131"/>
    </row>
    <row r="145" spans="1:4" x14ac:dyDescent="0.25">
      <c r="A145" s="130"/>
      <c r="B145" s="131"/>
      <c r="C145" s="131"/>
      <c r="D145" s="131"/>
    </row>
    <row r="146" spans="1:4" x14ac:dyDescent="0.25">
      <c r="A146" s="130"/>
      <c r="B146" s="131"/>
      <c r="C146" s="131"/>
      <c r="D146" s="131"/>
    </row>
    <row r="147" spans="1:4" x14ac:dyDescent="0.25">
      <c r="A147" s="130"/>
      <c r="B147" s="131"/>
      <c r="C147" s="131"/>
      <c r="D147" s="131"/>
    </row>
    <row r="148" spans="1:4" x14ac:dyDescent="0.25">
      <c r="A148" s="130"/>
      <c r="B148" s="131"/>
      <c r="C148" s="131"/>
      <c r="D148" s="131"/>
    </row>
    <row r="149" spans="1:4" x14ac:dyDescent="0.25">
      <c r="A149" s="130"/>
      <c r="B149" s="131"/>
      <c r="C149" s="131"/>
      <c r="D149" s="131"/>
    </row>
    <row r="150" spans="1:4" x14ac:dyDescent="0.25">
      <c r="A150" s="130"/>
      <c r="B150" s="131"/>
      <c r="C150" s="131"/>
      <c r="D150" s="131"/>
    </row>
    <row r="151" spans="1:4" x14ac:dyDescent="0.25">
      <c r="A151" s="130"/>
      <c r="B151" s="131"/>
      <c r="C151" s="131"/>
      <c r="D151" s="131"/>
    </row>
    <row r="152" spans="1:4" x14ac:dyDescent="0.25">
      <c r="A152" s="130"/>
      <c r="B152" s="131"/>
      <c r="C152" s="131"/>
      <c r="D152" s="131"/>
    </row>
    <row r="153" spans="1:4" x14ac:dyDescent="0.25">
      <c r="A153" s="130"/>
      <c r="B153" s="131"/>
      <c r="C153" s="131"/>
      <c r="D153" s="131"/>
    </row>
    <row r="154" spans="1:4" x14ac:dyDescent="0.25">
      <c r="A154" s="130"/>
      <c r="B154" s="131"/>
      <c r="C154" s="131"/>
      <c r="D154" s="131"/>
    </row>
    <row r="155" spans="1:4" x14ac:dyDescent="0.25">
      <c r="A155" s="130"/>
      <c r="B155" s="131"/>
      <c r="C155" s="131"/>
      <c r="D155" s="131"/>
    </row>
    <row r="156" spans="1:4" x14ac:dyDescent="0.25">
      <c r="A156" s="130"/>
      <c r="B156" s="131"/>
      <c r="C156" s="131"/>
      <c r="D156" s="131"/>
    </row>
    <row r="157" spans="1:4" x14ac:dyDescent="0.25">
      <c r="A157" s="130"/>
      <c r="B157" s="131"/>
      <c r="C157" s="131"/>
      <c r="D157" s="131"/>
    </row>
    <row r="158" spans="1:4" x14ac:dyDescent="0.25">
      <c r="A158" s="130"/>
      <c r="B158" s="131"/>
      <c r="C158" s="131"/>
      <c r="D158" s="131"/>
    </row>
    <row r="159" spans="1:4" x14ac:dyDescent="0.25">
      <c r="A159" s="130"/>
      <c r="B159" s="131"/>
      <c r="C159" s="131"/>
      <c r="D159" s="131"/>
    </row>
    <row r="160" spans="1:4" x14ac:dyDescent="0.25">
      <c r="A160" s="130"/>
      <c r="B160" s="131"/>
      <c r="C160" s="131"/>
      <c r="D160" s="131"/>
    </row>
    <row r="161" spans="1:4" x14ac:dyDescent="0.25">
      <c r="A161" s="130"/>
      <c r="B161" s="131"/>
      <c r="C161" s="131"/>
      <c r="D161" s="131"/>
    </row>
    <row r="162" spans="1:4" x14ac:dyDescent="0.25">
      <c r="A162" s="130"/>
      <c r="B162" s="131"/>
      <c r="C162" s="131"/>
      <c r="D162" s="131"/>
    </row>
    <row r="163" spans="1:4" x14ac:dyDescent="0.25">
      <c r="A163" s="130"/>
      <c r="B163" s="131"/>
      <c r="C163" s="131"/>
      <c r="D163" s="131"/>
    </row>
    <row r="164" spans="1:4" x14ac:dyDescent="0.25">
      <c r="A164" s="130"/>
      <c r="B164" s="131"/>
      <c r="C164" s="131"/>
      <c r="D164" s="131"/>
    </row>
    <row r="165" spans="1:4" x14ac:dyDescent="0.25">
      <c r="A165" s="130"/>
      <c r="B165" s="131"/>
      <c r="C165" s="131"/>
      <c r="D165" s="131"/>
    </row>
    <row r="166" spans="1:4" x14ac:dyDescent="0.25">
      <c r="A166" s="130"/>
      <c r="B166" s="131"/>
      <c r="C166" s="131"/>
      <c r="D166" s="131"/>
    </row>
    <row r="167" spans="1:4" x14ac:dyDescent="0.25">
      <c r="A167" s="130"/>
      <c r="B167" s="131"/>
      <c r="C167" s="131"/>
      <c r="D167" s="131"/>
    </row>
    <row r="168" spans="1:4" x14ac:dyDescent="0.25">
      <c r="A168" s="130"/>
      <c r="B168" s="131"/>
      <c r="C168" s="131"/>
      <c r="D168" s="131"/>
    </row>
    <row r="169" spans="1:4" x14ac:dyDescent="0.25">
      <c r="A169" s="130"/>
      <c r="B169" s="131"/>
      <c r="C169" s="131"/>
      <c r="D169" s="131"/>
    </row>
    <row r="170" spans="1:4" x14ac:dyDescent="0.25">
      <c r="A170" s="130"/>
      <c r="B170" s="131"/>
      <c r="C170" s="131"/>
      <c r="D170" s="131"/>
    </row>
    <row r="171" spans="1:4" x14ac:dyDescent="0.25">
      <c r="A171" s="130"/>
      <c r="B171" s="131"/>
      <c r="C171" s="131"/>
      <c r="D171" s="131"/>
    </row>
    <row r="172" spans="1:4" x14ac:dyDescent="0.25">
      <c r="A172" s="130"/>
      <c r="B172" s="131"/>
      <c r="C172" s="131"/>
      <c r="D172" s="131"/>
    </row>
    <row r="173" spans="1:4" x14ac:dyDescent="0.25">
      <c r="A173" s="130"/>
      <c r="B173" s="131"/>
      <c r="C173" s="131"/>
      <c r="D173" s="131"/>
    </row>
    <row r="174" spans="1:4" x14ac:dyDescent="0.25">
      <c r="A174" s="130"/>
      <c r="B174" s="131"/>
      <c r="C174" s="131"/>
      <c r="D174" s="131"/>
    </row>
    <row r="175" spans="1:4" x14ac:dyDescent="0.25">
      <c r="A175" s="130"/>
      <c r="B175" s="131"/>
      <c r="C175" s="131"/>
      <c r="D175" s="131"/>
    </row>
    <row r="176" spans="1:4" x14ac:dyDescent="0.25">
      <c r="A176" s="130"/>
      <c r="B176" s="131"/>
      <c r="C176" s="131"/>
      <c r="D176" s="131"/>
    </row>
    <row r="177" spans="1:4" x14ac:dyDescent="0.25">
      <c r="A177" s="130"/>
      <c r="B177" s="131"/>
      <c r="C177" s="131"/>
      <c r="D177" s="131"/>
    </row>
    <row r="178" spans="1:4" x14ac:dyDescent="0.25">
      <c r="A178" s="130"/>
      <c r="B178" s="131"/>
      <c r="C178" s="131"/>
      <c r="D178" s="131"/>
    </row>
    <row r="179" spans="1:4" x14ac:dyDescent="0.25">
      <c r="A179" s="130"/>
      <c r="B179" s="131"/>
      <c r="C179" s="131"/>
      <c r="D179" s="131"/>
    </row>
    <row r="180" spans="1:4" x14ac:dyDescent="0.25">
      <c r="A180" s="130"/>
      <c r="B180" s="131"/>
      <c r="C180" s="131"/>
      <c r="D180" s="131"/>
    </row>
    <row r="181" spans="1:4" x14ac:dyDescent="0.25">
      <c r="A181" s="130"/>
      <c r="B181" s="131"/>
      <c r="C181" s="131"/>
      <c r="D181" s="131"/>
    </row>
    <row r="182" spans="1:4" x14ac:dyDescent="0.25">
      <c r="A182" s="130"/>
      <c r="B182" s="131"/>
      <c r="C182" s="131"/>
      <c r="D182" s="131"/>
    </row>
    <row r="183" spans="1:4" x14ac:dyDescent="0.25">
      <c r="A183" s="130"/>
      <c r="B183" s="131"/>
      <c r="C183" s="131"/>
      <c r="D183" s="131"/>
    </row>
    <row r="184" spans="1:4" x14ac:dyDescent="0.25">
      <c r="A184" s="130"/>
      <c r="B184" s="131"/>
      <c r="C184" s="131"/>
      <c r="D184" s="131"/>
    </row>
    <row r="185" spans="1:4" x14ac:dyDescent="0.25">
      <c r="A185" s="130"/>
      <c r="B185" s="131"/>
      <c r="C185" s="131"/>
      <c r="D185" s="131"/>
    </row>
    <row r="186" spans="1:4" x14ac:dyDescent="0.25">
      <c r="A186" s="130"/>
      <c r="B186" s="131"/>
      <c r="C186" s="131"/>
      <c r="D186" s="131"/>
    </row>
    <row r="187" spans="1:4" x14ac:dyDescent="0.25">
      <c r="A187" s="130"/>
      <c r="B187" s="131"/>
      <c r="C187" s="131"/>
      <c r="D187" s="131"/>
    </row>
    <row r="188" spans="1:4" x14ac:dyDescent="0.25">
      <c r="A188" s="130"/>
      <c r="B188" s="131"/>
      <c r="C188" s="131"/>
      <c r="D188" s="131"/>
    </row>
    <row r="189" spans="1:4" x14ac:dyDescent="0.25">
      <c r="A189" s="130"/>
      <c r="B189" s="131"/>
      <c r="C189" s="131"/>
      <c r="D189" s="131"/>
    </row>
    <row r="190" spans="1:4" x14ac:dyDescent="0.25">
      <c r="A190" s="130"/>
      <c r="B190" s="131"/>
      <c r="C190" s="131"/>
      <c r="D190" s="131"/>
    </row>
    <row r="191" spans="1:4" x14ac:dyDescent="0.25">
      <c r="A191" s="130"/>
      <c r="B191" s="131"/>
      <c r="C191" s="131"/>
      <c r="D191" s="131"/>
    </row>
    <row r="192" spans="1:4" x14ac:dyDescent="0.25">
      <c r="A192" s="130"/>
      <c r="B192" s="131"/>
      <c r="C192" s="131"/>
      <c r="D192" s="131"/>
    </row>
    <row r="193" spans="1:4" x14ac:dyDescent="0.25">
      <c r="A193" s="130"/>
      <c r="B193" s="131"/>
      <c r="C193" s="131"/>
      <c r="D193" s="131"/>
    </row>
    <row r="194" spans="1:4" x14ac:dyDescent="0.25">
      <c r="A194" s="130"/>
      <c r="B194" s="131"/>
      <c r="C194" s="131"/>
      <c r="D194" s="131"/>
    </row>
    <row r="195" spans="1:4" x14ac:dyDescent="0.25">
      <c r="A195" s="130"/>
      <c r="B195" s="131"/>
      <c r="C195" s="131"/>
      <c r="D195" s="131"/>
    </row>
    <row r="196" spans="1:4" x14ac:dyDescent="0.25">
      <c r="A196" s="130"/>
      <c r="B196" s="131"/>
      <c r="C196" s="131"/>
      <c r="D196" s="131"/>
    </row>
    <row r="197" spans="1:4" x14ac:dyDescent="0.25">
      <c r="A197" s="130"/>
      <c r="B197" s="131"/>
      <c r="C197" s="131"/>
      <c r="D197" s="131"/>
    </row>
    <row r="198" spans="1:4" x14ac:dyDescent="0.25">
      <c r="A198" s="130"/>
      <c r="B198" s="131"/>
      <c r="C198" s="131"/>
      <c r="D198" s="131"/>
    </row>
    <row r="199" spans="1:4" x14ac:dyDescent="0.25">
      <c r="A199" s="130"/>
      <c r="B199" s="131"/>
      <c r="C199" s="131"/>
      <c r="D199" s="131"/>
    </row>
    <row r="200" spans="1:4" x14ac:dyDescent="0.25">
      <c r="A200" s="130"/>
      <c r="B200" s="131"/>
      <c r="C200" s="131"/>
      <c r="D200" s="131"/>
    </row>
    <row r="201" spans="1:4" x14ac:dyDescent="0.25">
      <c r="A201" s="130"/>
      <c r="B201" s="131"/>
      <c r="C201" s="131"/>
      <c r="D201" s="131"/>
    </row>
    <row r="202" spans="1:4" x14ac:dyDescent="0.25">
      <c r="A202" s="130"/>
      <c r="B202" s="131"/>
      <c r="C202" s="131"/>
      <c r="D202" s="131"/>
    </row>
    <row r="203" spans="1:4" x14ac:dyDescent="0.25">
      <c r="A203" s="130"/>
      <c r="B203" s="131"/>
      <c r="C203" s="131"/>
      <c r="D203" s="131"/>
    </row>
    <row r="204" spans="1:4" x14ac:dyDescent="0.25">
      <c r="A204" s="130"/>
      <c r="B204" s="131"/>
      <c r="C204" s="131"/>
      <c r="D204" s="131"/>
    </row>
    <row r="205" spans="1:4" x14ac:dyDescent="0.25">
      <c r="A205" s="130"/>
      <c r="B205" s="131"/>
      <c r="C205" s="131"/>
      <c r="D205" s="131"/>
    </row>
    <row r="206" spans="1:4" x14ac:dyDescent="0.25">
      <c r="A206" s="130"/>
      <c r="B206" s="131"/>
      <c r="C206" s="131"/>
      <c r="D206" s="131"/>
    </row>
    <row r="207" spans="1:4" x14ac:dyDescent="0.25">
      <c r="A207" s="130"/>
      <c r="B207" s="131"/>
      <c r="C207" s="131"/>
      <c r="D207" s="131"/>
    </row>
    <row r="208" spans="1:4" x14ac:dyDescent="0.25">
      <c r="A208" s="130"/>
      <c r="B208" s="131"/>
      <c r="C208" s="131"/>
      <c r="D208" s="131"/>
    </row>
    <row r="209" spans="1:4" x14ac:dyDescent="0.25">
      <c r="A209" s="130"/>
      <c r="B209" s="131"/>
      <c r="C209" s="131"/>
      <c r="D209" s="131"/>
    </row>
    <row r="210" spans="1:4" x14ac:dyDescent="0.25">
      <c r="A210" s="130"/>
      <c r="B210" s="131"/>
      <c r="C210" s="131"/>
      <c r="D210" s="131"/>
    </row>
    <row r="211" spans="1:4" x14ac:dyDescent="0.25">
      <c r="A211" s="130"/>
      <c r="B211" s="131"/>
      <c r="C211" s="131"/>
      <c r="D211" s="131"/>
    </row>
    <row r="212" spans="1:4" x14ac:dyDescent="0.25">
      <c r="A212" s="130"/>
      <c r="B212" s="131"/>
      <c r="C212" s="131"/>
      <c r="D212" s="131"/>
    </row>
    <row r="213" spans="1:4" x14ac:dyDescent="0.25">
      <c r="A213" s="130"/>
      <c r="B213" s="131"/>
      <c r="C213" s="131"/>
      <c r="D213" s="131"/>
    </row>
    <row r="214" spans="1:4" x14ac:dyDescent="0.25">
      <c r="A214" s="130"/>
      <c r="B214" s="131"/>
      <c r="C214" s="131"/>
      <c r="D214" s="131"/>
    </row>
    <row r="215" spans="1:4" x14ac:dyDescent="0.25">
      <c r="A215" s="130"/>
      <c r="B215" s="131"/>
      <c r="C215" s="131"/>
      <c r="D215" s="131"/>
    </row>
    <row r="216" spans="1:4" x14ac:dyDescent="0.25">
      <c r="A216" s="130"/>
      <c r="B216" s="131"/>
      <c r="C216" s="131"/>
      <c r="D216" s="131"/>
    </row>
    <row r="217" spans="1:4" x14ac:dyDescent="0.25">
      <c r="A217" s="130"/>
      <c r="B217" s="131"/>
      <c r="C217" s="131"/>
      <c r="D217" s="131"/>
    </row>
    <row r="218" spans="1:4" x14ac:dyDescent="0.25">
      <c r="A218" s="130"/>
      <c r="B218" s="131"/>
      <c r="C218" s="131"/>
      <c r="D218" s="131"/>
    </row>
    <row r="219" spans="1:4" x14ac:dyDescent="0.25">
      <c r="A219" s="130"/>
      <c r="B219" s="131"/>
      <c r="C219" s="131"/>
      <c r="D219" s="131"/>
    </row>
    <row r="220" spans="1:4" x14ac:dyDescent="0.25">
      <c r="A220" s="130"/>
      <c r="B220" s="131"/>
      <c r="C220" s="131"/>
      <c r="D220" s="131"/>
    </row>
    <row r="221" spans="1:4" x14ac:dyDescent="0.25">
      <c r="A221" s="130"/>
      <c r="B221" s="131"/>
      <c r="C221" s="131"/>
      <c r="D221" s="131"/>
    </row>
    <row r="222" spans="1:4" x14ac:dyDescent="0.25">
      <c r="A222" s="130"/>
      <c r="B222" s="131"/>
      <c r="C222" s="131"/>
      <c r="D222" s="131"/>
    </row>
    <row r="223" spans="1:4" x14ac:dyDescent="0.25">
      <c r="A223" s="130"/>
      <c r="B223" s="131"/>
      <c r="C223" s="131"/>
      <c r="D223" s="131"/>
    </row>
    <row r="224" spans="1:4" x14ac:dyDescent="0.25">
      <c r="A224" s="130"/>
      <c r="B224" s="131"/>
      <c r="C224" s="131"/>
      <c r="D224" s="131"/>
    </row>
    <row r="225" spans="1:4" x14ac:dyDescent="0.25">
      <c r="A225" s="130"/>
      <c r="B225" s="131"/>
      <c r="C225" s="131"/>
      <c r="D225" s="131"/>
    </row>
    <row r="226" spans="1:4" x14ac:dyDescent="0.25">
      <c r="A226" s="130"/>
      <c r="B226" s="131"/>
      <c r="C226" s="131"/>
      <c r="D226" s="131"/>
    </row>
    <row r="227" spans="1:4" x14ac:dyDescent="0.25">
      <c r="A227" s="130"/>
      <c r="B227" s="131"/>
      <c r="C227" s="131"/>
      <c r="D227" s="131"/>
    </row>
    <row r="228" spans="1:4" x14ac:dyDescent="0.25">
      <c r="A228" s="130"/>
      <c r="B228" s="131"/>
      <c r="C228" s="131"/>
      <c r="D228" s="131"/>
    </row>
    <row r="229" spans="1:4" x14ac:dyDescent="0.25">
      <c r="A229" s="130"/>
      <c r="B229" s="131"/>
      <c r="C229" s="131"/>
      <c r="D229" s="131"/>
    </row>
    <row r="230" spans="1:4" x14ac:dyDescent="0.25">
      <c r="A230" s="130"/>
      <c r="B230" s="131"/>
      <c r="C230" s="131"/>
      <c r="D230" s="131"/>
    </row>
    <row r="231" spans="1:4" x14ac:dyDescent="0.25">
      <c r="A231" s="130"/>
      <c r="B231" s="131"/>
      <c r="C231" s="131"/>
      <c r="D231" s="131"/>
    </row>
    <row r="232" spans="1:4" x14ac:dyDescent="0.25">
      <c r="A232" s="130"/>
      <c r="B232" s="131"/>
      <c r="C232" s="131"/>
      <c r="D232" s="131"/>
    </row>
    <row r="233" spans="1:4" x14ac:dyDescent="0.25">
      <c r="A233" s="130"/>
      <c r="B233" s="131"/>
      <c r="C233" s="131"/>
      <c r="D233" s="131"/>
    </row>
    <row r="234" spans="1:4" x14ac:dyDescent="0.25">
      <c r="A234" s="130"/>
      <c r="B234" s="131"/>
      <c r="C234" s="131"/>
      <c r="D234" s="131"/>
    </row>
    <row r="235" spans="1:4" x14ac:dyDescent="0.25">
      <c r="A235" s="130"/>
      <c r="B235" s="131"/>
      <c r="C235" s="131"/>
      <c r="D235" s="131"/>
    </row>
    <row r="236" spans="1:4" x14ac:dyDescent="0.25">
      <c r="A236" s="130"/>
      <c r="B236" s="131"/>
      <c r="C236" s="131"/>
      <c r="D236" s="131"/>
    </row>
    <row r="237" spans="1:4" x14ac:dyDescent="0.25">
      <c r="A237" s="130"/>
      <c r="B237" s="131"/>
      <c r="C237" s="131"/>
      <c r="D237" s="131"/>
    </row>
    <row r="238" spans="1:4" x14ac:dyDescent="0.25">
      <c r="A238" s="130"/>
      <c r="B238" s="131"/>
      <c r="C238" s="131"/>
      <c r="D238" s="131"/>
    </row>
    <row r="239" spans="1:4" x14ac:dyDescent="0.25">
      <c r="A239" s="130"/>
      <c r="B239" s="131"/>
      <c r="C239" s="131"/>
      <c r="D239" s="131"/>
    </row>
    <row r="240" spans="1:4" x14ac:dyDescent="0.25">
      <c r="A240" s="130"/>
      <c r="B240" s="131"/>
      <c r="C240" s="131"/>
      <c r="D240" s="131"/>
    </row>
    <row r="241" spans="1:4" x14ac:dyDescent="0.25">
      <c r="A241" s="130"/>
      <c r="B241" s="131"/>
      <c r="C241" s="131"/>
      <c r="D241" s="131"/>
    </row>
    <row r="242" spans="1:4" x14ac:dyDescent="0.25">
      <c r="A242" s="130"/>
      <c r="B242" s="131"/>
      <c r="C242" s="131"/>
      <c r="D242" s="131"/>
    </row>
    <row r="243" spans="1:4" x14ac:dyDescent="0.25">
      <c r="A243" s="130"/>
      <c r="B243" s="131"/>
      <c r="C243" s="131"/>
      <c r="D243" s="131"/>
    </row>
    <row r="244" spans="1:4" x14ac:dyDescent="0.25">
      <c r="A244" s="130"/>
      <c r="B244" s="131"/>
      <c r="C244" s="131"/>
      <c r="D244" s="131"/>
    </row>
    <row r="245" spans="1:4" x14ac:dyDescent="0.25">
      <c r="A245" s="130"/>
      <c r="B245" s="131"/>
      <c r="C245" s="131"/>
      <c r="D245" s="131"/>
    </row>
    <row r="246" spans="1:4" x14ac:dyDescent="0.25">
      <c r="A246" s="130"/>
      <c r="B246" s="131"/>
      <c r="C246" s="131"/>
      <c r="D246" s="131"/>
    </row>
    <row r="247" spans="1:4" x14ac:dyDescent="0.25">
      <c r="A247" s="130"/>
      <c r="B247" s="131"/>
      <c r="C247" s="131"/>
      <c r="D247" s="131"/>
    </row>
    <row r="248" spans="1:4" x14ac:dyDescent="0.25">
      <c r="A248" s="130"/>
      <c r="B248" s="131"/>
      <c r="C248" s="131"/>
      <c r="D248" s="131"/>
    </row>
    <row r="249" spans="1:4" x14ac:dyDescent="0.25">
      <c r="A249" s="130"/>
      <c r="B249" s="131"/>
      <c r="C249" s="131"/>
      <c r="D249" s="131"/>
    </row>
    <row r="250" spans="1:4" x14ac:dyDescent="0.25">
      <c r="A250" s="130"/>
      <c r="B250" s="131"/>
      <c r="C250" s="131"/>
      <c r="D250" s="131"/>
    </row>
    <row r="251" spans="1:4" x14ac:dyDescent="0.25">
      <c r="A251" s="130"/>
      <c r="B251" s="131"/>
      <c r="C251" s="131"/>
      <c r="D251" s="131"/>
    </row>
    <row r="252" spans="1:4" x14ac:dyDescent="0.25">
      <c r="A252" s="130"/>
      <c r="B252" s="131"/>
      <c r="C252" s="131"/>
      <c r="D252" s="131"/>
    </row>
    <row r="253" spans="1:4" x14ac:dyDescent="0.25">
      <c r="A253" s="130"/>
      <c r="B253" s="131"/>
      <c r="C253" s="131"/>
      <c r="D253" s="131"/>
    </row>
    <row r="254" spans="1:4" x14ac:dyDescent="0.25">
      <c r="A254" s="130"/>
      <c r="B254" s="131"/>
      <c r="C254" s="131"/>
      <c r="D254" s="131"/>
    </row>
    <row r="255" spans="1:4" x14ac:dyDescent="0.25">
      <c r="A255" s="130"/>
      <c r="B255" s="131"/>
      <c r="C255" s="131"/>
      <c r="D255" s="131"/>
    </row>
    <row r="256" spans="1:4" x14ac:dyDescent="0.25">
      <c r="A256" s="130"/>
      <c r="B256" s="131"/>
      <c r="C256" s="131"/>
      <c r="D256" s="131"/>
    </row>
    <row r="257" spans="1:4" x14ac:dyDescent="0.25">
      <c r="A257" s="130"/>
      <c r="B257" s="131"/>
      <c r="C257" s="131"/>
      <c r="D257" s="131"/>
    </row>
    <row r="258" spans="1:4" x14ac:dyDescent="0.25">
      <c r="A258" s="130"/>
      <c r="B258" s="131"/>
      <c r="C258" s="131"/>
      <c r="D258" s="131"/>
    </row>
    <row r="259" spans="1:4" x14ac:dyDescent="0.25">
      <c r="A259" s="130"/>
      <c r="B259" s="131"/>
      <c r="C259" s="131"/>
      <c r="D259" s="131"/>
    </row>
    <row r="260" spans="1:4" x14ac:dyDescent="0.25">
      <c r="A260" s="130"/>
      <c r="B260" s="131"/>
      <c r="C260" s="131"/>
      <c r="D260" s="131"/>
    </row>
    <row r="261" spans="1:4" x14ac:dyDescent="0.25">
      <c r="A261" s="130"/>
      <c r="B261" s="131"/>
      <c r="C261" s="131"/>
      <c r="D261" s="131"/>
    </row>
    <row r="262" spans="1:4" x14ac:dyDescent="0.25">
      <c r="A262" s="130"/>
      <c r="B262" s="131"/>
      <c r="C262" s="131"/>
      <c r="D262" s="131"/>
    </row>
    <row r="263" spans="1:4" x14ac:dyDescent="0.25">
      <c r="A263" s="130"/>
      <c r="B263" s="131"/>
      <c r="C263" s="131"/>
      <c r="D263" s="131"/>
    </row>
    <row r="264" spans="1:4" x14ac:dyDescent="0.25">
      <c r="A264" s="130"/>
      <c r="B264" s="131"/>
      <c r="C264" s="131"/>
      <c r="D264" s="131"/>
    </row>
    <row r="265" spans="1:4" x14ac:dyDescent="0.25">
      <c r="A265" s="130"/>
      <c r="B265" s="131"/>
      <c r="C265" s="131"/>
      <c r="D265" s="131"/>
    </row>
    <row r="266" spans="1:4" x14ac:dyDescent="0.25">
      <c r="A266" s="130"/>
      <c r="B266" s="131"/>
      <c r="C266" s="131"/>
      <c r="D266" s="131"/>
    </row>
    <row r="267" spans="1:4" x14ac:dyDescent="0.25">
      <c r="A267" s="130"/>
      <c r="B267" s="131"/>
      <c r="C267" s="131"/>
      <c r="D267" s="131"/>
    </row>
    <row r="268" spans="1:4" x14ac:dyDescent="0.25">
      <c r="A268" s="130"/>
      <c r="B268" s="131"/>
      <c r="C268" s="131"/>
      <c r="D268" s="131"/>
    </row>
    <row r="269" spans="1:4" x14ac:dyDescent="0.25">
      <c r="A269" s="130"/>
      <c r="B269" s="131"/>
      <c r="C269" s="131"/>
      <c r="D269" s="131"/>
    </row>
    <row r="270" spans="1:4" x14ac:dyDescent="0.25">
      <c r="A270" s="130"/>
      <c r="B270" s="131"/>
      <c r="C270" s="131"/>
      <c r="D270" s="131"/>
    </row>
    <row r="271" spans="1:4" x14ac:dyDescent="0.25">
      <c r="A271" s="130"/>
      <c r="B271" s="131"/>
      <c r="C271" s="131"/>
      <c r="D271" s="131"/>
    </row>
    <row r="272" spans="1:4" x14ac:dyDescent="0.25">
      <c r="A272" s="130"/>
      <c r="B272" s="131"/>
      <c r="C272" s="131"/>
      <c r="D272" s="131"/>
    </row>
    <row r="273" spans="1:4" x14ac:dyDescent="0.25">
      <c r="A273" s="130"/>
      <c r="B273" s="131"/>
      <c r="C273" s="131"/>
      <c r="D273" s="131"/>
    </row>
    <row r="274" spans="1:4" x14ac:dyDescent="0.25">
      <c r="A274" s="130"/>
      <c r="B274" s="131"/>
      <c r="C274" s="131"/>
      <c r="D274" s="131"/>
    </row>
    <row r="275" spans="1:4" x14ac:dyDescent="0.25">
      <c r="A275" s="130"/>
      <c r="B275" s="131"/>
      <c r="C275" s="131"/>
      <c r="D275" s="131"/>
    </row>
    <row r="276" spans="1:4" x14ac:dyDescent="0.25">
      <c r="A276" s="130"/>
      <c r="B276" s="131"/>
      <c r="C276" s="131"/>
      <c r="D276" s="131"/>
    </row>
    <row r="277" spans="1:4" x14ac:dyDescent="0.25">
      <c r="A277" s="130"/>
      <c r="B277" s="131"/>
      <c r="C277" s="131"/>
      <c r="D277" s="131"/>
    </row>
    <row r="278" spans="1:4" x14ac:dyDescent="0.25">
      <c r="A278" s="130"/>
      <c r="B278" s="131"/>
      <c r="C278" s="131"/>
      <c r="D278" s="131"/>
    </row>
    <row r="279" spans="1:4" x14ac:dyDescent="0.25">
      <c r="A279" s="130"/>
      <c r="B279" s="131"/>
      <c r="C279" s="131"/>
      <c r="D279" s="131"/>
    </row>
    <row r="280" spans="1:4" x14ac:dyDescent="0.25">
      <c r="A280" s="130"/>
      <c r="B280" s="131"/>
      <c r="C280" s="131"/>
      <c r="D280" s="131"/>
    </row>
    <row r="281" spans="1:4" x14ac:dyDescent="0.25">
      <c r="A281" s="130"/>
      <c r="B281" s="131"/>
      <c r="C281" s="131"/>
      <c r="D281" s="131"/>
    </row>
    <row r="282" spans="1:4" x14ac:dyDescent="0.25">
      <c r="A282" s="130"/>
      <c r="B282" s="131"/>
      <c r="C282" s="131"/>
      <c r="D282" s="131"/>
    </row>
    <row r="283" spans="1:4" x14ac:dyDescent="0.25">
      <c r="A283" s="130"/>
      <c r="B283" s="131"/>
      <c r="C283" s="131"/>
      <c r="D283" s="131"/>
    </row>
    <row r="284" spans="1:4" x14ac:dyDescent="0.25">
      <c r="A284" s="130"/>
      <c r="B284" s="131"/>
      <c r="C284" s="131"/>
      <c r="D284" s="131"/>
    </row>
    <row r="285" spans="1:4" x14ac:dyDescent="0.25">
      <c r="A285" s="130"/>
      <c r="B285" s="131"/>
      <c r="C285" s="131"/>
      <c r="D285" s="131"/>
    </row>
    <row r="286" spans="1:4" x14ac:dyDescent="0.25">
      <c r="A286" s="130"/>
      <c r="B286" s="131"/>
      <c r="C286" s="131"/>
      <c r="D286" s="131"/>
    </row>
    <row r="287" spans="1:4" x14ac:dyDescent="0.25">
      <c r="A287" s="130"/>
      <c r="B287" s="131"/>
      <c r="C287" s="131"/>
      <c r="D287" s="131"/>
    </row>
    <row r="288" spans="1:4" x14ac:dyDescent="0.25">
      <c r="A288" s="130"/>
      <c r="B288" s="131"/>
      <c r="C288" s="131"/>
      <c r="D288" s="131"/>
    </row>
    <row r="289" spans="1:4" x14ac:dyDescent="0.25">
      <c r="A289" s="130"/>
      <c r="B289" s="131"/>
      <c r="C289" s="131"/>
      <c r="D289" s="131"/>
    </row>
    <row r="290" spans="1:4" x14ac:dyDescent="0.25">
      <c r="A290" s="130"/>
      <c r="B290" s="131"/>
      <c r="C290" s="131"/>
      <c r="D290" s="131"/>
    </row>
    <row r="291" spans="1:4" x14ac:dyDescent="0.25">
      <c r="A291" s="130"/>
      <c r="B291" s="131"/>
      <c r="C291" s="131"/>
      <c r="D291" s="131"/>
    </row>
    <row r="292" spans="1:4" x14ac:dyDescent="0.25">
      <c r="A292" s="130"/>
      <c r="B292" s="131"/>
      <c r="C292" s="131"/>
      <c r="D292" s="131"/>
    </row>
    <row r="293" spans="1:4" x14ac:dyDescent="0.25">
      <c r="A293" s="130"/>
      <c r="B293" s="131"/>
      <c r="C293" s="131"/>
      <c r="D293" s="131"/>
    </row>
    <row r="294" spans="1:4" x14ac:dyDescent="0.25">
      <c r="A294" s="130"/>
      <c r="B294" s="131"/>
      <c r="C294" s="131"/>
      <c r="D294" s="131"/>
    </row>
    <row r="295" spans="1:4" x14ac:dyDescent="0.25">
      <c r="A295" s="130"/>
      <c r="B295" s="131"/>
      <c r="C295" s="131"/>
      <c r="D295" s="131"/>
    </row>
    <row r="296" spans="1:4" x14ac:dyDescent="0.25">
      <c r="A296" s="130"/>
      <c r="B296" s="131"/>
      <c r="C296" s="131"/>
      <c r="D296" s="131"/>
    </row>
    <row r="297" spans="1:4" x14ac:dyDescent="0.25">
      <c r="A297" s="130"/>
      <c r="B297" s="131"/>
      <c r="C297" s="131"/>
      <c r="D297" s="131"/>
    </row>
    <row r="298" spans="1:4" x14ac:dyDescent="0.25">
      <c r="A298" s="130"/>
      <c r="B298" s="131"/>
      <c r="C298" s="131"/>
      <c r="D298" s="131"/>
    </row>
    <row r="299" spans="1:4" x14ac:dyDescent="0.25">
      <c r="A299" s="130"/>
      <c r="B299" s="131"/>
      <c r="C299" s="131"/>
      <c r="D299" s="131"/>
    </row>
    <row r="300" spans="1:4" x14ac:dyDescent="0.25">
      <c r="A300" s="130"/>
      <c r="B300" s="131"/>
      <c r="C300" s="131"/>
      <c r="D300" s="131"/>
    </row>
    <row r="301" spans="1:4" x14ac:dyDescent="0.25">
      <c r="A301" s="130"/>
      <c r="B301" s="131"/>
      <c r="C301" s="131"/>
      <c r="D301" s="131"/>
    </row>
    <row r="302" spans="1:4" x14ac:dyDescent="0.25">
      <c r="A302" s="130"/>
      <c r="B302" s="131"/>
      <c r="C302" s="131"/>
      <c r="D302" s="131"/>
    </row>
    <row r="303" spans="1:4" x14ac:dyDescent="0.25">
      <c r="A303" s="130"/>
      <c r="B303" s="131"/>
      <c r="C303" s="131"/>
      <c r="D303" s="131"/>
    </row>
    <row r="304" spans="1:4" x14ac:dyDescent="0.25">
      <c r="A304" s="130"/>
      <c r="B304" s="131"/>
      <c r="C304" s="131"/>
      <c r="D304" s="131"/>
    </row>
    <row r="305" spans="1:4" x14ac:dyDescent="0.25">
      <c r="A305" s="130"/>
      <c r="B305" s="131"/>
      <c r="C305" s="131"/>
      <c r="D305" s="131"/>
    </row>
    <row r="306" spans="1:4" x14ac:dyDescent="0.25">
      <c r="A306" s="130"/>
      <c r="B306" s="131"/>
      <c r="C306" s="131"/>
      <c r="D306" s="131"/>
    </row>
    <row r="307" spans="1:4" x14ac:dyDescent="0.25">
      <c r="A307" s="130"/>
      <c r="B307" s="131"/>
      <c r="C307" s="131"/>
      <c r="D307" s="131"/>
    </row>
    <row r="308" spans="1:4" x14ac:dyDescent="0.25">
      <c r="A308" s="130"/>
      <c r="B308" s="131"/>
      <c r="C308" s="131"/>
      <c r="D308" s="131"/>
    </row>
    <row r="309" spans="1:4" x14ac:dyDescent="0.25">
      <c r="A309" s="130"/>
      <c r="B309" s="131"/>
      <c r="C309" s="131"/>
      <c r="D309" s="131"/>
    </row>
    <row r="310" spans="1:4" x14ac:dyDescent="0.25">
      <c r="A310" s="130"/>
      <c r="B310" s="131"/>
      <c r="C310" s="131"/>
      <c r="D310" s="131"/>
    </row>
    <row r="311" spans="1:4" x14ac:dyDescent="0.25">
      <c r="A311" s="130"/>
      <c r="B311" s="131"/>
      <c r="C311" s="131"/>
      <c r="D311" s="131"/>
    </row>
    <row r="312" spans="1:4" x14ac:dyDescent="0.25">
      <c r="A312" s="130"/>
      <c r="B312" s="131"/>
      <c r="C312" s="131"/>
      <c r="D312" s="131"/>
    </row>
    <row r="313" spans="1:4" x14ac:dyDescent="0.25">
      <c r="A313" s="130"/>
      <c r="B313" s="131"/>
      <c r="C313" s="131"/>
      <c r="D313" s="131"/>
    </row>
    <row r="314" spans="1:4" x14ac:dyDescent="0.25">
      <c r="A314" s="130"/>
      <c r="B314" s="131"/>
      <c r="C314" s="131"/>
      <c r="D314" s="131"/>
    </row>
    <row r="315" spans="1:4" x14ac:dyDescent="0.25">
      <c r="A315" s="130"/>
      <c r="B315" s="131"/>
      <c r="C315" s="131"/>
      <c r="D315" s="131"/>
    </row>
    <row r="316" spans="1:4" x14ac:dyDescent="0.25">
      <c r="A316" s="130"/>
      <c r="B316" s="131"/>
      <c r="C316" s="131"/>
      <c r="D316" s="131"/>
    </row>
    <row r="317" spans="1:4" x14ac:dyDescent="0.25">
      <c r="A317" s="130"/>
      <c r="B317" s="131"/>
      <c r="C317" s="131"/>
      <c r="D317" s="131"/>
    </row>
    <row r="318" spans="1:4" x14ac:dyDescent="0.25">
      <c r="A318" s="130"/>
      <c r="B318" s="131"/>
      <c r="C318" s="131"/>
      <c r="D318" s="131"/>
    </row>
    <row r="319" spans="1:4" x14ac:dyDescent="0.25">
      <c r="A319" s="130"/>
      <c r="B319" s="131"/>
      <c r="C319" s="131"/>
      <c r="D319" s="131"/>
    </row>
    <row r="320" spans="1:4" x14ac:dyDescent="0.25">
      <c r="A320" s="130"/>
      <c r="B320" s="131"/>
      <c r="C320" s="131"/>
      <c r="D320" s="131"/>
    </row>
    <row r="321" spans="1:4" x14ac:dyDescent="0.25">
      <c r="A321" s="130"/>
      <c r="B321" s="131"/>
      <c r="C321" s="131"/>
      <c r="D321" s="131"/>
    </row>
    <row r="322" spans="1:4" x14ac:dyDescent="0.25">
      <c r="A322" s="130"/>
      <c r="B322" s="131"/>
      <c r="C322" s="131"/>
      <c r="D322" s="131"/>
    </row>
    <row r="323" spans="1:4" x14ac:dyDescent="0.25">
      <c r="A323" s="130"/>
      <c r="B323" s="131"/>
      <c r="C323" s="131"/>
      <c r="D323" s="131"/>
    </row>
    <row r="324" spans="1:4" x14ac:dyDescent="0.25">
      <c r="A324" s="130"/>
      <c r="B324" s="131"/>
      <c r="C324" s="131"/>
      <c r="D324" s="131"/>
    </row>
    <row r="325" spans="1:4" x14ac:dyDescent="0.25">
      <c r="A325" s="130"/>
      <c r="B325" s="131"/>
      <c r="C325" s="131"/>
      <c r="D325" s="131"/>
    </row>
    <row r="326" spans="1:4" x14ac:dyDescent="0.25">
      <c r="A326" s="130"/>
      <c r="B326" s="131"/>
      <c r="C326" s="131"/>
      <c r="D326" s="131"/>
    </row>
    <row r="327" spans="1:4" x14ac:dyDescent="0.25">
      <c r="A327" s="130"/>
      <c r="B327" s="131"/>
      <c r="C327" s="131"/>
      <c r="D327" s="131"/>
    </row>
    <row r="328" spans="1:4" x14ac:dyDescent="0.25">
      <c r="A328" s="130"/>
      <c r="B328" s="131"/>
      <c r="C328" s="131"/>
      <c r="D328" s="131"/>
    </row>
    <row r="329" spans="1:4" x14ac:dyDescent="0.25">
      <c r="A329" s="130"/>
      <c r="B329" s="131"/>
      <c r="C329" s="131"/>
      <c r="D329" s="131"/>
    </row>
    <row r="330" spans="1:4" x14ac:dyDescent="0.25">
      <c r="A330" s="130"/>
      <c r="B330" s="131"/>
      <c r="C330" s="131"/>
      <c r="D330" s="131"/>
    </row>
    <row r="331" spans="1:4" x14ac:dyDescent="0.25">
      <c r="A331" s="130"/>
      <c r="B331" s="131"/>
      <c r="C331" s="131"/>
      <c r="D331" s="131"/>
    </row>
    <row r="332" spans="1:4" x14ac:dyDescent="0.25">
      <c r="A332" s="130"/>
      <c r="B332" s="131"/>
      <c r="C332" s="131"/>
      <c r="D332" s="131"/>
    </row>
    <row r="333" spans="1:4" x14ac:dyDescent="0.25">
      <c r="A333" s="130"/>
      <c r="B333" s="131"/>
      <c r="C333" s="131"/>
      <c r="D333" s="131"/>
    </row>
    <row r="334" spans="1:4" x14ac:dyDescent="0.25">
      <c r="A334" s="130"/>
      <c r="B334" s="131"/>
      <c r="C334" s="131"/>
      <c r="D334" s="131"/>
    </row>
    <row r="335" spans="1:4" x14ac:dyDescent="0.25">
      <c r="A335" s="130"/>
      <c r="B335" s="131"/>
      <c r="C335" s="131"/>
      <c r="D335" s="131"/>
    </row>
    <row r="336" spans="1:4" x14ac:dyDescent="0.25">
      <c r="A336" s="130"/>
      <c r="B336" s="131"/>
      <c r="C336" s="131"/>
      <c r="D336" s="131"/>
    </row>
    <row r="337" spans="1:4" x14ac:dyDescent="0.25">
      <c r="A337" s="130"/>
      <c r="B337" s="131"/>
      <c r="C337" s="131"/>
      <c r="D337" s="131"/>
    </row>
    <row r="338" spans="1:4" x14ac:dyDescent="0.25">
      <c r="A338" s="130"/>
      <c r="B338" s="131"/>
      <c r="C338" s="131"/>
      <c r="D338" s="131"/>
    </row>
    <row r="339" spans="1:4" x14ac:dyDescent="0.25">
      <c r="A339" s="130"/>
      <c r="B339" s="131"/>
      <c r="C339" s="131"/>
      <c r="D339" s="131"/>
    </row>
    <row r="340" spans="1:4" x14ac:dyDescent="0.25">
      <c r="A340" s="130"/>
      <c r="B340" s="131"/>
      <c r="C340" s="131"/>
      <c r="D340" s="131"/>
    </row>
    <row r="341" spans="1:4" x14ac:dyDescent="0.25">
      <c r="A341" s="130"/>
      <c r="B341" s="131"/>
      <c r="C341" s="131"/>
      <c r="D341" s="131"/>
    </row>
    <row r="342" spans="1:4" x14ac:dyDescent="0.25">
      <c r="A342" s="130"/>
      <c r="B342" s="131"/>
      <c r="C342" s="131"/>
      <c r="D342" s="131"/>
    </row>
    <row r="343" spans="1:4" x14ac:dyDescent="0.25">
      <c r="A343" s="130"/>
      <c r="B343" s="131"/>
      <c r="C343" s="131"/>
      <c r="D343" s="131"/>
    </row>
    <row r="344" spans="1:4" x14ac:dyDescent="0.25">
      <c r="A344" s="130"/>
      <c r="B344" s="131"/>
      <c r="C344" s="131"/>
      <c r="D344" s="131"/>
    </row>
    <row r="345" spans="1:4" x14ac:dyDescent="0.25">
      <c r="A345" s="130"/>
      <c r="B345" s="131"/>
      <c r="C345" s="131"/>
      <c r="D345" s="131"/>
    </row>
    <row r="346" spans="1:4" x14ac:dyDescent="0.25">
      <c r="A346" s="130"/>
      <c r="B346" s="131"/>
      <c r="C346" s="131"/>
      <c r="D346" s="131"/>
    </row>
    <row r="347" spans="1:4" x14ac:dyDescent="0.25">
      <c r="A347" s="130"/>
      <c r="B347" s="131"/>
      <c r="C347" s="131"/>
      <c r="D347" s="131"/>
    </row>
    <row r="348" spans="1:4" x14ac:dyDescent="0.25">
      <c r="A348" s="130"/>
      <c r="B348" s="131"/>
      <c r="C348" s="131"/>
      <c r="D348" s="131"/>
    </row>
    <row r="349" spans="1:4" x14ac:dyDescent="0.25">
      <c r="A349" s="130"/>
      <c r="B349" s="131"/>
      <c r="C349" s="131"/>
      <c r="D349" s="131"/>
    </row>
    <row r="350" spans="1:4" x14ac:dyDescent="0.25">
      <c r="A350" s="130"/>
      <c r="B350" s="131"/>
      <c r="C350" s="131"/>
      <c r="D350" s="131"/>
    </row>
    <row r="351" spans="1:4" x14ac:dyDescent="0.25">
      <c r="A351" s="130"/>
      <c r="B351" s="131"/>
      <c r="C351" s="131"/>
      <c r="D351" s="131"/>
    </row>
    <row r="352" spans="1:4" x14ac:dyDescent="0.25">
      <c r="A352" s="130"/>
      <c r="B352" s="131"/>
      <c r="C352" s="131"/>
      <c r="D352" s="131"/>
    </row>
    <row r="353" spans="1:4" x14ac:dyDescent="0.25">
      <c r="A353" s="130"/>
      <c r="B353" s="131"/>
      <c r="C353" s="131"/>
      <c r="D353" s="131"/>
    </row>
    <row r="354" spans="1:4" x14ac:dyDescent="0.25">
      <c r="A354" s="130"/>
      <c r="B354" s="131"/>
      <c r="C354" s="131"/>
      <c r="D354" s="131"/>
    </row>
    <row r="355" spans="1:4" x14ac:dyDescent="0.25">
      <c r="A355" s="130"/>
      <c r="B355" s="131"/>
      <c r="C355" s="131"/>
      <c r="D355" s="131"/>
    </row>
    <row r="356" spans="1:4" x14ac:dyDescent="0.25">
      <c r="A356" s="130"/>
      <c r="B356" s="131"/>
      <c r="C356" s="131"/>
      <c r="D356" s="131"/>
    </row>
    <row r="357" spans="1:4" x14ac:dyDescent="0.25">
      <c r="A357" s="130"/>
      <c r="B357" s="131"/>
      <c r="C357" s="131"/>
      <c r="D357" s="131"/>
    </row>
    <row r="358" spans="1:4" x14ac:dyDescent="0.25">
      <c r="A358" s="130"/>
      <c r="B358" s="131"/>
      <c r="C358" s="131"/>
      <c r="D358" s="131"/>
    </row>
    <row r="359" spans="1:4" x14ac:dyDescent="0.25">
      <c r="A359" s="130"/>
      <c r="B359" s="131"/>
      <c r="C359" s="131"/>
      <c r="D359" s="131"/>
    </row>
    <row r="360" spans="1:4" x14ac:dyDescent="0.25">
      <c r="A360" s="130"/>
      <c r="B360" s="131"/>
      <c r="C360" s="131"/>
      <c r="D360" s="131"/>
    </row>
    <row r="361" spans="1:4" x14ac:dyDescent="0.25">
      <c r="A361" s="130"/>
      <c r="B361" s="131"/>
      <c r="C361" s="131"/>
      <c r="D361" s="131"/>
    </row>
    <row r="362" spans="1:4" x14ac:dyDescent="0.25">
      <c r="A362" s="130"/>
      <c r="B362" s="131"/>
      <c r="C362" s="131"/>
      <c r="D362" s="131"/>
    </row>
    <row r="363" spans="1:4" x14ac:dyDescent="0.25">
      <c r="A363" s="130"/>
      <c r="B363" s="131"/>
      <c r="C363" s="131"/>
      <c r="D363" s="131"/>
    </row>
    <row r="364" spans="1:4" x14ac:dyDescent="0.25">
      <c r="A364" s="130"/>
      <c r="B364" s="131"/>
      <c r="C364" s="131"/>
      <c r="D364" s="131"/>
    </row>
    <row r="365" spans="1:4" x14ac:dyDescent="0.25">
      <c r="A365" s="130"/>
      <c r="B365" s="131"/>
      <c r="C365" s="131"/>
      <c r="D365" s="131"/>
    </row>
    <row r="366" spans="1:4" x14ac:dyDescent="0.25">
      <c r="A366" s="130"/>
      <c r="B366" s="131"/>
      <c r="C366" s="131"/>
      <c r="D366" s="131"/>
    </row>
    <row r="367" spans="1:4" x14ac:dyDescent="0.25">
      <c r="A367" s="130"/>
      <c r="B367" s="131"/>
      <c r="C367" s="131"/>
      <c r="D367" s="131"/>
    </row>
    <row r="368" spans="1:4" x14ac:dyDescent="0.25">
      <c r="A368" s="130"/>
      <c r="B368" s="131"/>
      <c r="C368" s="131"/>
      <c r="D368" s="131"/>
    </row>
    <row r="369" spans="1:4" x14ac:dyDescent="0.25">
      <c r="A369" s="130"/>
      <c r="B369" s="131"/>
      <c r="C369" s="131"/>
      <c r="D369" s="131"/>
    </row>
    <row r="370" spans="1:4" x14ac:dyDescent="0.25">
      <c r="A370" s="130"/>
      <c r="B370" s="131"/>
      <c r="C370" s="131"/>
      <c r="D370" s="131"/>
    </row>
    <row r="371" spans="1:4" x14ac:dyDescent="0.25">
      <c r="A371" s="130"/>
      <c r="B371" s="131"/>
      <c r="C371" s="131"/>
      <c r="D371" s="131"/>
    </row>
    <row r="372" spans="1:4" x14ac:dyDescent="0.25">
      <c r="A372" s="130"/>
      <c r="B372" s="131"/>
      <c r="C372" s="131"/>
      <c r="D372" s="131"/>
    </row>
    <row r="373" spans="1:4" x14ac:dyDescent="0.25">
      <c r="A373" s="130"/>
      <c r="B373" s="131"/>
      <c r="C373" s="131"/>
      <c r="D373" s="131"/>
    </row>
    <row r="374" spans="1:4" x14ac:dyDescent="0.25">
      <c r="A374" s="130"/>
      <c r="B374" s="131"/>
      <c r="C374" s="131"/>
      <c r="D374" s="131"/>
    </row>
    <row r="375" spans="1:4" x14ac:dyDescent="0.25">
      <c r="A375" s="130"/>
      <c r="B375" s="131"/>
      <c r="C375" s="131"/>
      <c r="D375" s="131"/>
    </row>
    <row r="376" spans="1:4" x14ac:dyDescent="0.25">
      <c r="A376" s="130"/>
      <c r="B376" s="131"/>
      <c r="C376" s="131"/>
      <c r="D376" s="131"/>
    </row>
    <row r="377" spans="1:4" x14ac:dyDescent="0.25">
      <c r="A377" s="130"/>
      <c r="B377" s="131"/>
      <c r="C377" s="131"/>
      <c r="D377" s="131"/>
    </row>
    <row r="378" spans="1:4" x14ac:dyDescent="0.25">
      <c r="A378" s="130"/>
      <c r="B378" s="131"/>
      <c r="C378" s="131"/>
      <c r="D378" s="131"/>
    </row>
    <row r="379" spans="1:4" x14ac:dyDescent="0.25">
      <c r="A379" s="130"/>
      <c r="B379" s="131"/>
      <c r="C379" s="131"/>
      <c r="D379" s="131"/>
    </row>
    <row r="380" spans="1:4" x14ac:dyDescent="0.25">
      <c r="A380" s="130"/>
      <c r="B380" s="131"/>
      <c r="C380" s="131"/>
      <c r="D380" s="131"/>
    </row>
    <row r="381" spans="1:4" x14ac:dyDescent="0.25">
      <c r="A381" s="130"/>
      <c r="B381" s="131"/>
      <c r="C381" s="131"/>
      <c r="D381" s="131"/>
    </row>
    <row r="382" spans="1:4" x14ac:dyDescent="0.25">
      <c r="A382" s="130"/>
      <c r="B382" s="131"/>
      <c r="C382" s="131"/>
      <c r="D382" s="131"/>
    </row>
    <row r="383" spans="1:4" x14ac:dyDescent="0.25">
      <c r="A383" s="130"/>
      <c r="B383" s="131"/>
      <c r="C383" s="131"/>
      <c r="D383" s="131"/>
    </row>
    <row r="384" spans="1:4" x14ac:dyDescent="0.25">
      <c r="A384" s="130"/>
      <c r="B384" s="131"/>
      <c r="C384" s="131"/>
      <c r="D384" s="131"/>
    </row>
    <row r="385" spans="1:4" x14ac:dyDescent="0.25">
      <c r="A385" s="130"/>
      <c r="B385" s="131"/>
      <c r="C385" s="131"/>
      <c r="D385" s="131"/>
    </row>
    <row r="386" spans="1:4" x14ac:dyDescent="0.25">
      <c r="A386" s="130"/>
      <c r="B386" s="131"/>
      <c r="C386" s="131"/>
      <c r="D386" s="131"/>
    </row>
    <row r="387" spans="1:4" x14ac:dyDescent="0.25">
      <c r="A387" s="130"/>
      <c r="B387" s="131"/>
      <c r="C387" s="131"/>
      <c r="D387" s="131"/>
    </row>
    <row r="388" spans="1:4" x14ac:dyDescent="0.25">
      <c r="A388" s="130"/>
      <c r="B388" s="131"/>
      <c r="C388" s="131"/>
      <c r="D388" s="131"/>
    </row>
    <row r="389" spans="1:4" x14ac:dyDescent="0.25">
      <c r="A389" s="130"/>
      <c r="B389" s="131"/>
      <c r="C389" s="131"/>
      <c r="D389" s="131"/>
    </row>
    <row r="390" spans="1:4" x14ac:dyDescent="0.25">
      <c r="A390" s="130"/>
      <c r="B390" s="131"/>
      <c r="C390" s="131"/>
      <c r="D390" s="131"/>
    </row>
    <row r="391" spans="1:4" x14ac:dyDescent="0.25">
      <c r="A391" s="130"/>
      <c r="B391" s="131"/>
      <c r="C391" s="131"/>
      <c r="D391" s="131"/>
    </row>
    <row r="392" spans="1:4" x14ac:dyDescent="0.25">
      <c r="A392" s="130"/>
      <c r="B392" s="131"/>
      <c r="C392" s="131"/>
      <c r="D392" s="131"/>
    </row>
    <row r="393" spans="1:4" x14ac:dyDescent="0.25">
      <c r="A393" s="130"/>
      <c r="B393" s="131"/>
      <c r="C393" s="131"/>
      <c r="D393" s="131"/>
    </row>
    <row r="394" spans="1:4" x14ac:dyDescent="0.25">
      <c r="A394" s="130"/>
      <c r="B394" s="131"/>
      <c r="C394" s="131"/>
      <c r="D394" s="131"/>
    </row>
    <row r="395" spans="1:4" x14ac:dyDescent="0.25">
      <c r="A395" s="130"/>
      <c r="B395" s="131"/>
      <c r="C395" s="131"/>
      <c r="D395" s="131"/>
    </row>
    <row r="396" spans="1:4" x14ac:dyDescent="0.25">
      <c r="A396" s="130"/>
      <c r="B396" s="131"/>
      <c r="C396" s="131"/>
      <c r="D396" s="131"/>
    </row>
    <row r="397" spans="1:4" x14ac:dyDescent="0.25">
      <c r="A397" s="130"/>
      <c r="B397" s="131"/>
      <c r="C397" s="131"/>
      <c r="D397" s="131"/>
    </row>
    <row r="398" spans="1:4" x14ac:dyDescent="0.25">
      <c r="A398" s="130"/>
      <c r="B398" s="131"/>
      <c r="C398" s="131"/>
      <c r="D398" s="131"/>
    </row>
    <row r="399" spans="1:4" x14ac:dyDescent="0.25">
      <c r="A399" s="130"/>
      <c r="B399" s="131"/>
      <c r="C399" s="131"/>
      <c r="D399" s="131"/>
    </row>
    <row r="400" spans="1:4" x14ac:dyDescent="0.25">
      <c r="A400" s="130"/>
      <c r="B400" s="131"/>
      <c r="C400" s="131"/>
      <c r="D400" s="131"/>
    </row>
    <row r="401" spans="1:4" x14ac:dyDescent="0.25">
      <c r="A401" s="130"/>
      <c r="B401" s="131"/>
      <c r="C401" s="131"/>
      <c r="D401" s="131"/>
    </row>
    <row r="402" spans="1:4" x14ac:dyDescent="0.25">
      <c r="A402" s="130"/>
      <c r="B402" s="131"/>
      <c r="C402" s="131"/>
      <c r="D402" s="131"/>
    </row>
    <row r="403" spans="1:4" x14ac:dyDescent="0.25">
      <c r="A403" s="130"/>
      <c r="B403" s="131"/>
      <c r="C403" s="131"/>
      <c r="D403" s="131"/>
    </row>
    <row r="404" spans="1:4" x14ac:dyDescent="0.25">
      <c r="A404" s="130"/>
      <c r="B404" s="131"/>
      <c r="C404" s="131"/>
      <c r="D404" s="131"/>
    </row>
    <row r="405" spans="1:4" x14ac:dyDescent="0.25">
      <c r="A405" s="130"/>
      <c r="B405" s="131"/>
      <c r="C405" s="131"/>
      <c r="D405" s="131"/>
    </row>
    <row r="406" spans="1:4" x14ac:dyDescent="0.25">
      <c r="A406" s="130"/>
      <c r="B406" s="131"/>
      <c r="C406" s="131"/>
      <c r="D406" s="131"/>
    </row>
    <row r="407" spans="1:4" x14ac:dyDescent="0.25">
      <c r="A407" s="130"/>
      <c r="B407" s="131"/>
      <c r="C407" s="131"/>
      <c r="D407" s="131"/>
    </row>
    <row r="408" spans="1:4" x14ac:dyDescent="0.25">
      <c r="A408" s="130"/>
      <c r="B408" s="131"/>
      <c r="C408" s="131"/>
      <c r="D408" s="131"/>
    </row>
    <row r="409" spans="1:4" x14ac:dyDescent="0.25">
      <c r="A409" s="130"/>
      <c r="B409" s="131"/>
      <c r="C409" s="131"/>
      <c r="D409" s="131"/>
    </row>
    <row r="410" spans="1:4" x14ac:dyDescent="0.25">
      <c r="A410" s="130"/>
      <c r="B410" s="131"/>
      <c r="C410" s="131"/>
      <c r="D410" s="131"/>
    </row>
    <row r="411" spans="1:4" x14ac:dyDescent="0.25">
      <c r="A411" s="130"/>
      <c r="B411" s="131"/>
      <c r="C411" s="131"/>
      <c r="D411" s="131"/>
    </row>
    <row r="412" spans="1:4" x14ac:dyDescent="0.25">
      <c r="A412" s="130"/>
      <c r="B412" s="131"/>
      <c r="C412" s="131"/>
      <c r="D412" s="131"/>
    </row>
    <row r="413" spans="1:4" x14ac:dyDescent="0.25">
      <c r="A413" s="130"/>
      <c r="B413" s="131"/>
      <c r="C413" s="131"/>
      <c r="D413" s="131"/>
    </row>
    <row r="414" spans="1:4" x14ac:dyDescent="0.25">
      <c r="A414" s="130"/>
      <c r="B414" s="131"/>
      <c r="C414" s="131"/>
      <c r="D414" s="131"/>
    </row>
    <row r="415" spans="1:4" x14ac:dyDescent="0.25">
      <c r="A415" s="130"/>
      <c r="B415" s="131"/>
      <c r="C415" s="131"/>
      <c r="D415" s="131"/>
    </row>
    <row r="416" spans="1:4" x14ac:dyDescent="0.25">
      <c r="A416" s="130"/>
      <c r="B416" s="131"/>
      <c r="C416" s="131"/>
      <c r="D416" s="131"/>
    </row>
    <row r="417" spans="1:4" x14ac:dyDescent="0.25">
      <c r="A417" s="130"/>
      <c r="B417" s="131"/>
      <c r="C417" s="131"/>
      <c r="D417" s="131"/>
    </row>
    <row r="418" spans="1:4" x14ac:dyDescent="0.25">
      <c r="A418" s="130"/>
      <c r="B418" s="131"/>
      <c r="C418" s="131"/>
      <c r="D418" s="131"/>
    </row>
    <row r="419" spans="1:4" x14ac:dyDescent="0.25">
      <c r="A419" s="130"/>
      <c r="B419" s="131"/>
      <c r="C419" s="131"/>
      <c r="D419" s="131"/>
    </row>
    <row r="420" spans="1:4" x14ac:dyDescent="0.25">
      <c r="A420" s="130"/>
      <c r="B420" s="131"/>
      <c r="C420" s="131"/>
      <c r="D420" s="131"/>
    </row>
    <row r="421" spans="1:4" x14ac:dyDescent="0.25">
      <c r="A421" s="130"/>
      <c r="B421" s="131"/>
      <c r="C421" s="131"/>
      <c r="D421" s="131"/>
    </row>
    <row r="422" spans="1:4" x14ac:dyDescent="0.25">
      <c r="A422" s="130"/>
      <c r="B422" s="131"/>
      <c r="C422" s="131"/>
      <c r="D422" s="131"/>
    </row>
    <row r="423" spans="1:4" x14ac:dyDescent="0.25">
      <c r="A423" s="130"/>
      <c r="B423" s="131"/>
      <c r="C423" s="131"/>
      <c r="D423" s="131"/>
    </row>
    <row r="424" spans="1:4" x14ac:dyDescent="0.25">
      <c r="A424" s="130"/>
      <c r="B424" s="131"/>
      <c r="C424" s="131"/>
      <c r="D424" s="131"/>
    </row>
    <row r="425" spans="1:4" x14ac:dyDescent="0.25">
      <c r="A425" s="130"/>
      <c r="B425" s="131"/>
      <c r="C425" s="131"/>
      <c r="D425" s="131"/>
    </row>
    <row r="426" spans="1:4" x14ac:dyDescent="0.25">
      <c r="A426" s="130"/>
      <c r="B426" s="131"/>
      <c r="C426" s="131"/>
      <c r="D426" s="131"/>
    </row>
    <row r="427" spans="1:4" x14ac:dyDescent="0.25">
      <c r="A427" s="130"/>
      <c r="B427" s="131"/>
      <c r="C427" s="131"/>
      <c r="D427" s="131"/>
    </row>
    <row r="428" spans="1:4" x14ac:dyDescent="0.25">
      <c r="A428" s="130"/>
      <c r="B428" s="131"/>
      <c r="C428" s="131"/>
      <c r="D428" s="131"/>
    </row>
    <row r="429" spans="1:4" x14ac:dyDescent="0.25">
      <c r="A429" s="130"/>
      <c r="B429" s="131"/>
      <c r="C429" s="131"/>
      <c r="D429" s="131"/>
    </row>
    <row r="430" spans="1:4" x14ac:dyDescent="0.25">
      <c r="A430" s="130"/>
      <c r="B430" s="131"/>
      <c r="C430" s="131"/>
      <c r="D430" s="131"/>
    </row>
    <row r="431" spans="1:4" x14ac:dyDescent="0.25">
      <c r="A431" s="130"/>
      <c r="B431" s="131"/>
      <c r="C431" s="131"/>
      <c r="D431" s="131"/>
    </row>
    <row r="432" spans="1:4" x14ac:dyDescent="0.25">
      <c r="A432" s="130"/>
      <c r="B432" s="131"/>
      <c r="C432" s="131"/>
      <c r="D432" s="131"/>
    </row>
    <row r="433" spans="1:4" x14ac:dyDescent="0.25">
      <c r="A433" s="130"/>
      <c r="B433" s="131"/>
      <c r="C433" s="131"/>
      <c r="D433" s="131"/>
    </row>
    <row r="434" spans="1:4" x14ac:dyDescent="0.25">
      <c r="A434" s="130"/>
      <c r="B434" s="131"/>
      <c r="C434" s="131"/>
      <c r="D434" s="131"/>
    </row>
    <row r="435" spans="1:4" x14ac:dyDescent="0.25">
      <c r="A435" s="130"/>
      <c r="B435" s="131"/>
      <c r="C435" s="131"/>
      <c r="D435" s="131"/>
    </row>
    <row r="436" spans="1:4" x14ac:dyDescent="0.25">
      <c r="A436" s="130"/>
      <c r="B436" s="131"/>
      <c r="C436" s="131"/>
      <c r="D436" s="131"/>
    </row>
    <row r="437" spans="1:4" x14ac:dyDescent="0.25">
      <c r="A437" s="130"/>
      <c r="B437" s="131"/>
      <c r="C437" s="131"/>
      <c r="D437" s="131"/>
    </row>
    <row r="438" spans="1:4" x14ac:dyDescent="0.25">
      <c r="A438" s="130"/>
      <c r="B438" s="131"/>
      <c r="C438" s="131"/>
      <c r="D438" s="131"/>
    </row>
    <row r="439" spans="1:4" x14ac:dyDescent="0.25">
      <c r="A439" s="130"/>
      <c r="B439" s="131"/>
      <c r="C439" s="131"/>
      <c r="D439" s="131"/>
    </row>
    <row r="440" spans="1:4" x14ac:dyDescent="0.25">
      <c r="A440" s="130"/>
      <c r="B440" s="131"/>
      <c r="C440" s="131"/>
      <c r="D440" s="131"/>
    </row>
    <row r="441" spans="1:4" x14ac:dyDescent="0.25">
      <c r="A441" s="130"/>
      <c r="B441" s="131"/>
      <c r="C441" s="131"/>
      <c r="D441" s="131"/>
    </row>
    <row r="442" spans="1:4" x14ac:dyDescent="0.25">
      <c r="A442" s="130"/>
      <c r="B442" s="131"/>
      <c r="C442" s="131"/>
      <c r="D442" s="131"/>
    </row>
    <row r="443" spans="1:4" x14ac:dyDescent="0.25">
      <c r="A443" s="130"/>
      <c r="B443" s="131"/>
      <c r="C443" s="131"/>
      <c r="D443" s="131"/>
    </row>
    <row r="444" spans="1:4" x14ac:dyDescent="0.25">
      <c r="A444" s="130"/>
      <c r="B444" s="131"/>
      <c r="C444" s="131"/>
      <c r="D444" s="131"/>
    </row>
    <row r="445" spans="1:4" x14ac:dyDescent="0.25">
      <c r="A445" s="130"/>
      <c r="B445" s="131"/>
      <c r="C445" s="131"/>
      <c r="D445" s="131"/>
    </row>
    <row r="446" spans="1:4" x14ac:dyDescent="0.25">
      <c r="A446" s="130"/>
      <c r="B446" s="131"/>
      <c r="C446" s="131"/>
      <c r="D446" s="131"/>
    </row>
    <row r="447" spans="1:4" x14ac:dyDescent="0.25">
      <c r="A447" s="130"/>
      <c r="B447" s="131"/>
      <c r="C447" s="131"/>
      <c r="D447" s="131"/>
    </row>
    <row r="448" spans="1:4" x14ac:dyDescent="0.25">
      <c r="A448" s="130"/>
      <c r="B448" s="131"/>
      <c r="C448" s="131"/>
      <c r="D448" s="131"/>
    </row>
    <row r="449" spans="1:4" x14ac:dyDescent="0.25">
      <c r="A449" s="130"/>
      <c r="B449" s="131"/>
      <c r="C449" s="131"/>
      <c r="D449" s="131"/>
    </row>
    <row r="450" spans="1:4" x14ac:dyDescent="0.25">
      <c r="A450" s="130"/>
      <c r="B450" s="131"/>
      <c r="C450" s="131"/>
      <c r="D450" s="131"/>
    </row>
    <row r="451" spans="1:4" x14ac:dyDescent="0.25">
      <c r="A451" s="130"/>
      <c r="B451" s="131"/>
      <c r="C451" s="131"/>
      <c r="D451" s="131"/>
    </row>
    <row r="452" spans="1:4" x14ac:dyDescent="0.25">
      <c r="A452" s="130"/>
      <c r="B452" s="131"/>
      <c r="C452" s="131"/>
      <c r="D452" s="131"/>
    </row>
    <row r="453" spans="1:4" x14ac:dyDescent="0.25">
      <c r="A453" s="130"/>
      <c r="B453" s="131"/>
      <c r="C453" s="131"/>
      <c r="D453" s="131"/>
    </row>
    <row r="454" spans="1:4" x14ac:dyDescent="0.25">
      <c r="A454" s="130"/>
      <c r="B454" s="131"/>
      <c r="C454" s="131"/>
      <c r="D454" s="131"/>
    </row>
    <row r="455" spans="1:4" x14ac:dyDescent="0.25">
      <c r="A455" s="130"/>
      <c r="B455" s="131"/>
      <c r="C455" s="131"/>
      <c r="D455" s="131"/>
    </row>
    <row r="456" spans="1:4" x14ac:dyDescent="0.25">
      <c r="A456" s="130"/>
      <c r="B456" s="131"/>
      <c r="C456" s="131"/>
      <c r="D456" s="131"/>
    </row>
    <row r="457" spans="1:4" x14ac:dyDescent="0.25">
      <c r="A457" s="130"/>
      <c r="B457" s="131"/>
      <c r="C457" s="131"/>
      <c r="D457" s="131"/>
    </row>
    <row r="458" spans="1:4" x14ac:dyDescent="0.25">
      <c r="A458" s="130"/>
      <c r="B458" s="131"/>
      <c r="C458" s="131"/>
      <c r="D458" s="131"/>
    </row>
    <row r="459" spans="1:4" x14ac:dyDescent="0.25">
      <c r="A459" s="130"/>
      <c r="B459" s="131"/>
      <c r="C459" s="131"/>
      <c r="D459" s="131"/>
    </row>
    <row r="460" spans="1:4" x14ac:dyDescent="0.25">
      <c r="A460" s="130"/>
      <c r="B460" s="131"/>
      <c r="C460" s="131"/>
      <c r="D460" s="131"/>
    </row>
    <row r="461" spans="1:4" x14ac:dyDescent="0.25">
      <c r="A461" s="130"/>
      <c r="B461" s="131"/>
      <c r="C461" s="131"/>
      <c r="D461" s="131"/>
    </row>
    <row r="462" spans="1:4" x14ac:dyDescent="0.25">
      <c r="A462" s="130"/>
      <c r="B462" s="131"/>
      <c r="C462" s="131"/>
      <c r="D462" s="131"/>
    </row>
    <row r="463" spans="1:4" x14ac:dyDescent="0.25">
      <c r="A463" s="130"/>
      <c r="B463" s="131"/>
      <c r="C463" s="131"/>
      <c r="D463" s="131"/>
    </row>
    <row r="464" spans="1:4" x14ac:dyDescent="0.25">
      <c r="A464" s="130"/>
      <c r="B464" s="131"/>
      <c r="C464" s="131"/>
      <c r="D464" s="131"/>
    </row>
    <row r="465" spans="1:4" x14ac:dyDescent="0.25">
      <c r="A465" s="130"/>
      <c r="B465" s="131"/>
      <c r="C465" s="131"/>
      <c r="D465" s="131"/>
    </row>
    <row r="466" spans="1:4" x14ac:dyDescent="0.25">
      <c r="A466" s="130"/>
      <c r="B466" s="131"/>
      <c r="C466" s="131"/>
      <c r="D466" s="131"/>
    </row>
    <row r="467" spans="1:4" x14ac:dyDescent="0.25">
      <c r="A467" s="130"/>
      <c r="B467" s="131"/>
      <c r="C467" s="131"/>
      <c r="D467" s="131"/>
    </row>
    <row r="468" spans="1:4" x14ac:dyDescent="0.25">
      <c r="A468" s="130"/>
      <c r="B468" s="131"/>
      <c r="C468" s="131"/>
      <c r="D468" s="131"/>
    </row>
    <row r="469" spans="1:4" x14ac:dyDescent="0.25">
      <c r="A469" s="130"/>
      <c r="B469" s="131"/>
      <c r="C469" s="131"/>
      <c r="D469" s="131"/>
    </row>
    <row r="470" spans="1:4" x14ac:dyDescent="0.25">
      <c r="A470" s="130"/>
      <c r="B470" s="131"/>
      <c r="C470" s="131"/>
      <c r="D470" s="131"/>
    </row>
    <row r="471" spans="1:4" x14ac:dyDescent="0.25">
      <c r="A471" s="130"/>
      <c r="B471" s="131"/>
      <c r="C471" s="131"/>
      <c r="D471" s="131"/>
    </row>
    <row r="472" spans="1:4" x14ac:dyDescent="0.25">
      <c r="A472" s="130"/>
      <c r="B472" s="131"/>
      <c r="C472" s="131"/>
      <c r="D472" s="131"/>
    </row>
    <row r="473" spans="1:4" x14ac:dyDescent="0.25">
      <c r="A473" s="130"/>
      <c r="B473" s="131"/>
      <c r="C473" s="131"/>
      <c r="D473" s="131"/>
    </row>
    <row r="474" spans="1:4" x14ac:dyDescent="0.25">
      <c r="A474" s="130"/>
      <c r="B474" s="131"/>
      <c r="C474" s="131"/>
      <c r="D474" s="131"/>
    </row>
    <row r="475" spans="1:4" x14ac:dyDescent="0.25">
      <c r="A475" s="130"/>
      <c r="B475" s="131"/>
      <c r="C475" s="131"/>
      <c r="D475" s="131"/>
    </row>
    <row r="476" spans="1:4" x14ac:dyDescent="0.25">
      <c r="A476" s="130"/>
      <c r="B476" s="131"/>
      <c r="C476" s="131"/>
      <c r="D476" s="131"/>
    </row>
    <row r="477" spans="1:4" x14ac:dyDescent="0.25">
      <c r="A477" s="130"/>
      <c r="B477" s="131"/>
      <c r="C477" s="131"/>
      <c r="D477" s="131"/>
    </row>
    <row r="478" spans="1:4" x14ac:dyDescent="0.25">
      <c r="A478" s="130"/>
      <c r="B478" s="131"/>
      <c r="C478" s="131"/>
      <c r="D478" s="131"/>
    </row>
    <row r="479" spans="1:4" x14ac:dyDescent="0.25">
      <c r="A479" s="130"/>
      <c r="B479" s="131"/>
      <c r="C479" s="131"/>
      <c r="D479" s="131"/>
    </row>
    <row r="480" spans="1:4" x14ac:dyDescent="0.25">
      <c r="A480" s="130"/>
      <c r="B480" s="131"/>
      <c r="C480" s="131"/>
      <c r="D480" s="131"/>
    </row>
    <row r="481" spans="1:4" x14ac:dyDescent="0.25">
      <c r="A481" s="130"/>
      <c r="B481" s="131"/>
      <c r="C481" s="131"/>
      <c r="D481" s="131"/>
    </row>
    <row r="482" spans="1:4" x14ac:dyDescent="0.25">
      <c r="A482" s="130"/>
      <c r="B482" s="131"/>
      <c r="C482" s="131"/>
      <c r="D482" s="131"/>
    </row>
    <row r="483" spans="1:4" x14ac:dyDescent="0.25">
      <c r="A483" s="130"/>
      <c r="B483" s="131"/>
      <c r="C483" s="131"/>
      <c r="D483" s="131"/>
    </row>
    <row r="484" spans="1:4" x14ac:dyDescent="0.25">
      <c r="A484" s="130"/>
      <c r="B484" s="131"/>
      <c r="C484" s="131"/>
      <c r="D484" s="131"/>
    </row>
    <row r="485" spans="1:4" x14ac:dyDescent="0.25">
      <c r="A485" s="130"/>
      <c r="B485" s="131"/>
      <c r="C485" s="131"/>
      <c r="D485" s="131"/>
    </row>
    <row r="486" spans="1:4" x14ac:dyDescent="0.25">
      <c r="A486" s="130"/>
      <c r="B486" s="131"/>
      <c r="C486" s="131"/>
      <c r="D486" s="131"/>
    </row>
    <row r="487" spans="1:4" x14ac:dyDescent="0.25">
      <c r="A487" s="130"/>
      <c r="B487" s="131"/>
      <c r="C487" s="131"/>
      <c r="D487" s="131"/>
    </row>
    <row r="488" spans="1:4" x14ac:dyDescent="0.25">
      <c r="A488" s="130"/>
      <c r="B488" s="131"/>
      <c r="C488" s="131"/>
      <c r="D488" s="131"/>
    </row>
    <row r="489" spans="1:4" x14ac:dyDescent="0.25">
      <c r="A489" s="130"/>
      <c r="B489" s="131"/>
      <c r="C489" s="131"/>
      <c r="D489" s="131"/>
    </row>
    <row r="490" spans="1:4" x14ac:dyDescent="0.25">
      <c r="A490" s="130"/>
      <c r="B490" s="131"/>
      <c r="C490" s="131"/>
      <c r="D490" s="131"/>
    </row>
    <row r="491" spans="1:4" x14ac:dyDescent="0.25">
      <c r="A491" s="130"/>
      <c r="B491" s="131"/>
      <c r="C491" s="131"/>
      <c r="D491" s="131"/>
    </row>
    <row r="492" spans="1:4" x14ac:dyDescent="0.25">
      <c r="A492" s="130"/>
      <c r="B492" s="131"/>
      <c r="C492" s="131"/>
      <c r="D492" s="131"/>
    </row>
    <row r="493" spans="1:4" x14ac:dyDescent="0.25">
      <c r="A493" s="130"/>
      <c r="B493" s="131"/>
      <c r="C493" s="131"/>
      <c r="D493" s="131"/>
    </row>
    <row r="494" spans="1:4" x14ac:dyDescent="0.25">
      <c r="A494" s="130"/>
      <c r="B494" s="131"/>
      <c r="C494" s="131"/>
      <c r="D494" s="131"/>
    </row>
    <row r="495" spans="1:4" x14ac:dyDescent="0.25">
      <c r="A495" s="130"/>
      <c r="B495" s="131"/>
      <c r="C495" s="131"/>
      <c r="D495" s="131"/>
    </row>
    <row r="496" spans="1:4" x14ac:dyDescent="0.25">
      <c r="A496" s="130"/>
      <c r="B496" s="131"/>
      <c r="C496" s="131"/>
      <c r="D496" s="131"/>
    </row>
    <row r="497" spans="1:4" x14ac:dyDescent="0.25">
      <c r="A497" s="130"/>
      <c r="B497" s="131"/>
      <c r="C497" s="131"/>
      <c r="D497" s="131"/>
    </row>
    <row r="498" spans="1:4" x14ac:dyDescent="0.25">
      <c r="A498" s="130"/>
      <c r="B498" s="131"/>
      <c r="C498" s="131"/>
      <c r="D498" s="131"/>
    </row>
    <row r="499" spans="1:4" x14ac:dyDescent="0.25">
      <c r="A499" s="130"/>
      <c r="B499" s="131"/>
      <c r="C499" s="131"/>
      <c r="D499" s="131"/>
    </row>
    <row r="500" spans="1:4" x14ac:dyDescent="0.25">
      <c r="A500" s="130"/>
      <c r="B500" s="131"/>
      <c r="C500" s="131"/>
      <c r="D500" s="131"/>
    </row>
  </sheetData>
  <sheetProtection algorithmName="SHA-512" hashValue="6bx9Gb5IRCugKFELcoBojKTo1JZSNnZhU/YsKbssEgOnNYfsDucNqpIvT4w3yZ/ZlMVyDyrCUsMTrFAY2aPElg==" saltValue="Qz36E/rGIS3yjvOszqCnQA==" spinCount="100000" sheet="1" objects="1" scenarios="1" insertRows="0" deleteRows="0" sort="0"/>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32"/>
  <sheetViews>
    <sheetView workbookViewId="0">
      <pane ySplit="5" topLeftCell="A6" activePane="bottomLeft" state="frozen"/>
      <selection pane="bottomLeft" activeCell="A3" sqref="A3"/>
    </sheetView>
  </sheetViews>
  <sheetFormatPr defaultRowHeight="15" x14ac:dyDescent="0.25"/>
  <cols>
    <col min="1" max="1" width="8.85546875" customWidth="1"/>
    <col min="2" max="2" width="23.42578125" bestFit="1" customWidth="1"/>
    <col min="3" max="3" width="22.28515625" bestFit="1" customWidth="1"/>
    <col min="4" max="4" width="15.140625" customWidth="1"/>
    <col min="5" max="5" width="15.5703125" bestFit="1" customWidth="1"/>
    <col min="6" max="6" width="52.85546875" bestFit="1" customWidth="1"/>
    <col min="7" max="7" width="15" bestFit="1" customWidth="1"/>
    <col min="8" max="8" width="27.5703125" bestFit="1" customWidth="1"/>
    <col min="9" max="9" width="22.42578125" customWidth="1"/>
    <col min="10" max="10" width="18.85546875" bestFit="1" customWidth="1"/>
    <col min="11" max="11" width="50.140625" customWidth="1"/>
    <col min="12" max="17" width="17.7109375" style="17" customWidth="1"/>
    <col min="18" max="18" width="37.28515625" bestFit="1" customWidth="1"/>
    <col min="19" max="19" width="15.140625" style="3" bestFit="1" customWidth="1"/>
    <col min="20" max="20" width="16.140625" style="3" customWidth="1"/>
    <col min="21" max="21" width="21" bestFit="1" customWidth="1"/>
    <col min="22" max="22" width="40.7109375" customWidth="1"/>
    <col min="23" max="23" width="22.140625" bestFit="1" customWidth="1"/>
    <col min="24" max="24" width="35.140625" customWidth="1"/>
    <col min="25" max="25" width="17.42578125" customWidth="1"/>
    <col min="26" max="26" width="22.85546875" customWidth="1"/>
    <col min="27" max="28" width="14.28515625" style="17" bestFit="1" customWidth="1"/>
    <col min="29" max="29" width="15.7109375" style="19" customWidth="1"/>
    <col min="30" max="30" width="14.85546875" bestFit="1" customWidth="1"/>
    <col min="31" max="31" width="13.42578125" bestFit="1" customWidth="1"/>
    <col min="32" max="32" width="12.85546875" style="20" customWidth="1"/>
    <col min="33" max="34" width="15.7109375" style="17" customWidth="1"/>
    <col min="35" max="35" width="15.140625" style="15" bestFit="1" customWidth="1"/>
    <col min="36" max="36" width="17.7109375" style="19" bestFit="1" customWidth="1"/>
    <col min="37" max="38" width="17.7109375" style="19" customWidth="1"/>
    <col min="39" max="39" width="20.7109375" style="19" bestFit="1" customWidth="1"/>
    <col min="40" max="40" width="18.42578125" style="19" bestFit="1" customWidth="1"/>
    <col min="41" max="42" width="17.7109375" style="19" customWidth="1"/>
    <col min="43" max="43" width="25.85546875" customWidth="1"/>
    <col min="44" max="44" width="20.85546875" bestFit="1" customWidth="1"/>
    <col min="45" max="45" width="22.7109375" customWidth="1"/>
    <col min="46" max="46" width="21.85546875" customWidth="1"/>
    <col min="47" max="47" width="23" style="17" customWidth="1"/>
    <col min="48" max="48" width="22.140625" style="17" customWidth="1"/>
    <col min="49" max="49" width="21.42578125" style="3" bestFit="1" customWidth="1"/>
    <col min="50" max="50" width="21.42578125" customWidth="1"/>
    <col min="51" max="51" width="25.5703125" customWidth="1"/>
    <col min="52" max="52" width="15.42578125" style="3" customWidth="1"/>
    <col min="53" max="53" width="18" customWidth="1"/>
    <col min="54" max="54" width="31.85546875" bestFit="1" customWidth="1"/>
    <col min="55" max="55" width="36.140625" bestFit="1" customWidth="1"/>
    <col min="56" max="56" width="27.5703125" bestFit="1" customWidth="1"/>
    <col min="57" max="57" width="30" bestFit="1" customWidth="1"/>
    <col min="58" max="58" width="28.85546875" bestFit="1" customWidth="1"/>
    <col min="59" max="59" width="29.85546875" bestFit="1" customWidth="1"/>
    <col min="60" max="60" width="35.28515625" bestFit="1" customWidth="1"/>
  </cols>
  <sheetData>
    <row r="1" spans="1:60" x14ac:dyDescent="0.25">
      <c r="A1" s="58" t="s">
        <v>519</v>
      </c>
      <c r="B1" s="59"/>
      <c r="C1" s="59"/>
      <c r="D1" s="59"/>
      <c r="E1" s="59"/>
      <c r="F1" s="58" t="s">
        <v>519</v>
      </c>
      <c r="G1" s="59"/>
      <c r="H1" s="59"/>
      <c r="I1" s="59"/>
      <c r="J1" s="58" t="s">
        <v>519</v>
      </c>
      <c r="K1" s="59"/>
      <c r="L1" s="60"/>
      <c r="M1" s="60"/>
      <c r="N1" s="60"/>
      <c r="O1" s="58" t="s">
        <v>519</v>
      </c>
      <c r="P1" s="60"/>
      <c r="Q1" s="60"/>
      <c r="R1" s="59"/>
      <c r="S1" s="61"/>
      <c r="T1" s="65" t="s">
        <v>519</v>
      </c>
      <c r="U1" s="58"/>
      <c r="V1" s="59"/>
      <c r="W1" s="59"/>
      <c r="X1" s="59"/>
      <c r="Y1" s="58" t="s">
        <v>519</v>
      </c>
      <c r="Z1" s="59"/>
      <c r="AA1" s="60"/>
      <c r="AB1" s="60"/>
      <c r="AC1" s="62"/>
      <c r="AD1" s="59"/>
      <c r="AE1" s="59"/>
      <c r="AF1" s="58" t="s">
        <v>519</v>
      </c>
      <c r="AG1" s="60"/>
      <c r="AH1" s="60"/>
      <c r="AI1" s="63"/>
      <c r="AJ1" s="62"/>
      <c r="AK1" s="62"/>
      <c r="AL1" s="58" t="s">
        <v>519</v>
      </c>
      <c r="AM1" s="62"/>
      <c r="AN1" s="62"/>
      <c r="AO1" s="62"/>
      <c r="AP1" s="62"/>
      <c r="AQ1" s="58" t="s">
        <v>519</v>
      </c>
      <c r="AR1" s="59"/>
      <c r="AS1" s="59"/>
      <c r="AT1" s="59"/>
      <c r="AU1" s="60"/>
      <c r="AV1" s="58" t="s">
        <v>519</v>
      </c>
      <c r="AW1" s="61"/>
      <c r="AX1" s="59"/>
      <c r="AY1" s="59"/>
      <c r="AZ1" s="61"/>
      <c r="BA1" s="58" t="s">
        <v>519</v>
      </c>
      <c r="BB1" s="59"/>
      <c r="BC1" s="59"/>
      <c r="BD1" s="59"/>
      <c r="BE1" s="58" t="s">
        <v>519</v>
      </c>
      <c r="BF1" s="59"/>
      <c r="BG1" s="59"/>
      <c r="BH1" s="59"/>
    </row>
    <row r="2" spans="1:60" x14ac:dyDescent="0.25">
      <c r="A2" s="70" t="s">
        <v>325</v>
      </c>
      <c r="B2" s="71"/>
      <c r="C2" s="71"/>
      <c r="D2" s="71"/>
      <c r="E2" s="71"/>
      <c r="F2" s="71"/>
      <c r="G2" s="71"/>
      <c r="H2" s="71"/>
      <c r="I2" s="71"/>
      <c r="J2" s="71"/>
      <c r="K2" s="71"/>
      <c r="L2" s="72"/>
      <c r="M2" s="72"/>
      <c r="N2" s="72"/>
      <c r="O2" s="72"/>
      <c r="P2" s="72"/>
      <c r="Q2" s="73"/>
      <c r="R2" s="74"/>
      <c r="S2" s="75"/>
      <c r="T2" s="76" t="s">
        <v>324</v>
      </c>
      <c r="U2" s="77"/>
      <c r="V2" s="78"/>
      <c r="W2" s="78"/>
      <c r="X2" s="79"/>
      <c r="Y2" s="80" t="s">
        <v>323</v>
      </c>
      <c r="Z2" s="81"/>
      <c r="AA2" s="82"/>
      <c r="AB2" s="82"/>
      <c r="AC2" s="83"/>
      <c r="AD2" s="84" t="s">
        <v>323</v>
      </c>
      <c r="AE2" s="81"/>
      <c r="AF2" s="85"/>
      <c r="AG2" s="82"/>
      <c r="AH2" s="82"/>
      <c r="AI2" s="84" t="s">
        <v>323</v>
      </c>
      <c r="AJ2" s="83"/>
      <c r="AK2" s="83"/>
      <c r="AL2" s="83"/>
      <c r="AM2" s="84" t="s">
        <v>323</v>
      </c>
      <c r="AN2" s="83"/>
      <c r="AO2" s="83"/>
      <c r="AP2" s="83"/>
      <c r="AQ2" s="84" t="s">
        <v>323</v>
      </c>
      <c r="AR2" s="84"/>
      <c r="AS2" s="81"/>
      <c r="AT2" s="81"/>
      <c r="AU2" s="86" t="s">
        <v>323</v>
      </c>
      <c r="AV2" s="82"/>
      <c r="AW2" s="87"/>
      <c r="AX2" s="81"/>
      <c r="AY2" s="86" t="s">
        <v>323</v>
      </c>
      <c r="AZ2" s="86"/>
      <c r="BA2" s="81"/>
      <c r="BB2" s="88" t="str">
        <f>"Blank: " &amp; COUNTIF(LesseeBaseEx[RoU Assets
G/L Account],"")</f>
        <v>Blank: 25</v>
      </c>
      <c r="BC2" s="88" t="str">
        <f>"Blank: " &amp; COUNTIF(LesseeBaseEx[Accum Amortiz
G/L Account],"")</f>
        <v>Blank: 25</v>
      </c>
      <c r="BD2" s="88" t="str">
        <f>"Blank: " &amp; COUNTIF(LesseeBaseEx[S-T Lease Liability
G/L Account],"")</f>
        <v>Blank: 25</v>
      </c>
      <c r="BE2" s="88" t="str">
        <f>"Blank: " &amp; COUNTIF(LesseeBaseEx[L-T Lease Liability
G/L Account],"")</f>
        <v>Blank: 25</v>
      </c>
      <c r="BF2" s="88" t="str">
        <f>"Blank: " &amp; COUNTIF(LesseeBaseEx[Lease Operating Exp
G/L Account],"")</f>
        <v>Blank: 25</v>
      </c>
      <c r="BG2" s="88" t="str">
        <f>"Blank: " &amp; COUNTIF(LesseeBaseEx[RoUA Amortiz. Exp.
G/L Account],"")</f>
        <v>Blank: 25</v>
      </c>
      <c r="BH2" s="88" t="str">
        <f>"Blank: " &amp; COUNTIF(LesseeBaseEx[Lease Interest Exp
G/L Account],"")</f>
        <v>Blank: 25</v>
      </c>
    </row>
    <row r="3" spans="1:60" x14ac:dyDescent="0.25">
      <c r="C3" s="32" t="str">
        <f>"Error: " &amp; COUNTIF(LesseeBaseEx[AgreementCode],"")</f>
        <v>Error: 7</v>
      </c>
      <c r="D3" s="32" t="str">
        <f>"Error: " &amp; COUNTIF(LesseeBaseEx[Multi-
Record],"")</f>
        <v>Error: 7</v>
      </c>
      <c r="E3" s="26" t="str">
        <f>"Error: " &amp; COUNTIFS(LesseeBaseEx[AgrmtCode
Uniq Test],"&gt;1",LesseeBaseEx[Multi-
Record],"None")</f>
        <v>Error: 0</v>
      </c>
      <c r="F3" s="32" t="str">
        <f>"Error: " &amp; COUNTIF(LesseeBaseEx[AgreementTitle],"")</f>
        <v>Error: 7</v>
      </c>
      <c r="G3" s="26" t="str">
        <f>"Error: " &amp; COUNTIFS(LesseeBaseEx[AgrmtTitle
Uniq Test],"&gt;1",LesseeBaseEx[Multi-
Record],"None")</f>
        <v>Error: 0</v>
      </c>
      <c r="H3" s="3" t="s">
        <v>256</v>
      </c>
      <c r="I3" s="32" t="str">
        <f>"Error: " &amp; COUNTIF(LesseeBaseEx[AgreementType],"")</f>
        <v>Error: 8</v>
      </c>
      <c r="J3" s="32" t="str">
        <f>"Error: " &amp; COUNTIF(LesseeBaseEx[AgreementStatus],"")</f>
        <v>Error: 8</v>
      </c>
      <c r="K3" s="26" t="str">
        <f>"Error: " &amp; COUNTIF(LesseeBaseEx[AgreementDescription],"")</f>
        <v>Error: 8</v>
      </c>
      <c r="L3" s="26" t="str">
        <f>"Error: " &amp; COUNTIF(LesseeBaseEx[Initial Period
Start Date],"")</f>
        <v>Error: 8</v>
      </c>
      <c r="M3" s="26" t="str">
        <f>"Error: " &amp; COUNTIF(LesseeBaseEx[Initial Period
End Date],"")</f>
        <v>Error: 8</v>
      </c>
      <c r="N3" s="16" t="s">
        <v>256</v>
      </c>
      <c r="O3" s="16" t="s">
        <v>256</v>
      </c>
      <c r="P3" s="16" t="s">
        <v>256</v>
      </c>
      <c r="Q3" s="16" t="s">
        <v>256</v>
      </c>
      <c r="R3" t="s">
        <v>256</v>
      </c>
      <c r="S3" s="26" t="str">
        <f>"Error: " &amp; COUNTIF(LesseeBaseEx[Comments
Length], "&gt; 300")</f>
        <v>Error: 0</v>
      </c>
      <c r="T3" s="32" t="str">
        <f>"Error: " &amp; COUNTIF(LesseeBaseEx[Multi-
Record2],"")</f>
        <v>Error: 7</v>
      </c>
      <c r="U3" s="32" t="str">
        <f>"Error: " &amp; COUNTIF(LesseeBaseEx[ProvisionReference],"")</f>
        <v>Error: 7</v>
      </c>
      <c r="V3" s="32" t="str">
        <f>"Error: " &amp; COUNTIF(LesseeBaseEx[ProvisionDescription],"")</f>
        <v>Error: 7</v>
      </c>
      <c r="W3" s="32" t="str">
        <f>"Error: " &amp; COUNTIF(LesseeBaseEx[ProvisionType],"")+COUNTIF(LesseeBaseEx[ProvisionType],0)</f>
        <v>Error: 8</v>
      </c>
      <c r="X3" s="3" t="s">
        <v>256</v>
      </c>
      <c r="Y3" s="26" t="str">
        <f>"Error: " &amp; COUNTIF(LesseeBaseEx[ReportingType],"")</f>
        <v>Error: 0</v>
      </c>
      <c r="Z3" s="26" t="str">
        <f>"Error: " &amp; COUNTIF(LesseeBaseEx[ReportingCategory],"")+COUNTIF(LesseeBaseEx[ReportingCategory],0)</f>
        <v>Error: 8</v>
      </c>
      <c r="AA3" s="26" t="str">
        <f>"Error: " &amp; COUNTIF(LesseeBaseEx[Reporting
StartDate],"")</f>
        <v>Error: 10</v>
      </c>
      <c r="AB3" s="26" t="str">
        <f>"Error: " &amp; COUNTIF(LesseeBaseEx[Reporting
EndDate],"") + COUNTIF(LesseeBaseEx[Reporting
EndDate],0)</f>
        <v>Error: 8</v>
      </c>
      <c r="AC3" s="26" t="str">
        <f>"Error: " &amp; COUNTIF(LesseeBaseEx[Payment
Amount],"")+COUNTIF(LesseeBaseEx[Payment
Amount],0)</f>
        <v>Error: 10</v>
      </c>
      <c r="AD3" s="26" t="str">
        <f>"Error: " &amp; COUNTIF(LesseeBaseEx[Payment
Frequency],"")</f>
        <v>Error: 10</v>
      </c>
      <c r="AE3" s="26" t="str">
        <f>"Error: " &amp; COUNTIF(LesseeBaseEx[Payment
Timing],"")</f>
        <v>Error: 10</v>
      </c>
      <c r="AF3" s="26" t="str">
        <f>"Error: " &amp; COUNTIF(LesseeBaseEx[Annual
Rate],"")+COUNTIF(LesseeBaseEx[Annual
Rate],0)</f>
        <v>Error: 9</v>
      </c>
      <c r="AG3" s="26" t="str">
        <f>"Error: " &amp; COUNTIF(LesseeBaseEx[Payment
StartDate],"")</f>
        <v>Error: 10</v>
      </c>
      <c r="AH3" s="26" t="str">
        <f>"Error: " &amp; COUNTIF(LesseeBaseEx[Payment
EndDate],"") + COUNTIF(LesseeBaseEx[Payment
EndDate],0)</f>
        <v>Error: 10</v>
      </c>
      <c r="AI3" s="25" t="s">
        <v>326</v>
      </c>
      <c r="AJ3" s="25" t="s">
        <v>326</v>
      </c>
      <c r="AK3" s="25" t="s">
        <v>326</v>
      </c>
      <c r="AL3" s="25" t="s">
        <v>326</v>
      </c>
      <c r="AM3" s="26" t="str">
        <f>"Error: " &amp; COUNTIF(LesseeBaseEx[Total
CapitalizedValue],"")+COUNTIF(LesseeBaseEx[Total
CapitalizedValue],0)</f>
        <v>Error: 0</v>
      </c>
      <c r="AN3" s="26" t="str">
        <f>"Error: " &amp; COUNTIF(LesseeBaseEx[Capitalized
ResidualValue],"")+COUNTIF(LesseeBaseEx[Capitalized
ResidualValue],"&lt;0")</f>
        <v>Error: 7</v>
      </c>
      <c r="AO3" s="25" t="s">
        <v>326</v>
      </c>
      <c r="AP3" s="26" t="str">
        <f>"Error: " &amp; COUNTIF(LesseeBaseEx[Amount to be
Amortized],"")+COUNTIF(LesseeBaseEx[Amount to be
Amortized],0)</f>
        <v>Error: 0</v>
      </c>
      <c r="AQ3" s="26" t="str">
        <f>"Error: " &amp; COUNTIF(LesseeBaseEx[RoU Asset
AmortizationMethod],"")</f>
        <v>Error: 0</v>
      </c>
      <c r="AR3" s="26" t="str">
        <f>"Error: " &amp; COUNTIF(LesseeBaseEx[DecliningBalance
Percentage],"Enter %")</f>
        <v>Error: 0</v>
      </c>
      <c r="AS3" s="26" t="str">
        <f>"Error: " &amp; COUNTIF(LesseeBaseEx[UsageBase],"Enter Usage Base")</f>
        <v>Error: 0</v>
      </c>
      <c r="AT3" s="26" t="str">
        <f>"Error: "&amp;COUNTIF(LesseeBaseEx[UsageUnitMeasure],"Enter Usage UoM")</f>
        <v>Error: 0</v>
      </c>
      <c r="AU3" s="26" t="str">
        <f>"Error: " &amp; COUNTIF(LesseeBaseEx[RoU Amortization
StartDate],"")</f>
        <v>Error: 10</v>
      </c>
      <c r="AV3" s="26" t="str">
        <f>"Error: " &amp; COUNTIF(LesseeBaseEx[RoU Amortization
EndDate],"") + COUNTIF(LesseeBaseEx[RoU Amortization
EndDate],0)</f>
        <v>Error: 8</v>
      </c>
      <c r="AW3" s="26" t="str">
        <f>"Error: " &amp; COUNTIF(LesseeBaseEx[RoU Amortization
Frequency],"")</f>
        <v>Error: 0</v>
      </c>
      <c r="AX3" s="25" t="s">
        <v>326</v>
      </c>
      <c r="AY3" s="25" t="s">
        <v>256</v>
      </c>
      <c r="AZ3" s="25" t="s">
        <v>256</v>
      </c>
      <c r="BA3" s="25" t="s">
        <v>256</v>
      </c>
      <c r="BB3" s="29" t="s">
        <v>394</v>
      </c>
      <c r="BC3" s="30"/>
      <c r="BD3" s="30"/>
      <c r="BE3" s="30"/>
      <c r="BF3" s="30"/>
      <c r="BG3" s="30"/>
      <c r="BH3" s="31"/>
    </row>
    <row r="4" spans="1:60" x14ac:dyDescent="0.25">
      <c r="C4" s="117" t="s">
        <v>679</v>
      </c>
      <c r="F4" s="118" t="s">
        <v>679</v>
      </c>
      <c r="R4" s="118" t="s">
        <v>682</v>
      </c>
      <c r="V4" s="118" t="s">
        <v>683</v>
      </c>
    </row>
    <row r="5" spans="1:60" ht="30" x14ac:dyDescent="0.25">
      <c r="A5" t="s">
        <v>508</v>
      </c>
      <c r="B5" t="s">
        <v>510</v>
      </c>
      <c r="C5" s="14" t="s">
        <v>678</v>
      </c>
      <c r="D5" s="14" t="s">
        <v>546</v>
      </c>
      <c r="E5" s="14" t="s">
        <v>304</v>
      </c>
      <c r="F5" t="s">
        <v>680</v>
      </c>
      <c r="G5" s="14" t="s">
        <v>300</v>
      </c>
      <c r="H5" t="s">
        <v>303</v>
      </c>
      <c r="I5" t="s">
        <v>301</v>
      </c>
      <c r="J5" t="s">
        <v>302</v>
      </c>
      <c r="K5" t="s">
        <v>0</v>
      </c>
      <c r="L5" s="18" t="s">
        <v>388</v>
      </c>
      <c r="M5" s="18" t="s">
        <v>389</v>
      </c>
      <c r="N5" s="18" t="s">
        <v>390</v>
      </c>
      <c r="O5" s="18" t="s">
        <v>391</v>
      </c>
      <c r="P5" s="18" t="s">
        <v>392</v>
      </c>
      <c r="Q5" s="18" t="s">
        <v>393</v>
      </c>
      <c r="R5" t="s">
        <v>681</v>
      </c>
      <c r="S5" s="14" t="s">
        <v>311</v>
      </c>
      <c r="T5" s="14" t="s">
        <v>547</v>
      </c>
      <c r="U5" s="12" t="s">
        <v>306</v>
      </c>
      <c r="V5" t="s">
        <v>565</v>
      </c>
      <c r="W5" t="s">
        <v>305</v>
      </c>
      <c r="X5" t="s">
        <v>3</v>
      </c>
      <c r="Y5" s="12" t="s">
        <v>4</v>
      </c>
      <c r="Z5" s="12" t="s">
        <v>5</v>
      </c>
      <c r="AA5" s="18" t="s">
        <v>308</v>
      </c>
      <c r="AB5" s="18" t="s">
        <v>309</v>
      </c>
      <c r="AC5" s="22" t="s">
        <v>319</v>
      </c>
      <c r="AD5" s="14" t="s">
        <v>318</v>
      </c>
      <c r="AE5" s="14" t="s">
        <v>317</v>
      </c>
      <c r="AF5" s="21" t="s">
        <v>310</v>
      </c>
      <c r="AG5" s="18" t="s">
        <v>594</v>
      </c>
      <c r="AH5" s="18" t="s">
        <v>595</v>
      </c>
      <c r="AI5" s="23" t="s">
        <v>313</v>
      </c>
      <c r="AJ5" s="24" t="s">
        <v>314</v>
      </c>
      <c r="AK5" s="24" t="s">
        <v>316</v>
      </c>
      <c r="AL5" s="24" t="s">
        <v>315</v>
      </c>
      <c r="AM5" s="22" t="s">
        <v>327</v>
      </c>
      <c r="AN5" s="22" t="s">
        <v>328</v>
      </c>
      <c r="AO5" s="24" t="s">
        <v>329</v>
      </c>
      <c r="AP5" s="22" t="s">
        <v>330</v>
      </c>
      <c r="AQ5" s="14" t="s">
        <v>331</v>
      </c>
      <c r="AR5" s="14" t="s">
        <v>332</v>
      </c>
      <c r="AS5" t="s">
        <v>6</v>
      </c>
      <c r="AT5" t="s">
        <v>7</v>
      </c>
      <c r="AU5" s="18" t="s">
        <v>333</v>
      </c>
      <c r="AV5" s="18" t="s">
        <v>334</v>
      </c>
      <c r="AW5" s="14" t="s">
        <v>335</v>
      </c>
      <c r="AX5" s="24" t="s">
        <v>336</v>
      </c>
      <c r="AY5" s="14" t="s">
        <v>337</v>
      </c>
      <c r="AZ5" s="14" t="s">
        <v>338</v>
      </c>
      <c r="BA5" s="14" t="s">
        <v>339</v>
      </c>
      <c r="BB5" s="28" t="s">
        <v>340</v>
      </c>
      <c r="BC5" s="28" t="s">
        <v>341</v>
      </c>
      <c r="BD5" s="28" t="s">
        <v>342</v>
      </c>
      <c r="BE5" s="28" t="s">
        <v>386</v>
      </c>
      <c r="BF5" s="28" t="s">
        <v>344</v>
      </c>
      <c r="BG5" s="28" t="s">
        <v>343</v>
      </c>
      <c r="BH5" s="28" t="s">
        <v>345</v>
      </c>
    </row>
    <row r="6" spans="1:60" x14ac:dyDescent="0.25">
      <c r="A6" s="108" t="s">
        <v>622</v>
      </c>
      <c r="B6" s="109"/>
      <c r="C6" s="109"/>
      <c r="D6" s="109"/>
      <c r="E6" s="109"/>
      <c r="F6" s="109"/>
      <c r="G6" s="109"/>
      <c r="H6" s="109"/>
      <c r="I6" s="109"/>
      <c r="J6" s="109"/>
      <c r="K6" s="109"/>
      <c r="L6" s="110"/>
      <c r="M6" s="110"/>
      <c r="N6" s="110"/>
      <c r="O6" s="110"/>
      <c r="P6" s="110"/>
      <c r="Q6" s="110"/>
      <c r="R6" s="109"/>
      <c r="S6" s="111"/>
      <c r="T6" s="111"/>
      <c r="U6" s="109"/>
      <c r="V6" s="109"/>
      <c r="W6" s="109"/>
      <c r="X6" s="109"/>
      <c r="Y6"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None</v>
      </c>
      <c r="Z6">
        <f>LesseeBaseEx[[#This Row],[ProvisionType]]</f>
        <v>0</v>
      </c>
      <c r="AB6" s="17">
        <f>IF(LesseeBaseEx[[#This Row],[Incl. Options
End Date]]&gt;0,LesseeBaseEx[[#This Row],[Incl. Options
End Date]],LesseeBaseEx[[#This Row],[Initial Period
End Date]])</f>
        <v>0</v>
      </c>
      <c r="AF6" s="20">
        <v>0.04</v>
      </c>
      <c r="AH6" s="17">
        <f>IF(LesseeBaseEx[[#This Row],[Incl. Options
End Date]]&gt;0,LesseeBaseEx[[#This Row],[Incl. Options
End Date]],LesseeBaseEx[[#This Row],[Initial Period
End Date]])</f>
        <v>0</v>
      </c>
      <c r="AI6" s="15" t="e" cm="1">
        <f t="array" ref="AI6">ROUND(ROUND((LesseeBaseEx[[#This Row],[Payment
EndDate]]-LesseeBaseEx[[#This Row],[Payment
StartDate]])/365,2)*_xlfn.IFS(LesseeBaseEx[[#This Row],[Payment
Frequency]]="MO",12,LesseeBaseEx[[#This Row],[Payment
Frequency]]="QT",4,LesseeBaseEx[[#This Row],[Payment
Frequency]]="SA",2,LesseeBaseEx[[#This Row],[Payment
Frequency]]="AN",1),0)</f>
        <v>#N/A</v>
      </c>
      <c r="AJ6" s="19" t="e">
        <f>ROUND(LesseeBaseEx[[#This Row],[Payment
Amount]]*LesseeBaseEx[[#This Row],[Number of
 Payments]],2)</f>
        <v>#N/A</v>
      </c>
      <c r="AK6"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6" s="19" t="e">
        <f>IF(LesseeBaseEx[[#This Row],[Multi-
Record2]]="Multi-Amount", "calc on import",LesseeBaseEx[[#This Row],[Total Amount
of Payments]]-LesseeBaseEx[[#This Row],[Present
Value]])</f>
        <v>#N/A</v>
      </c>
      <c r="AM6" s="19" t="e">
        <f>LesseeBaseEx[[#This Row],[Present
Value]]</f>
        <v>#DIV/0!</v>
      </c>
      <c r="AN6" s="19">
        <v>0</v>
      </c>
      <c r="AO6" s="19" t="e">
        <f>IF(LesseeBaseEx[[#This Row],[Multi-
Record2]]="Multi-Amount", "calc on import",LesseeBaseEx[[#This Row],[Total
CapitalizedValue]]-LesseeBaseEx[[#This Row],[Capitalized
ResidualValue]])</f>
        <v>#DIV/0!</v>
      </c>
      <c r="AP6" s="19" t="e">
        <f>LesseeBaseEx[[#This Row],[Calc Amount
to Amortize]]</f>
        <v>#DIV/0!</v>
      </c>
      <c r="AQ6" t="s">
        <v>296</v>
      </c>
      <c r="AR6" s="27" t="str">
        <f>IF(LesseeBaseEx[[#This Row],[RoU Asset
AmortizationMethod]] = "Declining Balance", "Enter %","")</f>
        <v/>
      </c>
      <c r="AS6" t="str">
        <f>IF(LesseeBaseEx[[#This Row],[RoU Asset
AmortizationMethod]]="Usage Based","Enter Usage Base","")</f>
        <v/>
      </c>
      <c r="AT6" t="str">
        <f>IF(LesseeBaseEx[[#This Row],[RoU Asset
AmortizationMethod]]="Usage Based","Enter Usage UoM","")</f>
        <v/>
      </c>
      <c r="AV6" s="17">
        <f>IF(LesseeBaseEx[[#This Row],[Incl. Options
End Date]]&gt;0,LesseeBaseEx[[#This Row],[Incl. Options
End Date]],LesseeBaseEx[[#This Row],[Initial Period
End Date]])</f>
        <v>0</v>
      </c>
      <c r="AW6" s="3" t="s">
        <v>321</v>
      </c>
      <c r="AX6" cm="1">
        <f t="array" ref="AX6">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0</v>
      </c>
    </row>
    <row r="7" spans="1:60" x14ac:dyDescent="0.25">
      <c r="A7" t="s">
        <v>509</v>
      </c>
      <c r="B7">
        <f>'Agency Cover'!$B$3</f>
        <v>0</v>
      </c>
      <c r="C7" t="s">
        <v>636</v>
      </c>
      <c r="D7" t="s">
        <v>291</v>
      </c>
      <c r="E7" s="15">
        <f>COUNTIF(LesseeBaseEx[AgreementCode],LesseeBaseEx[[#This Row],[AgreementCode]])</f>
        <v>1</v>
      </c>
      <c r="F7" t="s">
        <v>638</v>
      </c>
      <c r="G7" s="15">
        <f>COUNTIF(LesseeBaseEx[AgreementTitle],LesseeBaseEx[[#This Row],[AgreementTitle]])</f>
        <v>1</v>
      </c>
      <c r="I7" t="s">
        <v>275</v>
      </c>
      <c r="J7" t="s">
        <v>1</v>
      </c>
      <c r="K7" t="s">
        <v>447</v>
      </c>
      <c r="L7" s="17">
        <v>43647</v>
      </c>
      <c r="M7" s="17">
        <v>45473</v>
      </c>
      <c r="P7" s="17">
        <v>45474</v>
      </c>
      <c r="Q7" s="17">
        <v>46568</v>
      </c>
      <c r="S7" s="25">
        <f>LEN(LesseeBaseEx[[#This Row],[Comments]])</f>
        <v>0</v>
      </c>
      <c r="T7" s="3" t="str">
        <f>LesseeBaseEx[[#This Row],[Multi-
Record]]</f>
        <v>None</v>
      </c>
      <c r="U7" t="str">
        <f>LesseeBaseEx[[#This Row],[AgreementCode]]</f>
        <v>000-2019-001</v>
      </c>
      <c r="V7" t="str">
        <f>LEFT(LesseeBaseEx[[#This Row],[AgreementTitle]],50)</f>
        <v>000-2019 Police Car Agreement #000001</v>
      </c>
      <c r="W7" s="15" t="str">
        <f>LesseeBaseEx[[#This Row],[AgreementType]]</f>
        <v>Vehicles</v>
      </c>
      <c r="Y7"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7" t="str">
        <f>LesseeBaseEx[[#This Row],[ProvisionType]]</f>
        <v>Vehicles</v>
      </c>
      <c r="AA7" s="17">
        <v>44013</v>
      </c>
      <c r="AB7" s="17">
        <f>IF(LesseeBaseEx[[#This Row],[Incl. Options
End Date]]&gt;0,LesseeBaseEx[[#This Row],[Incl. Options
End Date]],LesseeBaseEx[[#This Row],[Initial Period
End Date]])</f>
        <v>45473</v>
      </c>
      <c r="AC7" s="19">
        <v>52000</v>
      </c>
      <c r="AD7" t="s">
        <v>322</v>
      </c>
      <c r="AE7" t="s">
        <v>320</v>
      </c>
      <c r="AF7" s="20">
        <v>0.04</v>
      </c>
      <c r="AG7" s="17">
        <v>43647</v>
      </c>
      <c r="AH7" s="17">
        <f>IF(LesseeBaseEx[[#This Row],[Incl. Options
End Date]]&gt;0,LesseeBaseEx[[#This Row],[Incl. Options
End Date]],LesseeBaseEx[[#This Row],[Initial Period
End Date]])</f>
        <v>45473</v>
      </c>
      <c r="AI7" s="15" cm="1">
        <f t="array" ref="AI7">ROUND(ROUND((LesseeBaseEx[[#This Row],[Payment
EndDate]]-LesseeBaseEx[[#This Row],[Payment
StartDate]])/365,2)*_xlfn.IFS(LesseeBaseEx[[#This Row],[Payment
Frequency]]="MO",12,LesseeBaseEx[[#This Row],[Payment
Frequency]]="QT",4,LesseeBaseEx[[#This Row],[Payment
Frequency]]="SA",2,LesseeBaseEx[[#This Row],[Payment
Frequency]]="AN",1),0)</f>
        <v>5</v>
      </c>
      <c r="AJ7" s="19">
        <f>ROUND(LesseeBaseEx[[#This Row],[Payment
Amount]]*LesseeBaseEx[[#This Row],[Number of
 Payments]],2)</f>
        <v>260000</v>
      </c>
      <c r="AK7"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240754.55</v>
      </c>
      <c r="AL7" s="19">
        <f>IF(LesseeBaseEx[[#This Row],[Multi-
Record2]]="Multi-Amount", "calc on import",LesseeBaseEx[[#This Row],[Total Amount
of Payments]]-LesseeBaseEx[[#This Row],[Present
Value]])</f>
        <v>19245.450000000012</v>
      </c>
      <c r="AM7" s="19">
        <f>LesseeBaseEx[[#This Row],[Present
Value]]</f>
        <v>240754.55</v>
      </c>
      <c r="AN7" s="19">
        <v>0</v>
      </c>
      <c r="AO7" s="19">
        <f>IF(LesseeBaseEx[[#This Row],[Multi-
Record2]]="Multi-Amount", "calc on import",LesseeBaseEx[[#This Row],[Total
CapitalizedValue]]-LesseeBaseEx[[#This Row],[Capitalized
ResidualValue]])</f>
        <v>240754.55</v>
      </c>
      <c r="AP7" s="19">
        <f>LesseeBaseEx[[#This Row],[Calc Amount
to Amortize]]</f>
        <v>240754.55</v>
      </c>
      <c r="AQ7" t="s">
        <v>296</v>
      </c>
      <c r="AR7" s="27" t="str">
        <f>IF(LesseeBaseEx[[#This Row],[RoU Asset
AmortizationMethod]] = "Declining Balance", "Enter %","")</f>
        <v/>
      </c>
      <c r="AS7" t="str">
        <f>IF(LesseeBaseEx[[#This Row],[RoU Asset
AmortizationMethod]]="Usage Based","Enter Usage Base","")</f>
        <v/>
      </c>
      <c r="AT7" t="str">
        <f>IF(LesseeBaseEx[[#This Row],[RoU Asset
AmortizationMethod]]="Usage Based","Enter Usage UoM","")</f>
        <v/>
      </c>
      <c r="AU7" s="17">
        <v>43647</v>
      </c>
      <c r="AV7" s="17">
        <f>IF(LesseeBaseEx[[#This Row],[Incl. Options
End Date]]&gt;0,LesseeBaseEx[[#This Row],[Incl. Options
End Date]],LesseeBaseEx[[#This Row],[Initial Period
End Date]])</f>
        <v>45473</v>
      </c>
      <c r="AW7" s="3" t="s">
        <v>321</v>
      </c>
      <c r="AX7" cm="1">
        <f t="array" ref="AX7">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60</v>
      </c>
      <c r="BB7" t="s">
        <v>448</v>
      </c>
      <c r="BC7" t="s">
        <v>449</v>
      </c>
      <c r="BD7" t="s">
        <v>450</v>
      </c>
      <c r="BE7" t="s">
        <v>451</v>
      </c>
      <c r="BF7" t="s">
        <v>452</v>
      </c>
      <c r="BG7" t="s">
        <v>453</v>
      </c>
      <c r="BH7" t="s">
        <v>460</v>
      </c>
    </row>
    <row r="8" spans="1:60" x14ac:dyDescent="0.25">
      <c r="A8" t="s">
        <v>509</v>
      </c>
      <c r="B8">
        <f>'Agency Cover'!$B$3</f>
        <v>0</v>
      </c>
      <c r="C8" t="s">
        <v>637</v>
      </c>
      <c r="D8" t="s">
        <v>291</v>
      </c>
      <c r="E8" s="15">
        <f>COUNTIF(LesseeBaseEx[AgreementCode],LesseeBaseEx[[#This Row],[AgreementCode]])</f>
        <v>1</v>
      </c>
      <c r="F8" t="s">
        <v>639</v>
      </c>
      <c r="G8" s="15">
        <f>COUNTIF(LesseeBaseEx[AgreementTitle],LesseeBaseEx[[#This Row],[AgreementTitle]])</f>
        <v>1</v>
      </c>
      <c r="I8" t="s">
        <v>271</v>
      </c>
      <c r="J8" t="s">
        <v>1</v>
      </c>
      <c r="K8" t="s">
        <v>454</v>
      </c>
      <c r="L8" s="17">
        <v>42461</v>
      </c>
      <c r="M8" s="17">
        <v>43555</v>
      </c>
      <c r="N8" s="17">
        <v>43556</v>
      </c>
      <c r="O8" s="17">
        <v>44286</v>
      </c>
      <c r="S8" s="25">
        <f>LEN(LesseeBaseEx[[#This Row],[Comments]])</f>
        <v>0</v>
      </c>
      <c r="T8" s="3" t="str">
        <f>LesseeBaseEx[[#This Row],[Multi-
Record]]</f>
        <v>None</v>
      </c>
      <c r="U8" t="str">
        <f>LesseeBaseEx[[#This Row],[AgreementCode]]</f>
        <v>000-2016-001</v>
      </c>
      <c r="V8" t="str">
        <f>LEFT(LesseeBaseEx[[#This Row],[AgreementTitle]],50)</f>
        <v>000-2016 Office Rental - Tulsa</v>
      </c>
      <c r="W8" s="15" t="str">
        <f>LesseeBaseEx[[#This Row],[AgreementType]]</f>
        <v>Buildings</v>
      </c>
      <c r="Y8"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8" t="str">
        <f>LesseeBaseEx[[#This Row],[ProvisionType]]</f>
        <v>Buildings</v>
      </c>
      <c r="AA8" s="17">
        <v>44013</v>
      </c>
      <c r="AB8" s="17">
        <f>IF(LesseeBaseEx[[#This Row],[Incl. Options
End Date]]&gt;0,LesseeBaseEx[[#This Row],[Incl. Options
End Date]],LesseeBaseEx[[#This Row],[Initial Period
End Date]])</f>
        <v>44286</v>
      </c>
      <c r="AC8" s="19">
        <v>800</v>
      </c>
      <c r="AD8" t="s">
        <v>321</v>
      </c>
      <c r="AE8" t="s">
        <v>455</v>
      </c>
      <c r="AF8" s="20">
        <v>0.06</v>
      </c>
      <c r="AG8" s="17">
        <v>42461</v>
      </c>
      <c r="AH8" s="17">
        <f>IF(LesseeBaseEx[[#This Row],[Incl. Options
End Date]]&gt;0,LesseeBaseEx[[#This Row],[Incl. Options
End Date]],LesseeBaseEx[[#This Row],[Initial Period
End Date]])</f>
        <v>44286</v>
      </c>
      <c r="AI8" s="15" cm="1">
        <f t="array" ref="AI8">ROUND(ROUND((LesseeBaseEx[[#This Row],[Payment
EndDate]]-LesseeBaseEx[[#This Row],[Payment
StartDate]])/365,2)*_xlfn.IFS(LesseeBaseEx[[#This Row],[Payment
Frequency]]="MO",12,LesseeBaseEx[[#This Row],[Payment
Frequency]]="QT",4,LesseeBaseEx[[#This Row],[Payment
Frequency]]="SA",2,LesseeBaseEx[[#This Row],[Payment
Frequency]]="AN",1),0)</f>
        <v>60</v>
      </c>
      <c r="AJ8" s="19">
        <f>ROUND(LesseeBaseEx[[#This Row],[Payment
Amount]]*LesseeBaseEx[[#This Row],[Number of
 Payments]],2)</f>
        <v>48000</v>
      </c>
      <c r="AK8"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41380.449999999997</v>
      </c>
      <c r="AL8" s="19">
        <f>IF(LesseeBaseEx[[#This Row],[Multi-
Record2]]="Multi-Amount", "calc on import",LesseeBaseEx[[#This Row],[Total Amount
of Payments]]-LesseeBaseEx[[#This Row],[Present
Value]])</f>
        <v>6619.5500000000029</v>
      </c>
      <c r="AM8" s="19">
        <f>LesseeBaseEx[[#This Row],[Present
Value]]</f>
        <v>41380.449999999997</v>
      </c>
      <c r="AN8" s="19">
        <v>0</v>
      </c>
      <c r="AO8" s="19">
        <f>IF(LesseeBaseEx[[#This Row],[Multi-
Record2]]="Multi-Amount", "calc on import",LesseeBaseEx[[#This Row],[Total
CapitalizedValue]]-LesseeBaseEx[[#This Row],[Capitalized
ResidualValue]])</f>
        <v>41380.449999999997</v>
      </c>
      <c r="AP8" s="19">
        <f>LesseeBaseEx[[#This Row],[Calc Amount
to Amortize]]</f>
        <v>41380.449999999997</v>
      </c>
      <c r="AQ8" t="s">
        <v>296</v>
      </c>
      <c r="AR8" s="27" t="str">
        <f>IF(LesseeBaseEx[[#This Row],[RoU Asset
AmortizationMethod]] = "Declining Balance", "Enter %","")</f>
        <v/>
      </c>
      <c r="AS8" t="str">
        <f>IF(LesseeBaseEx[[#This Row],[RoU Asset
AmortizationMethod]]="Usage Based","Enter Usage Base","")</f>
        <v/>
      </c>
      <c r="AT8" t="str">
        <f>IF(LesseeBaseEx[[#This Row],[RoU Asset
AmortizationMethod]]="Usage Based","Enter Usage UoM","")</f>
        <v/>
      </c>
      <c r="AU8" s="17">
        <v>42461</v>
      </c>
      <c r="AV8" s="17">
        <f>IF(LesseeBaseEx[[#This Row],[Incl. Options
End Date]]&gt;0,LesseeBaseEx[[#This Row],[Incl. Options
End Date]],LesseeBaseEx[[#This Row],[Initial Period
End Date]])</f>
        <v>44286</v>
      </c>
      <c r="AW8" s="3" t="s">
        <v>321</v>
      </c>
      <c r="AX8" cm="1">
        <f t="array" ref="AX8">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60</v>
      </c>
      <c r="BA8" t="s">
        <v>456</v>
      </c>
      <c r="BB8" t="s">
        <v>457</v>
      </c>
      <c r="BC8" t="s">
        <v>458</v>
      </c>
      <c r="BD8" t="s">
        <v>450</v>
      </c>
      <c r="BE8" t="s">
        <v>451</v>
      </c>
      <c r="BF8" t="s">
        <v>459</v>
      </c>
      <c r="BG8" t="s">
        <v>459</v>
      </c>
      <c r="BH8" t="s">
        <v>460</v>
      </c>
    </row>
    <row r="9" spans="1:60" x14ac:dyDescent="0.25">
      <c r="E9" s="15"/>
      <c r="G9" s="15"/>
      <c r="Y9"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None</v>
      </c>
      <c r="Z9">
        <f>LesseeBaseEx[[#This Row],[ProvisionType]]</f>
        <v>0</v>
      </c>
      <c r="AB9" s="17">
        <f>IF(LesseeBaseEx[[#This Row],[Incl. Options
End Date]]&gt;0,LesseeBaseEx[[#This Row],[Incl. Options
End Date]],LesseeBaseEx[[#This Row],[Initial Period
End Date]])</f>
        <v>0</v>
      </c>
      <c r="AH9" s="17">
        <f>IF(LesseeBaseEx[[#This Row],[Incl. Options
End Date]]&gt;0,LesseeBaseEx[[#This Row],[Incl. Options
End Date]],LesseeBaseEx[[#This Row],[Initial Period
End Date]])</f>
        <v>0</v>
      </c>
      <c r="AI9" s="15" t="e" cm="1">
        <f t="array" ref="AI9">ROUND(ROUND((LesseeBaseEx[[#This Row],[Payment
EndDate]]-LesseeBaseEx[[#This Row],[Payment
StartDate]])/365,2)*_xlfn.IFS(LesseeBaseEx[[#This Row],[Payment
Frequency]]="MO",12,LesseeBaseEx[[#This Row],[Payment
Frequency]]="QT",4,LesseeBaseEx[[#This Row],[Payment
Frequency]]="SA",2,LesseeBaseEx[[#This Row],[Payment
Frequency]]="AN",1),0)</f>
        <v>#N/A</v>
      </c>
      <c r="AJ9" s="19" t="e">
        <f>ROUND(LesseeBaseEx[[#This Row],[Payment
Amount]]*LesseeBaseEx[[#This Row],[Number of
 Payments]],2)</f>
        <v>#N/A</v>
      </c>
      <c r="AK9"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9" s="19" t="e">
        <f>IF(LesseeBaseEx[[#This Row],[Multi-
Record2]]="Multi-Amount", "calc on import",LesseeBaseEx[[#This Row],[Total Amount
of Payments]]-LesseeBaseEx[[#This Row],[Present
Value]])</f>
        <v>#N/A</v>
      </c>
      <c r="AM9" s="19" t="e">
        <f>LesseeBaseEx[[#This Row],[Present
Value]]</f>
        <v>#DIV/0!</v>
      </c>
      <c r="AN9" s="19">
        <v>0</v>
      </c>
      <c r="AO9" s="19" t="e">
        <f>IF(LesseeBaseEx[[#This Row],[Multi-
Record2]]="Multi-Amount", "calc on import",LesseeBaseEx[[#This Row],[Total
CapitalizedValue]]-LesseeBaseEx[[#This Row],[Capitalized
ResidualValue]])</f>
        <v>#DIV/0!</v>
      </c>
      <c r="AP9" s="19" t="e">
        <f>LesseeBaseEx[[#This Row],[Calc Amount
to Amortize]]</f>
        <v>#DIV/0!</v>
      </c>
      <c r="AQ9" t="s">
        <v>296</v>
      </c>
      <c r="AR9" s="27"/>
      <c r="AS9" t="str">
        <f>IF(LesseeBaseEx[[#This Row],[RoU Asset
AmortizationMethod]]="Usage Based","Enter Usage Base","")</f>
        <v/>
      </c>
      <c r="AT9" t="str">
        <f>IF(LesseeBaseEx[[#This Row],[RoU Asset
AmortizationMethod]]="Usage Based","Enter Usage UoM","")</f>
        <v/>
      </c>
      <c r="AV9" s="17">
        <f>IF(LesseeBaseEx[[#This Row],[Incl. Options
End Date]]&gt;0,LesseeBaseEx[[#This Row],[Incl. Options
End Date]],LesseeBaseEx[[#This Row],[Initial Period
End Date]])</f>
        <v>0</v>
      </c>
      <c r="AW9" s="3" t="s">
        <v>321</v>
      </c>
      <c r="AX9" cm="1">
        <f t="array" ref="AX9">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0</v>
      </c>
    </row>
    <row r="10" spans="1:60" x14ac:dyDescent="0.25">
      <c r="A10" s="108" t="s">
        <v>623</v>
      </c>
      <c r="B10" s="109"/>
      <c r="C10" s="109"/>
      <c r="D10" s="109"/>
      <c r="E10" s="109"/>
      <c r="F10" s="109"/>
      <c r="G10" s="109"/>
      <c r="H10" s="109"/>
      <c r="I10" s="109"/>
      <c r="J10" s="109"/>
      <c r="K10" s="109"/>
      <c r="L10" s="110"/>
      <c r="M10" s="110"/>
      <c r="N10" s="110"/>
      <c r="O10" s="110"/>
      <c r="P10" s="110"/>
      <c r="Q10" s="110"/>
      <c r="R10" s="109"/>
      <c r="S10" s="111"/>
      <c r="T10" s="111"/>
      <c r="U10" s="109"/>
      <c r="V10" s="109"/>
      <c r="W10" s="109"/>
      <c r="X10" s="109"/>
      <c r="Y10"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None</v>
      </c>
      <c r="Z10">
        <f>LesseeBaseEx[[#This Row],[ProvisionType]]</f>
        <v>0</v>
      </c>
      <c r="AB10" s="17">
        <f>IF(LesseeBaseEx[[#This Row],[Incl. Options
End Date]]&gt;0,LesseeBaseEx[[#This Row],[Incl. Options
End Date]],LesseeBaseEx[[#This Row],[Initial Period
End Date]])</f>
        <v>0</v>
      </c>
      <c r="AI10" s="15" t="e" cm="1">
        <f t="array" ref="AI10">ROUND(ROUND((LesseeBaseEx[[#This Row],[Payment
EndDate]]-LesseeBaseEx[[#This Row],[Payment
StartDate]])/365,2)*_xlfn.IFS(LesseeBaseEx[[#This Row],[Payment
Frequency]]="MO",12,LesseeBaseEx[[#This Row],[Payment
Frequency]]="QT",4,LesseeBaseEx[[#This Row],[Payment
Frequency]]="SA",2,LesseeBaseEx[[#This Row],[Payment
Frequency]]="AN",1),0)</f>
        <v>#N/A</v>
      </c>
      <c r="AJ10" s="19" t="e">
        <f>ROUND(LesseeBaseEx[[#This Row],[Payment
Amount]]*LesseeBaseEx[[#This Row],[Number of
 Payments]],2)</f>
        <v>#N/A</v>
      </c>
      <c r="AK10"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10" s="19" t="e">
        <f>IF(LesseeBaseEx[[#This Row],[Multi-
Record2]]="Multi-Amount", "calc on import",LesseeBaseEx[[#This Row],[Total Amount
of Payments]]-LesseeBaseEx[[#This Row],[Present
Value]])</f>
        <v>#N/A</v>
      </c>
      <c r="AM10" s="19" t="e">
        <f>LesseeBaseEx[[#This Row],[Present
Value]]</f>
        <v>#DIV/0!</v>
      </c>
      <c r="AO10" s="19" t="e">
        <f>IF(LesseeBaseEx[[#This Row],[Multi-
Record2]]="Multi-Amount", "calc on import",LesseeBaseEx[[#This Row],[Total
CapitalizedValue]]-LesseeBaseEx[[#This Row],[Capitalized
ResidualValue]])</f>
        <v>#DIV/0!</v>
      </c>
      <c r="AP10" s="19" t="e">
        <f>LesseeBaseEx[[#This Row],[Calc Amount
to Amortize]]</f>
        <v>#DIV/0!</v>
      </c>
      <c r="AQ10" t="s">
        <v>296</v>
      </c>
      <c r="AR10" s="15" t="str">
        <f>IF(LesseeBaseEx[[#This Row],[RoU Asset
AmortizationMethod]] = "Declining Balance", "Enter %","")</f>
        <v/>
      </c>
      <c r="AS10" s="15" t="str">
        <f>IF(LesseeBaseEx[[#This Row],[RoU Asset
AmortizationMethod]]="Usage Based","Enter Usage Base","")</f>
        <v/>
      </c>
      <c r="AT10" s="15" t="str">
        <f>IF(LesseeBaseEx[[#This Row],[RoU Asset
AmortizationMethod]]="Usage Based","Enter Usage UoM","")</f>
        <v/>
      </c>
      <c r="AV10" s="17">
        <f>IF(LesseeBaseEx[[#This Row],[Incl. Options
End Date]]&gt;0,LesseeBaseEx[[#This Row],[Incl. Options
End Date]],LesseeBaseEx[[#This Row],[Initial Period
End Date]])</f>
        <v>0</v>
      </c>
      <c r="AW10" s="3" t="s">
        <v>321</v>
      </c>
      <c r="AX10" s="15" cm="1">
        <f t="array" ref="AX10">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0</v>
      </c>
    </row>
    <row r="11" spans="1:60" x14ac:dyDescent="0.25">
      <c r="A11" t="s">
        <v>509</v>
      </c>
      <c r="B11">
        <f>'Agency Cover'!$B$3</f>
        <v>0</v>
      </c>
      <c r="C11" t="s">
        <v>643</v>
      </c>
      <c r="D11" t="s">
        <v>545</v>
      </c>
      <c r="E11" s="15">
        <f>COUNTIF(LesseeBaseEx[AgreementCode],LesseeBaseEx[[#This Row],[AgreementCode]])</f>
        <v>3</v>
      </c>
      <c r="F11" t="s">
        <v>640</v>
      </c>
      <c r="G11" s="15">
        <f>COUNTIF(LesseeBaseEx[AgreementTitle],LesseeBaseEx[[#This Row],[AgreementTitle]])</f>
        <v>3</v>
      </c>
      <c r="I11" t="s">
        <v>271</v>
      </c>
      <c r="J11" t="s">
        <v>1</v>
      </c>
      <c r="K11" t="s">
        <v>624</v>
      </c>
      <c r="L11" s="17">
        <v>43252</v>
      </c>
      <c r="M11" s="17">
        <v>46904</v>
      </c>
      <c r="N11" s="17">
        <v>46905</v>
      </c>
      <c r="O11" s="17">
        <v>48730</v>
      </c>
      <c r="S11" s="25">
        <f>LEN(LesseeBaseEx[[#This Row],[Comments]])</f>
        <v>0</v>
      </c>
      <c r="T11" s="3" t="str">
        <f>LesseeBaseEx[[#This Row],[Multi-
Record]]</f>
        <v>Multi-Provision</v>
      </c>
      <c r="U11" t="s">
        <v>267</v>
      </c>
      <c r="V11" t="s">
        <v>627</v>
      </c>
      <c r="W11" s="15" t="s">
        <v>267</v>
      </c>
      <c r="X11" t="s">
        <v>629</v>
      </c>
      <c r="Y11"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11" s="15" t="str">
        <f>LesseeBaseEx[[#This Row],[ProvisionType]]</f>
        <v>Land</v>
      </c>
      <c r="AA11" s="17">
        <v>44013</v>
      </c>
      <c r="AB11" s="17">
        <f>IF(LesseeBaseEx[[#This Row],[Incl. Options
End Date]]&gt;0,LesseeBaseEx[[#This Row],[Incl. Options
End Date]],LesseeBaseEx[[#This Row],[Initial Period
End Date]])</f>
        <v>48730</v>
      </c>
      <c r="AC11" s="19">
        <v>1200</v>
      </c>
      <c r="AD11" t="s">
        <v>321</v>
      </c>
      <c r="AE11" t="s">
        <v>320</v>
      </c>
      <c r="AF11" s="20">
        <v>2.2499999999999999E-2</v>
      </c>
      <c r="AG11" s="17">
        <v>43252</v>
      </c>
      <c r="AH11" s="17">
        <v>48730</v>
      </c>
      <c r="AI11" s="15" cm="1">
        <f t="array" ref="AI11">ROUND(ROUND((LesseeBaseEx[[#This Row],[Payment
EndDate]]-LesseeBaseEx[[#This Row],[Payment
StartDate]])/365,2)*_xlfn.IFS(LesseeBaseEx[[#This Row],[Payment
Frequency]]="MO",12,LesseeBaseEx[[#This Row],[Payment
Frequency]]="QT",4,LesseeBaseEx[[#This Row],[Payment
Frequency]]="SA",2,LesseeBaseEx[[#This Row],[Payment
Frequency]]="AN",1),0)</f>
        <v>180</v>
      </c>
      <c r="AJ11" s="19">
        <f>ROUND(LesseeBaseEx[[#This Row],[Payment
Amount]]*LesseeBaseEx[[#This Row],[Number of
 Payments]],2)</f>
        <v>216000</v>
      </c>
      <c r="AK11"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183525.87</v>
      </c>
      <c r="AL11" s="19">
        <f>IF(LesseeBaseEx[[#This Row],[Multi-
Record2]]="Multi-Amount", "calc on import",LesseeBaseEx[[#This Row],[Total Amount
of Payments]]-LesseeBaseEx[[#This Row],[Present
Value]])</f>
        <v>32474.130000000005</v>
      </c>
      <c r="AM11" s="19">
        <f>LesseeBaseEx[[#This Row],[Present
Value]]</f>
        <v>183525.87</v>
      </c>
      <c r="AN11" s="19">
        <v>0</v>
      </c>
      <c r="AO11" s="19">
        <f>IF(LesseeBaseEx[[#This Row],[Multi-
Record2]]="Multi-Amount", "calc on import",LesseeBaseEx[[#This Row],[Total
CapitalizedValue]]-LesseeBaseEx[[#This Row],[Capitalized
ResidualValue]])</f>
        <v>183525.87</v>
      </c>
      <c r="AP11" s="19">
        <f>LesseeBaseEx[[#This Row],[Calc Amount
to Amortize]]</f>
        <v>183525.87</v>
      </c>
      <c r="AQ11" t="s">
        <v>296</v>
      </c>
      <c r="AR11" s="15" t="str">
        <f>IF(LesseeBaseEx[[#This Row],[RoU Asset
AmortizationMethod]] = "Declining Balance", "Enter %","")</f>
        <v/>
      </c>
      <c r="AS11" s="15" t="str">
        <f>IF(LesseeBaseEx[[#This Row],[RoU Asset
AmortizationMethod]]="Usage Based","Enter Usage Base","")</f>
        <v/>
      </c>
      <c r="AT11" s="15" t="str">
        <f>IF(LesseeBaseEx[[#This Row],[RoU Asset
AmortizationMethod]]="Usage Based","Enter Usage UoM","")</f>
        <v/>
      </c>
      <c r="AU11" s="17">
        <v>43252</v>
      </c>
      <c r="AV11" s="17">
        <f>IF(LesseeBaseEx[[#This Row],[Incl. Options
End Date]]&gt;0,LesseeBaseEx[[#This Row],[Incl. Options
End Date]],LesseeBaseEx[[#This Row],[Initial Period
End Date]])</f>
        <v>48730</v>
      </c>
      <c r="AW11" s="3" t="s">
        <v>321</v>
      </c>
      <c r="AX11" s="15" cm="1">
        <f t="array" ref="AX11">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180</v>
      </c>
    </row>
    <row r="12" spans="1:60" x14ac:dyDescent="0.25">
      <c r="A12" t="s">
        <v>509</v>
      </c>
      <c r="B12">
        <f>'Agency Cover'!$B$3</f>
        <v>0</v>
      </c>
      <c r="C12" t="s">
        <v>643</v>
      </c>
      <c r="D12" t="s">
        <v>545</v>
      </c>
      <c r="E12" s="15">
        <f>COUNTIF(LesseeBaseEx[AgreementCode],LesseeBaseEx[[#This Row],[AgreementCode]])</f>
        <v>3</v>
      </c>
      <c r="F12" t="s">
        <v>640</v>
      </c>
      <c r="G12" s="15">
        <f>COUNTIF(LesseeBaseEx[AgreementTitle],LesseeBaseEx[[#This Row],[AgreementTitle]])</f>
        <v>3</v>
      </c>
      <c r="I12" t="s">
        <v>271</v>
      </c>
      <c r="J12" t="s">
        <v>1</v>
      </c>
      <c r="K12" t="s">
        <v>624</v>
      </c>
      <c r="L12" s="17">
        <v>43252</v>
      </c>
      <c r="M12" s="17">
        <v>46904</v>
      </c>
      <c r="N12" s="17">
        <v>46905</v>
      </c>
      <c r="O12" s="17">
        <v>48730</v>
      </c>
      <c r="R12" s="17"/>
      <c r="S12" s="25">
        <f>LEN(LesseeBaseEx[[#This Row],[Comments]])</f>
        <v>0</v>
      </c>
      <c r="T12" s="3" t="str">
        <f>LesseeBaseEx[[#This Row],[Multi-
Record]]</f>
        <v>Multi-Provision</v>
      </c>
      <c r="U12" t="s">
        <v>566</v>
      </c>
      <c r="V12" t="s">
        <v>614</v>
      </c>
      <c r="W12" s="15" t="str">
        <f>LesseeBaseEx[[#This Row],[AgreementType]]</f>
        <v>Buildings</v>
      </c>
      <c r="X12" t="s">
        <v>630</v>
      </c>
      <c r="Y12"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12" s="15" t="str">
        <f>LesseeBaseEx[[#This Row],[ProvisionType]]</f>
        <v>Buildings</v>
      </c>
      <c r="AA12" s="17">
        <v>44013</v>
      </c>
      <c r="AB12" s="17">
        <f>IF(LesseeBaseEx[[#This Row],[Incl. Options
End Date]]&gt;0,LesseeBaseEx[[#This Row],[Incl. Options
End Date]],LesseeBaseEx[[#This Row],[Initial Period
End Date]])</f>
        <v>48730</v>
      </c>
      <c r="AC12" s="19">
        <v>3500</v>
      </c>
      <c r="AD12" t="s">
        <v>321</v>
      </c>
      <c r="AE12" t="s">
        <v>320</v>
      </c>
      <c r="AF12" s="20">
        <v>2.75E-2</v>
      </c>
      <c r="AG12" s="17">
        <v>43252</v>
      </c>
      <c r="AH12" s="17">
        <v>48730</v>
      </c>
      <c r="AI12" s="15" cm="1">
        <f t="array" ref="AI12">ROUND(ROUND((LesseeBaseEx[[#This Row],[Payment
EndDate]]-LesseeBaseEx[[#This Row],[Payment
StartDate]])/365,2)*_xlfn.IFS(LesseeBaseEx[[#This Row],[Payment
Frequency]]="MO",12,LesseeBaseEx[[#This Row],[Payment
Frequency]]="QT",4,LesseeBaseEx[[#This Row],[Payment
Frequency]]="SA",2,LesseeBaseEx[[#This Row],[Payment
Frequency]]="AN",1),0)</f>
        <v>180</v>
      </c>
      <c r="AJ12" s="19">
        <f>ROUND(LesseeBaseEx[[#This Row],[Payment
Amount]]*LesseeBaseEx[[#This Row],[Number of
 Payments]],2)</f>
        <v>630000</v>
      </c>
      <c r="AK12"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516933.24</v>
      </c>
      <c r="AL12" s="19">
        <f>IF(LesseeBaseEx[[#This Row],[Multi-
Record2]]="Multi-Amount", "calc on import",LesseeBaseEx[[#This Row],[Total Amount
of Payments]]-LesseeBaseEx[[#This Row],[Present
Value]])</f>
        <v>113066.76000000001</v>
      </c>
      <c r="AM12" s="19">
        <f>LesseeBaseEx[[#This Row],[Present
Value]]</f>
        <v>516933.24</v>
      </c>
      <c r="AN12" s="19">
        <v>0</v>
      </c>
      <c r="AO12" s="19">
        <f>IF(LesseeBaseEx[[#This Row],[Multi-
Record2]]="Multi-Amount", "calc on import",LesseeBaseEx[[#This Row],[Total
CapitalizedValue]]-LesseeBaseEx[[#This Row],[Capitalized
ResidualValue]])</f>
        <v>516933.24</v>
      </c>
      <c r="AP12" s="19">
        <f>LesseeBaseEx[[#This Row],[Calc Amount
to Amortize]]</f>
        <v>516933.24</v>
      </c>
      <c r="AQ12" t="s">
        <v>296</v>
      </c>
      <c r="AR12" s="15" t="str">
        <f>IF(LesseeBaseEx[[#This Row],[RoU Asset
AmortizationMethod]] = "Declining Balance", "Enter %","")</f>
        <v/>
      </c>
      <c r="AS12" s="15" t="str">
        <f>IF(LesseeBaseEx[[#This Row],[RoU Asset
AmortizationMethod]]="Usage Based","Enter Usage Base","")</f>
        <v/>
      </c>
      <c r="AT12" s="15" t="str">
        <f>IF(LesseeBaseEx[[#This Row],[RoU Asset
AmortizationMethod]]="Usage Based","Enter Usage UoM","")</f>
        <v/>
      </c>
      <c r="AU12" s="17">
        <v>43252</v>
      </c>
      <c r="AV12" s="17">
        <f>IF(LesseeBaseEx[[#This Row],[Incl. Options
End Date]]&gt;0,LesseeBaseEx[[#This Row],[Incl. Options
End Date]],LesseeBaseEx[[#This Row],[Initial Period
End Date]])</f>
        <v>48730</v>
      </c>
      <c r="AW12" s="3" t="s">
        <v>321</v>
      </c>
      <c r="AX12" s="15" cm="1">
        <f t="array" ref="AX12">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180</v>
      </c>
    </row>
    <row r="13" spans="1:60" x14ac:dyDescent="0.25">
      <c r="A13" t="s">
        <v>509</v>
      </c>
      <c r="B13">
        <f>'Agency Cover'!$B$3</f>
        <v>0</v>
      </c>
      <c r="C13" t="s">
        <v>643</v>
      </c>
      <c r="D13" t="s">
        <v>545</v>
      </c>
      <c r="E13" s="15">
        <f>COUNTIF(LesseeBaseEx[AgreementCode],LesseeBaseEx[[#This Row],[AgreementCode]])</f>
        <v>3</v>
      </c>
      <c r="F13" t="s">
        <v>640</v>
      </c>
      <c r="G13" s="15">
        <f>COUNTIF(LesseeBaseEx[AgreementTitle],LesseeBaseEx[[#This Row],[AgreementTitle]])</f>
        <v>3</v>
      </c>
      <c r="I13" t="s">
        <v>271</v>
      </c>
      <c r="J13" t="s">
        <v>1</v>
      </c>
      <c r="K13" t="s">
        <v>624</v>
      </c>
      <c r="L13" s="17">
        <v>43252</v>
      </c>
      <c r="M13" s="17">
        <v>46904</v>
      </c>
      <c r="N13" s="17">
        <v>46905</v>
      </c>
      <c r="O13" s="17">
        <v>48730</v>
      </c>
      <c r="R13" s="17"/>
      <c r="S13" s="25">
        <f>LEN(LesseeBaseEx[[#This Row],[Comments]])</f>
        <v>0</v>
      </c>
      <c r="T13" s="3" t="str">
        <f>LesseeBaseEx[[#This Row],[Multi-
Record]]</f>
        <v>Multi-Provision</v>
      </c>
      <c r="U13" t="s">
        <v>615</v>
      </c>
      <c r="V13" t="s">
        <v>628</v>
      </c>
      <c r="W13" s="15" t="s">
        <v>263</v>
      </c>
      <c r="X13" t="s">
        <v>631</v>
      </c>
      <c r="Y13" t="s">
        <v>291</v>
      </c>
      <c r="Z13" s="15" t="str">
        <f>LesseeBaseEx[[#This Row],[ProvisionType]]</f>
        <v>Services</v>
      </c>
      <c r="AB13" s="17">
        <f>IF(LesseeBaseEx[[#This Row],[Incl. Options
End Date]]&gt;0,LesseeBaseEx[[#This Row],[Incl. Options
End Date]],LesseeBaseEx[[#This Row],[Initial Period
End Date]])</f>
        <v>48730</v>
      </c>
      <c r="AI13" s="15" t="e" cm="1">
        <f t="array" ref="AI13">ROUND(ROUND((LesseeBaseEx[[#This Row],[Payment
EndDate]]-LesseeBaseEx[[#This Row],[Payment
StartDate]])/365,2)*_xlfn.IFS(LesseeBaseEx[[#This Row],[Payment
Frequency]]="MO",12,LesseeBaseEx[[#This Row],[Payment
Frequency]]="QT",4,LesseeBaseEx[[#This Row],[Payment
Frequency]]="SA",2,LesseeBaseEx[[#This Row],[Payment
Frequency]]="AN",1),0)</f>
        <v>#N/A</v>
      </c>
      <c r="AJ13" s="19" t="e">
        <f>ROUND(LesseeBaseEx[[#This Row],[Payment
Amount]]*LesseeBaseEx[[#This Row],[Number of
 Payments]],2)</f>
        <v>#N/A</v>
      </c>
      <c r="AK13"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13" s="19" t="e">
        <f>IF(LesseeBaseEx[[#This Row],[Multi-
Record2]]="Multi-Amount", "calc on import",LesseeBaseEx[[#This Row],[Total Amount
of Payments]]-LesseeBaseEx[[#This Row],[Present
Value]])</f>
        <v>#N/A</v>
      </c>
      <c r="AM13" s="19" t="e">
        <f>LesseeBaseEx[[#This Row],[Present
Value]]</f>
        <v>#DIV/0!</v>
      </c>
      <c r="AO13" s="19" t="e">
        <f>IF(LesseeBaseEx[[#This Row],[Multi-
Record2]]="Multi-Amount", "calc on import",LesseeBaseEx[[#This Row],[Total
CapitalizedValue]]-LesseeBaseEx[[#This Row],[Capitalized
ResidualValue]])</f>
        <v>#DIV/0!</v>
      </c>
      <c r="AP13" s="19" t="e">
        <f>LesseeBaseEx[[#This Row],[Calc Amount
to Amortize]]</f>
        <v>#DIV/0!</v>
      </c>
      <c r="AQ13" t="s">
        <v>296</v>
      </c>
      <c r="AR13" s="15" t="str">
        <f>IF(LesseeBaseEx[[#This Row],[RoU Asset
AmortizationMethod]] = "Declining Balance", "Enter %","")</f>
        <v/>
      </c>
      <c r="AS13" s="15" t="str">
        <f>IF(LesseeBaseEx[[#This Row],[RoU Asset
AmortizationMethod]]="Usage Based","Enter Usage Base","")</f>
        <v/>
      </c>
      <c r="AT13" s="15" t="str">
        <f>IF(LesseeBaseEx[[#This Row],[RoU Asset
AmortizationMethod]]="Usage Based","Enter Usage UoM","")</f>
        <v/>
      </c>
      <c r="AV13" s="17">
        <f>IF(LesseeBaseEx[[#This Row],[Incl. Options
End Date]]&gt;0,LesseeBaseEx[[#This Row],[Incl. Options
End Date]],LesseeBaseEx[[#This Row],[Initial Period
End Date]])</f>
        <v>48730</v>
      </c>
      <c r="AW13" s="3" t="s">
        <v>321</v>
      </c>
      <c r="AX13" s="15" cm="1">
        <f t="array" ref="AX13">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1602</v>
      </c>
    </row>
    <row r="14" spans="1:60" x14ac:dyDescent="0.25">
      <c r="A14" t="s">
        <v>509</v>
      </c>
      <c r="B14">
        <f>'Agency Cover'!$B$3</f>
        <v>0</v>
      </c>
      <c r="C14" t="s">
        <v>642</v>
      </c>
      <c r="D14" t="s">
        <v>545</v>
      </c>
      <c r="E14" s="15">
        <f>COUNTIF(LesseeBaseEx[AgreementCode],LesseeBaseEx[[#This Row],[AgreementCode]])</f>
        <v>2</v>
      </c>
      <c r="F14" t="s">
        <v>641</v>
      </c>
      <c r="G14" s="15">
        <f>COUNTIF(LesseeBaseEx[AgreementTitle],LesseeBaseEx[[#This Row],[AgreementTitle]])</f>
        <v>2</v>
      </c>
      <c r="I14" t="s">
        <v>275</v>
      </c>
      <c r="J14" t="s">
        <v>1</v>
      </c>
      <c r="K14" t="s">
        <v>624</v>
      </c>
      <c r="L14" s="17">
        <v>43525</v>
      </c>
      <c r="M14" s="17">
        <v>45351</v>
      </c>
      <c r="P14" s="17">
        <v>45352</v>
      </c>
      <c r="Q14" s="17">
        <v>46081</v>
      </c>
      <c r="R14" s="17"/>
      <c r="S14" s="25">
        <f>LEN(LesseeBaseEx[[#This Row],[Comments]])</f>
        <v>0</v>
      </c>
      <c r="T14" s="3" t="str">
        <f>LesseeBaseEx[[#This Row],[Multi-
Record]]</f>
        <v>Multi-Provision</v>
      </c>
      <c r="U14" t="s">
        <v>625</v>
      </c>
      <c r="V14" t="s">
        <v>632</v>
      </c>
      <c r="W14" s="15" t="str">
        <f>LesseeBaseEx[[#This Row],[AgreementType]]</f>
        <v>Vehicles</v>
      </c>
      <c r="X14" t="s">
        <v>632</v>
      </c>
      <c r="Y14"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14" s="15" t="str">
        <f>LesseeBaseEx[[#This Row],[ProvisionType]]</f>
        <v>Vehicles</v>
      </c>
      <c r="AA14" s="17">
        <v>44013</v>
      </c>
      <c r="AB14" s="17">
        <f>IF(LesseeBaseEx[[#This Row],[Incl. Options
End Date]]&gt;0,LesseeBaseEx[[#This Row],[Incl. Options
End Date]],LesseeBaseEx[[#This Row],[Initial Period
End Date]])</f>
        <v>45351</v>
      </c>
      <c r="AC14" s="19">
        <v>750</v>
      </c>
      <c r="AD14" t="s">
        <v>321</v>
      </c>
      <c r="AE14" t="s">
        <v>320</v>
      </c>
      <c r="AF14" s="20">
        <v>0.03</v>
      </c>
      <c r="AG14" s="17">
        <v>43525</v>
      </c>
      <c r="AH14" s="17">
        <v>45351</v>
      </c>
      <c r="AI14" s="15" cm="1">
        <f t="array" ref="AI14">ROUND(ROUND((LesseeBaseEx[[#This Row],[Payment
EndDate]]-LesseeBaseEx[[#This Row],[Payment
StartDate]])/365,2)*_xlfn.IFS(LesseeBaseEx[[#This Row],[Payment
Frequency]]="MO",12,LesseeBaseEx[[#This Row],[Payment
Frequency]]="QT",4,LesseeBaseEx[[#This Row],[Payment
Frequency]]="SA",2,LesseeBaseEx[[#This Row],[Payment
Frequency]]="AN",1),0)</f>
        <v>60</v>
      </c>
      <c r="AJ14" s="19">
        <f>ROUND(LesseeBaseEx[[#This Row],[Payment
Amount]]*LesseeBaseEx[[#This Row],[Number of
 Payments]],2)</f>
        <v>45000</v>
      </c>
      <c r="AK14"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41843.620000000003</v>
      </c>
      <c r="AL14" s="19">
        <f>IF(LesseeBaseEx[[#This Row],[Multi-
Record2]]="Multi-Amount", "calc on import",LesseeBaseEx[[#This Row],[Total Amount
of Payments]]-LesseeBaseEx[[#This Row],[Present
Value]])</f>
        <v>3156.3799999999974</v>
      </c>
      <c r="AM14" s="19">
        <f>LesseeBaseEx[[#This Row],[Present
Value]]</f>
        <v>41843.620000000003</v>
      </c>
      <c r="AN14" s="19">
        <v>0</v>
      </c>
      <c r="AO14" s="19">
        <f>IF(LesseeBaseEx[[#This Row],[Multi-
Record2]]="Multi-Amount", "calc on import",LesseeBaseEx[[#This Row],[Total
CapitalizedValue]]-LesseeBaseEx[[#This Row],[Capitalized
ResidualValue]])</f>
        <v>41843.620000000003</v>
      </c>
      <c r="AP14" s="19">
        <f>LesseeBaseEx[[#This Row],[Calc Amount
to Amortize]]</f>
        <v>41843.620000000003</v>
      </c>
      <c r="AQ14" t="s">
        <v>296</v>
      </c>
      <c r="AR14" s="15" t="str">
        <f>IF(LesseeBaseEx[[#This Row],[RoU Asset
AmortizationMethod]] = "Declining Balance", "Enter %","")</f>
        <v/>
      </c>
      <c r="AS14" s="15" t="str">
        <f>IF(LesseeBaseEx[[#This Row],[RoU Asset
AmortizationMethod]]="Usage Based","Enter Usage Base","")</f>
        <v/>
      </c>
      <c r="AT14" s="15" t="str">
        <f>IF(LesseeBaseEx[[#This Row],[RoU Asset
AmortizationMethod]]="Usage Based","Enter Usage UoM","")</f>
        <v/>
      </c>
      <c r="AU14" s="17">
        <v>43525</v>
      </c>
      <c r="AV14" s="17">
        <f>IF(LesseeBaseEx[[#This Row],[Incl. Options
End Date]]&gt;0,LesseeBaseEx[[#This Row],[Incl. Options
End Date]],LesseeBaseEx[[#This Row],[Initial Period
End Date]])</f>
        <v>45351</v>
      </c>
      <c r="AW14" s="3" t="s">
        <v>321</v>
      </c>
      <c r="AX14" s="15" cm="1">
        <f t="array" ref="AX14">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60</v>
      </c>
    </row>
    <row r="15" spans="1:60" x14ac:dyDescent="0.25">
      <c r="A15" t="s">
        <v>509</v>
      </c>
      <c r="B15">
        <f>'Agency Cover'!$B$3</f>
        <v>0</v>
      </c>
      <c r="C15" t="s">
        <v>642</v>
      </c>
      <c r="D15" t="s">
        <v>545</v>
      </c>
      <c r="E15" s="15">
        <f>COUNTIF(LesseeBaseEx[AgreementCode],LesseeBaseEx[[#This Row],[AgreementCode]])</f>
        <v>2</v>
      </c>
      <c r="F15" t="s">
        <v>641</v>
      </c>
      <c r="G15" s="15">
        <f>COUNTIF(LesseeBaseEx[AgreementTitle],LesseeBaseEx[[#This Row],[AgreementTitle]])</f>
        <v>2</v>
      </c>
      <c r="I15" t="s">
        <v>275</v>
      </c>
      <c r="J15" t="s">
        <v>1</v>
      </c>
      <c r="K15" t="s">
        <v>624</v>
      </c>
      <c r="L15" s="17">
        <v>43525</v>
      </c>
      <c r="M15" s="17">
        <v>45351</v>
      </c>
      <c r="P15" s="17">
        <v>45352</v>
      </c>
      <c r="Q15" s="17">
        <v>46081</v>
      </c>
      <c r="R15" s="17"/>
      <c r="S15" s="25">
        <f>LEN(LesseeBaseEx[[#This Row],[Comments]])</f>
        <v>0</v>
      </c>
      <c r="T15" s="3" t="str">
        <f>LesseeBaseEx[[#This Row],[Multi-
Record]]</f>
        <v>Multi-Provision</v>
      </c>
      <c r="U15" t="s">
        <v>626</v>
      </c>
      <c r="V15" t="s">
        <v>650</v>
      </c>
      <c r="W15" s="15" t="str">
        <f>LesseeBaseEx[[#This Row],[AgreementType]]</f>
        <v>Vehicles</v>
      </c>
      <c r="X15" t="s">
        <v>650</v>
      </c>
      <c r="Y15"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15" s="15" t="str">
        <f>LesseeBaseEx[[#This Row],[ProvisionType]]</f>
        <v>Vehicles</v>
      </c>
      <c r="AA15" s="17">
        <v>44013</v>
      </c>
      <c r="AB15" s="17">
        <f>IF(LesseeBaseEx[[#This Row],[Incl. Options
End Date]]&gt;0,LesseeBaseEx[[#This Row],[Incl. Options
End Date]],LesseeBaseEx[[#This Row],[Initial Period
End Date]])</f>
        <v>45351</v>
      </c>
      <c r="AC15" s="19">
        <v>975</v>
      </c>
      <c r="AD15" t="s">
        <v>321</v>
      </c>
      <c r="AE15" t="s">
        <v>320</v>
      </c>
      <c r="AF15" s="20">
        <v>0.03</v>
      </c>
      <c r="AG15" s="17">
        <v>43525</v>
      </c>
      <c r="AH15" s="17">
        <v>45351</v>
      </c>
      <c r="AI15" s="15" cm="1">
        <f t="array" ref="AI15">ROUND(ROUND((LesseeBaseEx[[#This Row],[Payment
EndDate]]-LesseeBaseEx[[#This Row],[Payment
StartDate]])/365,2)*_xlfn.IFS(LesseeBaseEx[[#This Row],[Payment
Frequency]]="MO",12,LesseeBaseEx[[#This Row],[Payment
Frequency]]="QT",4,LesseeBaseEx[[#This Row],[Payment
Frequency]]="SA",2,LesseeBaseEx[[#This Row],[Payment
Frequency]]="AN",1),0)</f>
        <v>60</v>
      </c>
      <c r="AJ15" s="19">
        <f>ROUND(LesseeBaseEx[[#This Row],[Payment
Amount]]*LesseeBaseEx[[#This Row],[Number of
 Payments]],2)</f>
        <v>58500</v>
      </c>
      <c r="AK15"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54396.7</v>
      </c>
      <c r="AL15" s="19">
        <f>IF(LesseeBaseEx[[#This Row],[Multi-
Record2]]="Multi-Amount", "calc on import",LesseeBaseEx[[#This Row],[Total Amount
of Payments]]-LesseeBaseEx[[#This Row],[Present
Value]])</f>
        <v>4103.3000000000029</v>
      </c>
      <c r="AM15" s="19">
        <f>LesseeBaseEx[[#This Row],[Present
Value]]</f>
        <v>54396.7</v>
      </c>
      <c r="AN15" s="19">
        <v>0</v>
      </c>
      <c r="AO15" s="19">
        <f>IF(LesseeBaseEx[[#This Row],[Multi-
Record2]]="Multi-Amount", "calc on import",LesseeBaseEx[[#This Row],[Total
CapitalizedValue]]-LesseeBaseEx[[#This Row],[Capitalized
ResidualValue]])</f>
        <v>54396.7</v>
      </c>
      <c r="AP15" s="19">
        <f>LesseeBaseEx[[#This Row],[Calc Amount
to Amortize]]</f>
        <v>54396.7</v>
      </c>
      <c r="AQ15" t="s">
        <v>296</v>
      </c>
      <c r="AR15" s="15" t="str">
        <f>IF(LesseeBaseEx[[#This Row],[RoU Asset
AmortizationMethod]] = "Declining Balance", "Enter %","")</f>
        <v/>
      </c>
      <c r="AS15" s="15" t="str">
        <f>IF(LesseeBaseEx[[#This Row],[RoU Asset
AmortizationMethod]]="Usage Based","Enter Usage Base","")</f>
        <v/>
      </c>
      <c r="AT15" s="15" t="str">
        <f>IF(LesseeBaseEx[[#This Row],[RoU Asset
AmortizationMethod]]="Usage Based","Enter Usage UoM","")</f>
        <v/>
      </c>
      <c r="AU15" s="17">
        <v>43525</v>
      </c>
      <c r="AV15" s="17">
        <f>IF(LesseeBaseEx[[#This Row],[Incl. Options
End Date]]&gt;0,LesseeBaseEx[[#This Row],[Incl. Options
End Date]],LesseeBaseEx[[#This Row],[Initial Period
End Date]])</f>
        <v>45351</v>
      </c>
      <c r="AW15" s="3" t="s">
        <v>321</v>
      </c>
      <c r="AX15" s="15" cm="1">
        <f t="array" ref="AX15">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60</v>
      </c>
    </row>
    <row r="16" spans="1:60" x14ac:dyDescent="0.25">
      <c r="E16" s="15"/>
      <c r="G16" s="15"/>
      <c r="R16" s="17"/>
      <c r="S16" s="25"/>
      <c r="W16" s="15"/>
      <c r="Y16"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None</v>
      </c>
      <c r="Z16" s="15">
        <f>LesseeBaseEx[[#This Row],[ProvisionType]]</f>
        <v>0</v>
      </c>
      <c r="AB16" s="17">
        <f>IF(LesseeBaseEx[[#This Row],[Incl. Options
End Date]]&gt;0,LesseeBaseEx[[#This Row],[Incl. Options
End Date]],LesseeBaseEx[[#This Row],[Initial Period
End Date]])</f>
        <v>0</v>
      </c>
      <c r="AI16" s="15" t="e" cm="1">
        <f t="array" ref="AI16">ROUND(ROUND((LesseeBaseEx[[#This Row],[Payment
EndDate]]-LesseeBaseEx[[#This Row],[Payment
StartDate]])/365,2)*_xlfn.IFS(LesseeBaseEx[[#This Row],[Payment
Frequency]]="MO",12,LesseeBaseEx[[#This Row],[Payment
Frequency]]="QT",4,LesseeBaseEx[[#This Row],[Payment
Frequency]]="SA",2,LesseeBaseEx[[#This Row],[Payment
Frequency]]="AN",1),0)</f>
        <v>#N/A</v>
      </c>
      <c r="AJ16" s="19" t="e">
        <f>ROUND(LesseeBaseEx[[#This Row],[Payment
Amount]]*LesseeBaseEx[[#This Row],[Number of
 Payments]],2)</f>
        <v>#N/A</v>
      </c>
      <c r="AK16"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16" s="19" t="e">
        <f>IF(LesseeBaseEx[[#This Row],[Multi-
Record2]]="Multi-Amount", "calc on import",LesseeBaseEx[[#This Row],[Total Amount
of Payments]]-LesseeBaseEx[[#This Row],[Present
Value]])</f>
        <v>#N/A</v>
      </c>
      <c r="AM16" s="19" t="e">
        <f>LesseeBaseEx[[#This Row],[Present
Value]]</f>
        <v>#DIV/0!</v>
      </c>
      <c r="AO16" s="19" t="e">
        <f>IF(LesseeBaseEx[[#This Row],[Multi-
Record2]]="Multi-Amount", "calc on import",LesseeBaseEx[[#This Row],[Total
CapitalizedValue]]-LesseeBaseEx[[#This Row],[Capitalized
ResidualValue]])</f>
        <v>#DIV/0!</v>
      </c>
      <c r="AP16" s="19" t="e">
        <f>LesseeBaseEx[[#This Row],[Calc Amount
to Amortize]]</f>
        <v>#DIV/0!</v>
      </c>
      <c r="AQ16" t="s">
        <v>296</v>
      </c>
      <c r="AR16" s="15" t="str">
        <f>IF(LesseeBaseEx[[#This Row],[RoU Asset
AmortizationMethod]] = "Declining Balance", "Enter %","")</f>
        <v/>
      </c>
      <c r="AS16" s="15" t="str">
        <f>IF(LesseeBaseEx[[#This Row],[RoU Asset
AmortizationMethod]]="Usage Based","Enter Usage Base","")</f>
        <v/>
      </c>
      <c r="AT16" s="15" t="str">
        <f>IF(LesseeBaseEx[[#This Row],[RoU Asset
AmortizationMethod]]="Usage Based","Enter Usage UoM","")</f>
        <v/>
      </c>
      <c r="AV16" s="17">
        <f>IF(LesseeBaseEx[[#This Row],[Incl. Options
End Date]]&gt;0,LesseeBaseEx[[#This Row],[Incl. Options
End Date]],LesseeBaseEx[[#This Row],[Initial Period
End Date]])</f>
        <v>0</v>
      </c>
      <c r="AW16" s="3" t="s">
        <v>321</v>
      </c>
      <c r="AX16" s="15" cm="1">
        <f t="array" ref="AX16">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0</v>
      </c>
    </row>
    <row r="17" spans="1:50" x14ac:dyDescent="0.25">
      <c r="A17" s="108" t="s">
        <v>635</v>
      </c>
      <c r="B17" s="109"/>
      <c r="C17" s="109"/>
      <c r="D17" s="109"/>
      <c r="E17" s="109"/>
      <c r="F17" s="109"/>
      <c r="G17" s="109"/>
      <c r="H17" s="109"/>
      <c r="I17" s="109"/>
      <c r="J17" s="109"/>
      <c r="K17" s="109"/>
      <c r="L17" s="110"/>
      <c r="M17" s="110"/>
      <c r="N17" s="110"/>
      <c r="O17" s="110"/>
      <c r="P17" s="110"/>
      <c r="Q17" s="110"/>
      <c r="R17" s="109"/>
      <c r="S17" s="111"/>
      <c r="T17" s="111"/>
      <c r="U17" s="109"/>
      <c r="V17" s="109"/>
      <c r="W17" s="109"/>
      <c r="X17" s="109"/>
      <c r="Y17"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None</v>
      </c>
      <c r="Z17" s="15">
        <f>LesseeBaseEx[[#This Row],[ProvisionType]]</f>
        <v>0</v>
      </c>
      <c r="AB17" s="17">
        <f>IF(LesseeBaseEx[[#This Row],[Incl. Options
End Date]]&gt;0,LesseeBaseEx[[#This Row],[Incl. Options
End Date]],LesseeBaseEx[[#This Row],[Initial Period
End Date]])</f>
        <v>0</v>
      </c>
      <c r="AI17" s="15" t="e" cm="1">
        <f t="array" ref="AI17">ROUND(ROUND((LesseeBaseEx[[#This Row],[Payment
EndDate]]-LesseeBaseEx[[#This Row],[Payment
StartDate]])/365,2)*_xlfn.IFS(LesseeBaseEx[[#This Row],[Payment
Frequency]]="MO",12,LesseeBaseEx[[#This Row],[Payment
Frequency]]="QT",4,LesseeBaseEx[[#This Row],[Payment
Frequency]]="SA",2,LesseeBaseEx[[#This Row],[Payment
Frequency]]="AN",1),0)</f>
        <v>#N/A</v>
      </c>
      <c r="AJ17" s="19" t="e">
        <f>ROUND(LesseeBaseEx[[#This Row],[Payment
Amount]]*LesseeBaseEx[[#This Row],[Number of
 Payments]],2)</f>
        <v>#N/A</v>
      </c>
      <c r="AK17"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17" s="19" t="e">
        <f>IF(LesseeBaseEx[[#This Row],[Multi-
Record2]]="Multi-Amount", "calc on import",LesseeBaseEx[[#This Row],[Total Amount
of Payments]]-LesseeBaseEx[[#This Row],[Present
Value]])</f>
        <v>#N/A</v>
      </c>
      <c r="AM17" s="19" t="e">
        <f>LesseeBaseEx[[#This Row],[Present
Value]]</f>
        <v>#DIV/0!</v>
      </c>
      <c r="AO17" s="19" t="e">
        <f>IF(LesseeBaseEx[[#This Row],[Multi-
Record2]]="Multi-Amount", "calc on import",LesseeBaseEx[[#This Row],[Total
CapitalizedValue]]-LesseeBaseEx[[#This Row],[Capitalized
ResidualValue]])</f>
        <v>#DIV/0!</v>
      </c>
      <c r="AP17" s="19" t="e">
        <f>LesseeBaseEx[[#This Row],[Calc Amount
to Amortize]]</f>
        <v>#DIV/0!</v>
      </c>
      <c r="AQ17" t="s">
        <v>296</v>
      </c>
      <c r="AR17" s="15" t="str">
        <f>IF(LesseeBaseEx[[#This Row],[RoU Asset
AmortizationMethod]] = "Declining Balance", "Enter %","")</f>
        <v/>
      </c>
      <c r="AS17" s="15" t="str">
        <f>IF(LesseeBaseEx[[#This Row],[RoU Asset
AmortizationMethod]]="Usage Based","Enter Usage Base","")</f>
        <v/>
      </c>
      <c r="AT17" s="15" t="str">
        <f>IF(LesseeBaseEx[[#This Row],[RoU Asset
AmortizationMethod]]="Usage Based","Enter Usage UoM","")</f>
        <v/>
      </c>
      <c r="AV17" s="17">
        <f>IF(LesseeBaseEx[[#This Row],[Incl. Options
End Date]]&gt;0,LesseeBaseEx[[#This Row],[Incl. Options
End Date]],LesseeBaseEx[[#This Row],[Initial Period
End Date]])</f>
        <v>0</v>
      </c>
      <c r="AW17" s="3" t="s">
        <v>321</v>
      </c>
      <c r="AX17" s="15" cm="1">
        <f t="array" ref="AX17">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0</v>
      </c>
    </row>
    <row r="18" spans="1:50" x14ac:dyDescent="0.25">
      <c r="A18" t="s">
        <v>509</v>
      </c>
      <c r="B18">
        <f>'Agency Cover'!$B$3</f>
        <v>0</v>
      </c>
      <c r="C18" t="s">
        <v>644</v>
      </c>
      <c r="D18" t="s">
        <v>593</v>
      </c>
      <c r="E18" s="15">
        <f>COUNTIF(LesseeBaseEx[AgreementCode],LesseeBaseEx[[#This Row],[AgreementCode]])</f>
        <v>3</v>
      </c>
      <c r="F18" t="s">
        <v>645</v>
      </c>
      <c r="G18" s="15">
        <f>COUNTIF(LesseeBaseEx[AgreementTitle],LesseeBaseEx[[#This Row],[AgreementTitle]])</f>
        <v>3</v>
      </c>
      <c r="I18" t="s">
        <v>271</v>
      </c>
      <c r="J18" t="s">
        <v>1</v>
      </c>
      <c r="K18" t="s">
        <v>633</v>
      </c>
      <c r="L18" s="17">
        <v>43678</v>
      </c>
      <c r="M18" s="17">
        <v>46234</v>
      </c>
      <c r="R18" s="17"/>
      <c r="S18" s="25">
        <f>LEN(LesseeBaseEx[[#This Row],[Comments]])</f>
        <v>0</v>
      </c>
      <c r="T18" s="3" t="str">
        <f>LesseeBaseEx[[#This Row],[Multi-
Record]]</f>
        <v>Multi-Amount</v>
      </c>
      <c r="U18" t="str">
        <f>LesseeBaseEx[[#This Row],[AgreementCode]]</f>
        <v>000-2020-012</v>
      </c>
      <c r="V18" t="str">
        <f>LEFT(LesseeBaseEx[[#This Row],[AgreementTitle]],50)</f>
        <v>000-2020 - Maintenance Facility - OKC West - PO 24</v>
      </c>
      <c r="W18" s="15" t="str">
        <f>LesseeBaseEx[[#This Row],[AgreementType]]</f>
        <v>Buildings</v>
      </c>
      <c r="Y18"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18" s="15" t="str">
        <f>LesseeBaseEx[[#This Row],[ProvisionType]]</f>
        <v>Buildings</v>
      </c>
      <c r="AA18" s="17">
        <v>44013</v>
      </c>
      <c r="AB18" s="17">
        <f>IF(LesseeBaseEx[[#This Row],[Incl. Options
End Date]]&gt;0,LesseeBaseEx[[#This Row],[Incl. Options
End Date]],LesseeBaseEx[[#This Row],[Initial Period
End Date]])</f>
        <v>46234</v>
      </c>
      <c r="AC18" s="19">
        <v>45000</v>
      </c>
      <c r="AD18" t="s">
        <v>322</v>
      </c>
      <c r="AE18" t="s">
        <v>320</v>
      </c>
      <c r="AF18" s="20">
        <v>3.2500000000000001E-2</v>
      </c>
      <c r="AG18" s="17">
        <v>44013</v>
      </c>
      <c r="AH18" s="17">
        <v>45504</v>
      </c>
      <c r="AI18" s="15" cm="1">
        <f t="array" ref="AI18">ROUND(ROUND((LesseeBaseEx[[#This Row],[Payment
EndDate]]-LesseeBaseEx[[#This Row],[Payment
StartDate]])/365,2)*_xlfn.IFS(LesseeBaseEx[[#This Row],[Payment
Frequency]]="MO",12,LesseeBaseEx[[#This Row],[Payment
Frequency]]="QT",4,LesseeBaseEx[[#This Row],[Payment
Frequency]]="SA",2,LesseeBaseEx[[#This Row],[Payment
Frequency]]="AN",1),0)</f>
        <v>4</v>
      </c>
      <c r="AJ18" s="19">
        <f>ROUND(LesseeBaseEx[[#This Row],[Payment
Amount]]*LesseeBaseEx[[#This Row],[Number of
 Payments]],2)</f>
        <v>180000</v>
      </c>
      <c r="AK18" s="19" t="str">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calc on import</v>
      </c>
      <c r="AL18" s="19" t="str">
        <f>IF(LesseeBaseEx[[#This Row],[Multi-
Record2]]="Multi-Amount", "calc on import",LesseeBaseEx[[#This Row],[Total Amount
of Payments]]-LesseeBaseEx[[#This Row],[Present
Value]])</f>
        <v>calc on import</v>
      </c>
      <c r="AM18" s="19" t="str">
        <f>LesseeBaseEx[[#This Row],[Present
Value]]</f>
        <v>calc on import</v>
      </c>
      <c r="AN18" s="19">
        <v>0</v>
      </c>
      <c r="AO18" s="19" t="str">
        <f>IF(LesseeBaseEx[[#This Row],[Multi-
Record2]]="Multi-Amount", "calc on import",LesseeBaseEx[[#This Row],[Total
CapitalizedValue]]-LesseeBaseEx[[#This Row],[Capitalized
ResidualValue]])</f>
        <v>calc on import</v>
      </c>
      <c r="AP18" s="19" t="str">
        <f>LesseeBaseEx[[#This Row],[Calc Amount
to Amortize]]</f>
        <v>calc on import</v>
      </c>
      <c r="AQ18" t="s">
        <v>296</v>
      </c>
      <c r="AR18" s="15" t="str">
        <f>IF(LesseeBaseEx[[#This Row],[RoU Asset
AmortizationMethod]] = "Declining Balance", "Enter %","")</f>
        <v/>
      </c>
      <c r="AS18" s="15" t="str">
        <f>IF(LesseeBaseEx[[#This Row],[RoU Asset
AmortizationMethod]]="Usage Based","Enter Usage Base","")</f>
        <v/>
      </c>
      <c r="AT18" s="15" t="str">
        <f>IF(LesseeBaseEx[[#This Row],[RoU Asset
AmortizationMethod]]="Usage Based","Enter Usage UoM","")</f>
        <v/>
      </c>
      <c r="AU18" s="17">
        <v>44013</v>
      </c>
      <c r="AV18" s="17">
        <f>IF(LesseeBaseEx[[#This Row],[Incl. Options
End Date]]&gt;0,LesseeBaseEx[[#This Row],[Incl. Options
End Date]],LesseeBaseEx[[#This Row],[Initial Period
End Date]])</f>
        <v>46234</v>
      </c>
      <c r="AW18" s="3" t="s">
        <v>321</v>
      </c>
      <c r="AX18" s="15" cm="1">
        <f t="array" ref="AX18">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73</v>
      </c>
    </row>
    <row r="19" spans="1:50" x14ac:dyDescent="0.25">
      <c r="A19" t="s">
        <v>509</v>
      </c>
      <c r="B19">
        <f>'Agency Cover'!$B$3</f>
        <v>0</v>
      </c>
      <c r="C19" t="s">
        <v>644</v>
      </c>
      <c r="D19" t="s">
        <v>593</v>
      </c>
      <c r="E19" s="15">
        <f>COUNTIF(LesseeBaseEx[AgreementCode],LesseeBaseEx[[#This Row],[AgreementCode]])</f>
        <v>3</v>
      </c>
      <c r="F19" t="s">
        <v>645</v>
      </c>
      <c r="G19" s="15">
        <f>COUNTIF(LesseeBaseEx[AgreementTitle],LesseeBaseEx[[#This Row],[AgreementTitle]])</f>
        <v>3</v>
      </c>
      <c r="I19" t="s">
        <v>271</v>
      </c>
      <c r="J19" t="s">
        <v>1</v>
      </c>
      <c r="K19" t="s">
        <v>633</v>
      </c>
      <c r="L19" s="17">
        <v>43678</v>
      </c>
      <c r="M19" s="17">
        <v>46234</v>
      </c>
      <c r="R19" s="17"/>
      <c r="S19" s="25">
        <f>LEN(LesseeBaseEx[[#This Row],[Comments]])</f>
        <v>0</v>
      </c>
      <c r="T19" s="3" t="str">
        <f>LesseeBaseEx[[#This Row],[Multi-
Record]]</f>
        <v>Multi-Amount</v>
      </c>
      <c r="U19" t="str">
        <f>LesseeBaseEx[[#This Row],[AgreementCode]]</f>
        <v>000-2020-012</v>
      </c>
      <c r="V19" t="str">
        <f>LEFT(LesseeBaseEx[[#This Row],[AgreementTitle]],50)</f>
        <v>000-2020 - Maintenance Facility - OKC West - PO 24</v>
      </c>
      <c r="W19" s="15" t="str">
        <f>LesseeBaseEx[[#This Row],[AgreementType]]</f>
        <v>Buildings</v>
      </c>
      <c r="Y19"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19" s="15" t="str">
        <f>LesseeBaseEx[[#This Row],[ProvisionType]]</f>
        <v>Buildings</v>
      </c>
      <c r="AA19" s="17">
        <v>44013</v>
      </c>
      <c r="AB19" s="17">
        <f>IF(LesseeBaseEx[[#This Row],[Incl. Options
End Date]]&gt;0,LesseeBaseEx[[#This Row],[Incl. Options
End Date]],LesseeBaseEx[[#This Row],[Initial Period
End Date]])</f>
        <v>46234</v>
      </c>
      <c r="AC19" s="19">
        <v>50000</v>
      </c>
      <c r="AD19" t="s">
        <v>322</v>
      </c>
      <c r="AE19" t="s">
        <v>320</v>
      </c>
      <c r="AF19" s="20">
        <v>3.2500000000000001E-2</v>
      </c>
      <c r="AG19" s="17">
        <v>45505</v>
      </c>
      <c r="AH19" s="17">
        <v>45869</v>
      </c>
      <c r="AI19" s="15" cm="1">
        <f t="array" ref="AI19">ROUND(ROUND((LesseeBaseEx[[#This Row],[Payment
EndDate]]-LesseeBaseEx[[#This Row],[Payment
StartDate]])/365,2)*_xlfn.IFS(LesseeBaseEx[[#This Row],[Payment
Frequency]]="MO",12,LesseeBaseEx[[#This Row],[Payment
Frequency]]="QT",4,LesseeBaseEx[[#This Row],[Payment
Frequency]]="SA",2,LesseeBaseEx[[#This Row],[Payment
Frequency]]="AN",1),0)</f>
        <v>1</v>
      </c>
      <c r="AJ19" s="19">
        <f>ROUND(LesseeBaseEx[[#This Row],[Payment
Amount]]*LesseeBaseEx[[#This Row],[Number of
 Payments]],2)</f>
        <v>50000</v>
      </c>
      <c r="AK19" s="19" t="str">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calc on import</v>
      </c>
      <c r="AL19" s="19" t="str">
        <f>IF(LesseeBaseEx[[#This Row],[Multi-
Record2]]="Multi-Amount", "calc on import",LesseeBaseEx[[#This Row],[Total Amount
of Payments]]-LesseeBaseEx[[#This Row],[Present
Value]])</f>
        <v>calc on import</v>
      </c>
      <c r="AM19" s="19" t="str">
        <f>LesseeBaseEx[[#This Row],[Present
Value]]</f>
        <v>calc on import</v>
      </c>
      <c r="AN19" s="19">
        <v>0</v>
      </c>
      <c r="AO19" s="19" t="str">
        <f>IF(LesseeBaseEx[[#This Row],[Multi-
Record2]]="Multi-Amount", "calc on import",LesseeBaseEx[[#This Row],[Total
CapitalizedValue]]-LesseeBaseEx[[#This Row],[Capitalized
ResidualValue]])</f>
        <v>calc on import</v>
      </c>
      <c r="AP19" s="19" t="str">
        <f>LesseeBaseEx[[#This Row],[Calc Amount
to Amortize]]</f>
        <v>calc on import</v>
      </c>
      <c r="AQ19" t="s">
        <v>296</v>
      </c>
      <c r="AR19" s="15" t="str">
        <f>IF(LesseeBaseEx[[#This Row],[RoU Asset
AmortizationMethod]] = "Declining Balance", "Enter %","")</f>
        <v/>
      </c>
      <c r="AS19" s="15" t="str">
        <f>IF(LesseeBaseEx[[#This Row],[RoU Asset
AmortizationMethod]]="Usage Based","Enter Usage Base","")</f>
        <v/>
      </c>
      <c r="AT19" s="15" t="str">
        <f>IF(LesseeBaseEx[[#This Row],[RoU Asset
AmortizationMethod]]="Usage Based","Enter Usage UoM","")</f>
        <v/>
      </c>
      <c r="AU19" s="17">
        <v>44013</v>
      </c>
      <c r="AV19" s="17">
        <f>IF(LesseeBaseEx[[#This Row],[Incl. Options
End Date]]&gt;0,LesseeBaseEx[[#This Row],[Incl. Options
End Date]],LesseeBaseEx[[#This Row],[Initial Period
End Date]])</f>
        <v>46234</v>
      </c>
      <c r="AW19" s="3" t="s">
        <v>321</v>
      </c>
      <c r="AX19" s="15" cm="1">
        <f t="array" ref="AX19">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73</v>
      </c>
    </row>
    <row r="20" spans="1:50" x14ac:dyDescent="0.25">
      <c r="A20" t="s">
        <v>509</v>
      </c>
      <c r="B20">
        <f>'Agency Cover'!$B$3</f>
        <v>0</v>
      </c>
      <c r="C20" t="s">
        <v>644</v>
      </c>
      <c r="D20" t="s">
        <v>593</v>
      </c>
      <c r="E20" s="15">
        <f>COUNTIF(LesseeBaseEx[AgreementCode],LesseeBaseEx[[#This Row],[AgreementCode]])</f>
        <v>3</v>
      </c>
      <c r="F20" t="s">
        <v>645</v>
      </c>
      <c r="G20" s="15">
        <f>COUNTIF(LesseeBaseEx[AgreementTitle],LesseeBaseEx[[#This Row],[AgreementTitle]])</f>
        <v>3</v>
      </c>
      <c r="I20" t="s">
        <v>271</v>
      </c>
      <c r="J20" t="s">
        <v>1</v>
      </c>
      <c r="K20" t="s">
        <v>633</v>
      </c>
      <c r="L20" s="17">
        <v>43678</v>
      </c>
      <c r="M20" s="17">
        <v>46234</v>
      </c>
      <c r="R20" s="17"/>
      <c r="S20" s="25">
        <f>LEN(LesseeBaseEx[[#This Row],[Comments]])</f>
        <v>0</v>
      </c>
      <c r="T20" s="3" t="str">
        <f>LesseeBaseEx[[#This Row],[Multi-
Record]]</f>
        <v>Multi-Amount</v>
      </c>
      <c r="U20" t="str">
        <f>LesseeBaseEx[[#This Row],[AgreementCode]]</f>
        <v>000-2020-012</v>
      </c>
      <c r="V20" t="str">
        <f>LEFT(LesseeBaseEx[[#This Row],[AgreementTitle]],50)</f>
        <v>000-2020 - Maintenance Facility - OKC West - PO 24</v>
      </c>
      <c r="W20" s="15" t="str">
        <f>LesseeBaseEx[[#This Row],[AgreementType]]</f>
        <v>Buildings</v>
      </c>
      <c r="Y20"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20" s="15" t="str">
        <f>LesseeBaseEx[[#This Row],[ProvisionType]]</f>
        <v>Buildings</v>
      </c>
      <c r="AA20" s="17">
        <v>44013</v>
      </c>
      <c r="AB20" s="17">
        <f>IF(LesseeBaseEx[[#This Row],[Incl. Options
End Date]]&gt;0,LesseeBaseEx[[#This Row],[Incl. Options
End Date]],LesseeBaseEx[[#This Row],[Initial Period
End Date]])</f>
        <v>46234</v>
      </c>
      <c r="AC20" s="19">
        <v>55000</v>
      </c>
      <c r="AD20" t="s">
        <v>322</v>
      </c>
      <c r="AE20" t="s">
        <v>320</v>
      </c>
      <c r="AF20" s="20">
        <v>3.2500000000000001E-2</v>
      </c>
      <c r="AG20" s="17">
        <v>45870</v>
      </c>
      <c r="AH20" s="17">
        <v>46234</v>
      </c>
      <c r="AI20" s="15" cm="1">
        <f t="array" ref="AI20">ROUND(ROUND((LesseeBaseEx[[#This Row],[Payment
EndDate]]-LesseeBaseEx[[#This Row],[Payment
StartDate]])/365,2)*_xlfn.IFS(LesseeBaseEx[[#This Row],[Payment
Frequency]]="MO",12,LesseeBaseEx[[#This Row],[Payment
Frequency]]="QT",4,LesseeBaseEx[[#This Row],[Payment
Frequency]]="SA",2,LesseeBaseEx[[#This Row],[Payment
Frequency]]="AN",1),0)</f>
        <v>1</v>
      </c>
      <c r="AJ20" s="19">
        <f>ROUND(LesseeBaseEx[[#This Row],[Payment
Amount]]*LesseeBaseEx[[#This Row],[Number of
 Payments]],2)</f>
        <v>55000</v>
      </c>
      <c r="AK20" s="19" t="str">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calc on import</v>
      </c>
      <c r="AL20" s="19" t="str">
        <f>IF(LesseeBaseEx[[#This Row],[Multi-
Record2]]="Multi-Amount", "calc on import",LesseeBaseEx[[#This Row],[Total Amount
of Payments]]-LesseeBaseEx[[#This Row],[Present
Value]])</f>
        <v>calc on import</v>
      </c>
      <c r="AM20" s="19" t="str">
        <f>LesseeBaseEx[[#This Row],[Present
Value]]</f>
        <v>calc on import</v>
      </c>
      <c r="AN20" s="19">
        <v>0</v>
      </c>
      <c r="AO20" s="19" t="str">
        <f>IF(LesseeBaseEx[[#This Row],[Multi-
Record2]]="Multi-Amount", "calc on import",LesseeBaseEx[[#This Row],[Total
CapitalizedValue]]-LesseeBaseEx[[#This Row],[Capitalized
ResidualValue]])</f>
        <v>calc on import</v>
      </c>
      <c r="AP20" s="19" t="str">
        <f>LesseeBaseEx[[#This Row],[Calc Amount
to Amortize]]</f>
        <v>calc on import</v>
      </c>
      <c r="AQ20" t="s">
        <v>296</v>
      </c>
      <c r="AR20" s="15" t="str">
        <f>IF(LesseeBaseEx[[#This Row],[RoU Asset
AmortizationMethod]] = "Declining Balance", "Enter %","")</f>
        <v/>
      </c>
      <c r="AS20" s="15" t="str">
        <f>IF(LesseeBaseEx[[#This Row],[RoU Asset
AmortizationMethod]]="Usage Based","Enter Usage Base","")</f>
        <v/>
      </c>
      <c r="AT20" s="15" t="str">
        <f>IF(LesseeBaseEx[[#This Row],[RoU Asset
AmortizationMethod]]="Usage Based","Enter Usage UoM","")</f>
        <v/>
      </c>
      <c r="AU20" s="17">
        <v>44013</v>
      </c>
      <c r="AV20" s="17">
        <f>IF(LesseeBaseEx[[#This Row],[Incl. Options
End Date]]&gt;0,LesseeBaseEx[[#This Row],[Incl. Options
End Date]],LesseeBaseEx[[#This Row],[Initial Period
End Date]])</f>
        <v>46234</v>
      </c>
      <c r="AW20" s="3" t="s">
        <v>321</v>
      </c>
      <c r="AX20" s="15" cm="1">
        <f t="array" ref="AX20">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73</v>
      </c>
    </row>
    <row r="21" spans="1:50" x14ac:dyDescent="0.25">
      <c r="E21" s="15"/>
      <c r="G21" s="15"/>
      <c r="R21" s="17"/>
      <c r="S21" s="25"/>
      <c r="W21" s="15"/>
      <c r="Y21"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None</v>
      </c>
      <c r="Z21" s="15">
        <f>LesseeBaseEx[[#This Row],[ProvisionType]]</f>
        <v>0</v>
      </c>
      <c r="AB21" s="17">
        <f>IF(LesseeBaseEx[[#This Row],[Incl. Options
End Date]]&gt;0,LesseeBaseEx[[#This Row],[Incl. Options
End Date]],LesseeBaseEx[[#This Row],[Initial Period
End Date]])</f>
        <v>0</v>
      </c>
      <c r="AI21" s="15" t="e" cm="1">
        <f t="array" ref="AI21">ROUND(ROUND((LesseeBaseEx[[#This Row],[Payment
EndDate]]-LesseeBaseEx[[#This Row],[Payment
StartDate]])/365,2)*_xlfn.IFS(LesseeBaseEx[[#This Row],[Payment
Frequency]]="MO",12,LesseeBaseEx[[#This Row],[Payment
Frequency]]="QT",4,LesseeBaseEx[[#This Row],[Payment
Frequency]]="SA",2,LesseeBaseEx[[#This Row],[Payment
Frequency]]="AN",1),0)</f>
        <v>#N/A</v>
      </c>
      <c r="AJ21" s="19" t="e">
        <f>ROUND(LesseeBaseEx[[#This Row],[Payment
Amount]]*LesseeBaseEx[[#This Row],[Number of
 Payments]],2)</f>
        <v>#N/A</v>
      </c>
      <c r="AK21"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21" s="19" t="e">
        <f>IF(LesseeBaseEx[[#This Row],[Multi-
Record2]]="Multi-Amount", "calc on import",LesseeBaseEx[[#This Row],[Total Amount
of Payments]]-LesseeBaseEx[[#This Row],[Present
Value]])</f>
        <v>#N/A</v>
      </c>
      <c r="AM21" s="19" t="e">
        <f>LesseeBaseEx[[#This Row],[Present
Value]]</f>
        <v>#DIV/0!</v>
      </c>
      <c r="AO21" s="19" t="e">
        <f>IF(LesseeBaseEx[[#This Row],[Multi-
Record2]]="Multi-Amount", "calc on import",LesseeBaseEx[[#This Row],[Total
CapitalizedValue]]-LesseeBaseEx[[#This Row],[Capitalized
ResidualValue]])</f>
        <v>#DIV/0!</v>
      </c>
      <c r="AP21" s="19" t="e">
        <f>LesseeBaseEx[[#This Row],[Calc Amount
to Amortize]]</f>
        <v>#DIV/0!</v>
      </c>
      <c r="AQ21" t="s">
        <v>296</v>
      </c>
      <c r="AR21" s="15" t="str">
        <f>IF(LesseeBaseEx[[#This Row],[RoU Asset
AmortizationMethod]] = "Declining Balance", "Enter %","")</f>
        <v/>
      </c>
      <c r="AS21" s="15" t="str">
        <f>IF(LesseeBaseEx[[#This Row],[RoU Asset
AmortizationMethod]]="Usage Based","Enter Usage Base","")</f>
        <v/>
      </c>
      <c r="AT21" s="15" t="str">
        <f>IF(LesseeBaseEx[[#This Row],[RoU Asset
AmortizationMethod]]="Usage Based","Enter Usage UoM","")</f>
        <v/>
      </c>
      <c r="AV21" s="17">
        <f>IF(LesseeBaseEx[[#This Row],[Incl. Options
End Date]]&gt;0,LesseeBaseEx[[#This Row],[Incl. Options
End Date]],LesseeBaseEx[[#This Row],[Initial Period
End Date]])</f>
        <v>0</v>
      </c>
      <c r="AW21" s="3" t="s">
        <v>321</v>
      </c>
      <c r="AX21" s="15" cm="1">
        <f t="array" ref="AX21">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0</v>
      </c>
    </row>
    <row r="22" spans="1:50" x14ac:dyDescent="0.25">
      <c r="A22" s="108" t="s">
        <v>634</v>
      </c>
      <c r="B22" s="109"/>
      <c r="C22" s="109"/>
      <c r="D22" s="109"/>
      <c r="E22" s="109"/>
      <c r="F22" s="109"/>
      <c r="G22" s="109"/>
      <c r="H22" s="109"/>
      <c r="I22" s="109"/>
      <c r="J22" s="109"/>
      <c r="K22" s="109"/>
      <c r="L22" s="110"/>
      <c r="M22" s="110"/>
      <c r="N22" s="110"/>
      <c r="O22" s="110"/>
      <c r="P22" s="110"/>
      <c r="Q22" s="110"/>
      <c r="R22" s="109"/>
      <c r="S22" s="111"/>
      <c r="T22" s="111"/>
      <c r="U22" s="109"/>
      <c r="V22" s="109"/>
      <c r="W22" s="109"/>
      <c r="X22" s="109"/>
      <c r="Y22"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None</v>
      </c>
      <c r="Z22" s="15">
        <f>LesseeBaseEx[[#This Row],[ProvisionType]]</f>
        <v>0</v>
      </c>
      <c r="AB22" s="17">
        <f>IF(LesseeBaseEx[[#This Row],[Incl. Options
End Date]]&gt;0,LesseeBaseEx[[#This Row],[Incl. Options
End Date]],LesseeBaseEx[[#This Row],[Initial Period
End Date]])</f>
        <v>0</v>
      </c>
      <c r="AI22" s="15" t="e" cm="1">
        <f t="array" ref="AI22">ROUND(ROUND((LesseeBaseEx[[#This Row],[Payment
EndDate]]-LesseeBaseEx[[#This Row],[Payment
StartDate]])/365,2)*_xlfn.IFS(LesseeBaseEx[[#This Row],[Payment
Frequency]]="MO",12,LesseeBaseEx[[#This Row],[Payment
Frequency]]="QT",4,LesseeBaseEx[[#This Row],[Payment
Frequency]]="SA",2,LesseeBaseEx[[#This Row],[Payment
Frequency]]="AN",1),0)</f>
        <v>#N/A</v>
      </c>
      <c r="AJ22" s="19" t="e">
        <f>ROUND(LesseeBaseEx[[#This Row],[Payment
Amount]]*LesseeBaseEx[[#This Row],[Number of
 Payments]],2)</f>
        <v>#N/A</v>
      </c>
      <c r="AK22"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22" s="19" t="e">
        <f>IF(LesseeBaseEx[[#This Row],[Multi-
Record2]]="Multi-Amount", "calc on import",LesseeBaseEx[[#This Row],[Total Amount
of Payments]]-LesseeBaseEx[[#This Row],[Present
Value]])</f>
        <v>#N/A</v>
      </c>
      <c r="AM22" s="19" t="e">
        <f>LesseeBaseEx[[#This Row],[Present
Value]]</f>
        <v>#DIV/0!</v>
      </c>
      <c r="AO22" s="19" t="e">
        <f>IF(LesseeBaseEx[[#This Row],[Multi-
Record2]]="Multi-Amount", "calc on import",LesseeBaseEx[[#This Row],[Total
CapitalizedValue]]-LesseeBaseEx[[#This Row],[Capitalized
ResidualValue]])</f>
        <v>#DIV/0!</v>
      </c>
      <c r="AP22" s="19" t="e">
        <f>LesseeBaseEx[[#This Row],[Calc Amount
to Amortize]]</f>
        <v>#DIV/0!</v>
      </c>
      <c r="AQ22" t="s">
        <v>296</v>
      </c>
      <c r="AR22" s="15" t="str">
        <f>IF(LesseeBaseEx[[#This Row],[RoU Asset
AmortizationMethod]] = "Declining Balance", "Enter %","")</f>
        <v/>
      </c>
      <c r="AS22" s="15" t="str">
        <f>IF(LesseeBaseEx[[#This Row],[RoU Asset
AmortizationMethod]]="Usage Based","Enter Usage Base","")</f>
        <v/>
      </c>
      <c r="AT22" s="15" t="str">
        <f>IF(LesseeBaseEx[[#This Row],[RoU Asset
AmortizationMethod]]="Usage Based","Enter Usage UoM","")</f>
        <v/>
      </c>
      <c r="AV22" s="17">
        <f>IF(LesseeBaseEx[[#This Row],[Incl. Options
End Date]]&gt;0,LesseeBaseEx[[#This Row],[Incl. Options
End Date]],LesseeBaseEx[[#This Row],[Initial Period
End Date]])</f>
        <v>0</v>
      </c>
      <c r="AW22" s="3" t="s">
        <v>321</v>
      </c>
      <c r="AX22" s="15" cm="1">
        <f t="array" ref="AX22">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0</v>
      </c>
    </row>
    <row r="23" spans="1:50" x14ac:dyDescent="0.25">
      <c r="A23" t="s">
        <v>509</v>
      </c>
      <c r="B23">
        <f>'Agency Cover'!$B$3</f>
        <v>0</v>
      </c>
      <c r="C23" t="s">
        <v>646</v>
      </c>
      <c r="D23" t="s">
        <v>545</v>
      </c>
      <c r="E23" s="15">
        <f>COUNTIF(LesseeBaseEx[AgreementCode],LesseeBaseEx[[#This Row],[AgreementCode]])</f>
        <v>9</v>
      </c>
      <c r="F23" t="s">
        <v>564</v>
      </c>
      <c r="G23" s="15">
        <f>COUNTIF(LesseeBaseEx[AgreementTitle],LesseeBaseEx[[#This Row],[AgreementTitle]])</f>
        <v>9</v>
      </c>
      <c r="I23" t="s">
        <v>271</v>
      </c>
      <c r="J23" t="s">
        <v>1</v>
      </c>
      <c r="K23" t="s">
        <v>647</v>
      </c>
      <c r="L23" s="17">
        <v>44105</v>
      </c>
      <c r="M23" s="17">
        <v>45199</v>
      </c>
      <c r="P23" s="17">
        <v>45200</v>
      </c>
      <c r="Q23" s="17">
        <v>45565</v>
      </c>
      <c r="R23" s="17"/>
      <c r="S23" s="25">
        <f>LEN(LesseeBaseEx[[#This Row],[Comments]])</f>
        <v>0</v>
      </c>
      <c r="T23" s="3" t="str">
        <f>LesseeBaseEx[[#This Row],[Multi-
Record]]</f>
        <v>Multi-Provision</v>
      </c>
      <c r="U23" t="s">
        <v>566</v>
      </c>
      <c r="V23" t="s">
        <v>567</v>
      </c>
      <c r="W23" s="15" t="str">
        <f>LesseeBaseEx[[#This Row],[AgreementType]]</f>
        <v>Buildings</v>
      </c>
      <c r="X23" t="s">
        <v>648</v>
      </c>
      <c r="Y23"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23" s="15" t="str">
        <f>LesseeBaseEx[[#This Row],[ProvisionType]]</f>
        <v>Buildings</v>
      </c>
      <c r="AA23" s="17">
        <v>44105</v>
      </c>
      <c r="AB23" s="17">
        <f>IF(LesseeBaseEx[[#This Row],[Incl. Options
End Date]]&gt;0,LesseeBaseEx[[#This Row],[Incl. Options
End Date]],LesseeBaseEx[[#This Row],[Initial Period
End Date]])</f>
        <v>45199</v>
      </c>
      <c r="AC23" s="19">
        <v>10000</v>
      </c>
      <c r="AD23" t="s">
        <v>321</v>
      </c>
      <c r="AE23" t="s">
        <v>320</v>
      </c>
      <c r="AF23" s="20">
        <v>2.2499999999999999E-2</v>
      </c>
      <c r="AG23" s="17">
        <v>44105</v>
      </c>
      <c r="AH23" s="17">
        <v>44469</v>
      </c>
      <c r="AI23" s="15" cm="1">
        <f t="array" ref="AI23">ROUND(ROUND((LesseeBaseEx[[#This Row],[Payment
EndDate]]-LesseeBaseEx[[#This Row],[Payment
StartDate]])/365,2)*_xlfn.IFS(LesseeBaseEx[[#This Row],[Payment
Frequency]]="MO",12,LesseeBaseEx[[#This Row],[Payment
Frequency]]="QT",4,LesseeBaseEx[[#This Row],[Payment
Frequency]]="SA",2,LesseeBaseEx[[#This Row],[Payment
Frequency]]="AN",1),0)</f>
        <v>12</v>
      </c>
      <c r="AJ23" s="19">
        <f>ROUND(LesseeBaseEx[[#This Row],[Payment
Amount]]*LesseeBaseEx[[#This Row],[Number of
 Payments]],2)</f>
        <v>120000</v>
      </c>
      <c r="AK23"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118772.49</v>
      </c>
      <c r="AL23" s="19">
        <f>IF(LesseeBaseEx[[#This Row],[Multi-
Record2]]="Multi-Amount", "calc on import",LesseeBaseEx[[#This Row],[Total Amount
of Payments]]-LesseeBaseEx[[#This Row],[Present
Value]])</f>
        <v>1227.5099999999948</v>
      </c>
      <c r="AM23" s="19">
        <f>LesseeBaseEx[[#This Row],[Present
Value]]</f>
        <v>118772.49</v>
      </c>
      <c r="AN23" s="19">
        <v>0</v>
      </c>
      <c r="AO23" s="19">
        <f>IF(LesseeBaseEx[[#This Row],[Multi-
Record2]]="Multi-Amount", "calc on import",LesseeBaseEx[[#This Row],[Total
CapitalizedValue]]-LesseeBaseEx[[#This Row],[Capitalized
ResidualValue]])</f>
        <v>118772.49</v>
      </c>
      <c r="AP23" s="19">
        <f>LesseeBaseEx[[#This Row],[Calc Amount
to Amortize]]</f>
        <v>118772.49</v>
      </c>
      <c r="AQ23" t="s">
        <v>296</v>
      </c>
      <c r="AR23" s="15" t="str">
        <f>IF(LesseeBaseEx[[#This Row],[RoU Asset
AmortizationMethod]] = "Declining Balance", "Enter %","")</f>
        <v/>
      </c>
      <c r="AS23" s="15" t="str">
        <f>IF(LesseeBaseEx[[#This Row],[RoU Asset
AmortizationMethod]]="Usage Based","Enter Usage Base","")</f>
        <v/>
      </c>
      <c r="AT23" s="15" t="str">
        <f>IF(LesseeBaseEx[[#This Row],[RoU Asset
AmortizationMethod]]="Usage Based","Enter Usage UoM","")</f>
        <v/>
      </c>
      <c r="AU23" s="17">
        <v>44105</v>
      </c>
      <c r="AV23" s="17">
        <f>IF(LesseeBaseEx[[#This Row],[Incl. Options
End Date]]&gt;0,LesseeBaseEx[[#This Row],[Incl. Options
End Date]],LesseeBaseEx[[#This Row],[Initial Period
End Date]])</f>
        <v>45199</v>
      </c>
      <c r="AW23" s="3" t="s">
        <v>321</v>
      </c>
      <c r="AX23" s="15" cm="1">
        <f t="array" ref="AX23">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36</v>
      </c>
    </row>
    <row r="24" spans="1:50" x14ac:dyDescent="0.25">
      <c r="A24" t="s">
        <v>509</v>
      </c>
      <c r="B24">
        <f>'Agency Cover'!$B$3</f>
        <v>0</v>
      </c>
      <c r="C24" t="s">
        <v>646</v>
      </c>
      <c r="D24" t="s">
        <v>593</v>
      </c>
      <c r="E24" s="15">
        <f>COUNTIF(LesseeBaseEx[AgreementCode],LesseeBaseEx[[#This Row],[AgreementCode]])</f>
        <v>9</v>
      </c>
      <c r="F24" t="s">
        <v>564</v>
      </c>
      <c r="G24" s="15">
        <f>COUNTIF(LesseeBaseEx[AgreementTitle],LesseeBaseEx[[#This Row],[AgreementTitle]])</f>
        <v>9</v>
      </c>
      <c r="I24" t="s">
        <v>271</v>
      </c>
      <c r="J24" t="s">
        <v>1</v>
      </c>
      <c r="K24" t="s">
        <v>647</v>
      </c>
      <c r="L24" s="17">
        <v>44105</v>
      </c>
      <c r="M24" s="17">
        <v>45199</v>
      </c>
      <c r="P24" s="17">
        <v>45200</v>
      </c>
      <c r="Q24" s="17">
        <v>45565</v>
      </c>
      <c r="R24" s="17"/>
      <c r="S24" s="25">
        <f>LEN(LesseeBaseEx[[#This Row],[Comments]])</f>
        <v>0</v>
      </c>
      <c r="T24" s="3" t="str">
        <f>LesseeBaseEx[[#This Row],[Multi-
Record]]</f>
        <v>Multi-Amount</v>
      </c>
      <c r="U24" t="s">
        <v>566</v>
      </c>
      <c r="V24" t="s">
        <v>567</v>
      </c>
      <c r="W24" s="15" t="str">
        <f>LesseeBaseEx[[#This Row],[AgreementType]]</f>
        <v>Buildings</v>
      </c>
      <c r="X24" t="s">
        <v>648</v>
      </c>
      <c r="Y24"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24" s="15" t="str">
        <f>LesseeBaseEx[[#This Row],[ProvisionType]]</f>
        <v>Buildings</v>
      </c>
      <c r="AA24" s="17">
        <v>44105</v>
      </c>
      <c r="AB24" s="17">
        <f>IF(LesseeBaseEx[[#This Row],[Incl. Options
End Date]]&gt;0,LesseeBaseEx[[#This Row],[Incl. Options
End Date]],LesseeBaseEx[[#This Row],[Initial Period
End Date]])</f>
        <v>45199</v>
      </c>
      <c r="AC24" s="19">
        <v>10300</v>
      </c>
      <c r="AD24" t="s">
        <v>321</v>
      </c>
      <c r="AE24" t="s">
        <v>320</v>
      </c>
      <c r="AF24" s="20">
        <v>2.2499999999999999E-2</v>
      </c>
      <c r="AG24" s="17">
        <v>44470</v>
      </c>
      <c r="AH24" s="17">
        <v>44834</v>
      </c>
      <c r="AI24" s="15" cm="1">
        <f t="array" ref="AI24">ROUND(ROUND((LesseeBaseEx[[#This Row],[Payment
EndDate]]-LesseeBaseEx[[#This Row],[Payment
StartDate]])/365,2)*_xlfn.IFS(LesseeBaseEx[[#This Row],[Payment
Frequency]]="MO",12,LesseeBaseEx[[#This Row],[Payment
Frequency]]="QT",4,LesseeBaseEx[[#This Row],[Payment
Frequency]]="SA",2,LesseeBaseEx[[#This Row],[Payment
Frequency]]="AN",1),0)</f>
        <v>12</v>
      </c>
      <c r="AJ24" s="19">
        <f>ROUND(LesseeBaseEx[[#This Row],[Payment
Amount]]*LesseeBaseEx[[#This Row],[Number of
 Payments]],2)</f>
        <v>123600</v>
      </c>
      <c r="AK24" s="19" t="str">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calc on import</v>
      </c>
      <c r="AL24" s="19" t="str">
        <f>IF(LesseeBaseEx[[#This Row],[Multi-
Record2]]="Multi-Amount", "calc on import",LesseeBaseEx[[#This Row],[Total Amount
of Payments]]-LesseeBaseEx[[#This Row],[Present
Value]])</f>
        <v>calc on import</v>
      </c>
      <c r="AM24" s="19" t="str">
        <f>LesseeBaseEx[[#This Row],[Present
Value]]</f>
        <v>calc on import</v>
      </c>
      <c r="AN24" s="19">
        <v>0</v>
      </c>
      <c r="AO24" s="19" t="str">
        <f>IF(LesseeBaseEx[[#This Row],[Multi-
Record2]]="Multi-Amount", "calc on import",LesseeBaseEx[[#This Row],[Total
CapitalizedValue]]-LesseeBaseEx[[#This Row],[Capitalized
ResidualValue]])</f>
        <v>calc on import</v>
      </c>
      <c r="AP24" s="19" t="str">
        <f>LesseeBaseEx[[#This Row],[Calc Amount
to Amortize]]</f>
        <v>calc on import</v>
      </c>
      <c r="AQ24" t="s">
        <v>296</v>
      </c>
      <c r="AR24" s="15" t="str">
        <f>IF(LesseeBaseEx[[#This Row],[RoU Asset
AmortizationMethod]] = "Declining Balance", "Enter %","")</f>
        <v/>
      </c>
      <c r="AS24" s="15" t="str">
        <f>IF(LesseeBaseEx[[#This Row],[RoU Asset
AmortizationMethod]]="Usage Based","Enter Usage Base","")</f>
        <v/>
      </c>
      <c r="AT24" s="15" t="str">
        <f>IF(LesseeBaseEx[[#This Row],[RoU Asset
AmortizationMethod]]="Usage Based","Enter Usage UoM","")</f>
        <v/>
      </c>
      <c r="AU24" s="17">
        <v>44105</v>
      </c>
      <c r="AV24" s="17">
        <f>IF(LesseeBaseEx[[#This Row],[Incl. Options
End Date]]&gt;0,LesseeBaseEx[[#This Row],[Incl. Options
End Date]],LesseeBaseEx[[#This Row],[Initial Period
End Date]])</f>
        <v>45199</v>
      </c>
      <c r="AW24" s="3" t="s">
        <v>321</v>
      </c>
      <c r="AX24" s="15" cm="1">
        <f t="array" ref="AX24">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36</v>
      </c>
    </row>
    <row r="25" spans="1:50" x14ac:dyDescent="0.25">
      <c r="A25" t="s">
        <v>509</v>
      </c>
      <c r="B25">
        <f>'Agency Cover'!$B$3</f>
        <v>0</v>
      </c>
      <c r="C25" t="s">
        <v>646</v>
      </c>
      <c r="D25" t="s">
        <v>593</v>
      </c>
      <c r="E25" s="15">
        <f>COUNTIF(LesseeBaseEx[AgreementCode],LesseeBaseEx[[#This Row],[AgreementCode]])</f>
        <v>9</v>
      </c>
      <c r="F25" t="s">
        <v>564</v>
      </c>
      <c r="G25" s="15">
        <f>COUNTIF(LesseeBaseEx[AgreementTitle],LesseeBaseEx[[#This Row],[AgreementTitle]])</f>
        <v>9</v>
      </c>
      <c r="I25" t="s">
        <v>271</v>
      </c>
      <c r="J25" t="s">
        <v>1</v>
      </c>
      <c r="K25" t="s">
        <v>647</v>
      </c>
      <c r="L25" s="17">
        <v>44105</v>
      </c>
      <c r="M25" s="17">
        <v>45199</v>
      </c>
      <c r="P25" s="17">
        <v>45200</v>
      </c>
      <c r="Q25" s="17">
        <v>45565</v>
      </c>
      <c r="R25" s="17"/>
      <c r="S25" s="25">
        <f>LEN(LesseeBaseEx[[#This Row],[Comments]])</f>
        <v>0</v>
      </c>
      <c r="T25" s="3" t="str">
        <f>LesseeBaseEx[[#This Row],[Multi-
Record]]</f>
        <v>Multi-Amount</v>
      </c>
      <c r="U25" t="s">
        <v>566</v>
      </c>
      <c r="V25" t="s">
        <v>567</v>
      </c>
      <c r="W25" s="15" t="str">
        <f>LesseeBaseEx[[#This Row],[AgreementType]]</f>
        <v>Buildings</v>
      </c>
      <c r="X25" t="s">
        <v>648</v>
      </c>
      <c r="Y25"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25" s="15" t="str">
        <f>LesseeBaseEx[[#This Row],[ProvisionType]]</f>
        <v>Buildings</v>
      </c>
      <c r="AA25" s="17">
        <v>44105</v>
      </c>
      <c r="AB25" s="17">
        <f>IF(LesseeBaseEx[[#This Row],[Incl. Options
End Date]]&gt;0,LesseeBaseEx[[#This Row],[Incl. Options
End Date]],LesseeBaseEx[[#This Row],[Initial Period
End Date]])</f>
        <v>45199</v>
      </c>
      <c r="AC25" s="19">
        <v>10609</v>
      </c>
      <c r="AD25" t="s">
        <v>321</v>
      </c>
      <c r="AE25" t="s">
        <v>320</v>
      </c>
      <c r="AF25" s="20">
        <v>2.2499999999999999E-2</v>
      </c>
      <c r="AG25" s="17">
        <v>44835</v>
      </c>
      <c r="AH25" s="17">
        <v>45199</v>
      </c>
      <c r="AI25" s="15" cm="1">
        <f t="array" ref="AI25">ROUND(ROUND((LesseeBaseEx[[#This Row],[Payment
EndDate]]-LesseeBaseEx[[#This Row],[Payment
StartDate]])/365,2)*_xlfn.IFS(LesseeBaseEx[[#This Row],[Payment
Frequency]]="MO",12,LesseeBaseEx[[#This Row],[Payment
Frequency]]="QT",4,LesseeBaseEx[[#This Row],[Payment
Frequency]]="SA",2,LesseeBaseEx[[#This Row],[Payment
Frequency]]="AN",1),0)</f>
        <v>12</v>
      </c>
      <c r="AJ25" s="19">
        <f>ROUND(LesseeBaseEx[[#This Row],[Payment
Amount]]*LesseeBaseEx[[#This Row],[Number of
 Payments]],2)</f>
        <v>127308</v>
      </c>
      <c r="AK25" s="19" t="str">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calc on import</v>
      </c>
      <c r="AL25" s="19" t="str">
        <f>IF(LesseeBaseEx[[#This Row],[Multi-
Record2]]="Multi-Amount", "calc on import",LesseeBaseEx[[#This Row],[Total Amount
of Payments]]-LesseeBaseEx[[#This Row],[Present
Value]])</f>
        <v>calc on import</v>
      </c>
      <c r="AM25" s="19" t="str">
        <f>LesseeBaseEx[[#This Row],[Present
Value]]</f>
        <v>calc on import</v>
      </c>
      <c r="AN25" s="19">
        <v>0</v>
      </c>
      <c r="AO25" s="19" t="str">
        <f>IF(LesseeBaseEx[[#This Row],[Multi-
Record2]]="Multi-Amount", "calc on import",LesseeBaseEx[[#This Row],[Total
CapitalizedValue]]-LesseeBaseEx[[#This Row],[Capitalized
ResidualValue]])</f>
        <v>calc on import</v>
      </c>
      <c r="AP25" s="19" t="str">
        <f>LesseeBaseEx[[#This Row],[Calc Amount
to Amortize]]</f>
        <v>calc on import</v>
      </c>
      <c r="AQ25" t="s">
        <v>296</v>
      </c>
      <c r="AR25" s="15" t="str">
        <f>IF(LesseeBaseEx[[#This Row],[RoU Asset
AmortizationMethod]] = "Declining Balance", "Enter %","")</f>
        <v/>
      </c>
      <c r="AS25" s="15" t="str">
        <f>IF(LesseeBaseEx[[#This Row],[RoU Asset
AmortizationMethod]]="Usage Based","Enter Usage Base","")</f>
        <v/>
      </c>
      <c r="AT25" s="15" t="str">
        <f>IF(LesseeBaseEx[[#This Row],[RoU Asset
AmortizationMethod]]="Usage Based","Enter Usage UoM","")</f>
        <v/>
      </c>
      <c r="AU25" s="17">
        <v>44105</v>
      </c>
      <c r="AV25" s="17">
        <f>IF(LesseeBaseEx[[#This Row],[Incl. Options
End Date]]&gt;0,LesseeBaseEx[[#This Row],[Incl. Options
End Date]],LesseeBaseEx[[#This Row],[Initial Period
End Date]])</f>
        <v>45199</v>
      </c>
      <c r="AW25" s="3" t="s">
        <v>321</v>
      </c>
      <c r="AX25" s="15" cm="1">
        <f t="array" ref="AX25">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36</v>
      </c>
    </row>
    <row r="26" spans="1:50" x14ac:dyDescent="0.25">
      <c r="A26" t="s">
        <v>509</v>
      </c>
      <c r="B26">
        <f>'Agency Cover'!$B$3</f>
        <v>0</v>
      </c>
      <c r="C26" t="s">
        <v>646</v>
      </c>
      <c r="D26" t="s">
        <v>545</v>
      </c>
      <c r="E26" s="15">
        <f>COUNTIF(LesseeBaseEx[AgreementCode],LesseeBaseEx[[#This Row],[AgreementCode]])</f>
        <v>9</v>
      </c>
      <c r="F26" t="s">
        <v>564</v>
      </c>
      <c r="G26" s="15">
        <f>COUNTIF(LesseeBaseEx[AgreementTitle],LesseeBaseEx[[#This Row],[AgreementTitle]])</f>
        <v>9</v>
      </c>
      <c r="I26" t="s">
        <v>271</v>
      </c>
      <c r="J26" t="s">
        <v>1</v>
      </c>
      <c r="K26" t="s">
        <v>647</v>
      </c>
      <c r="L26" s="17">
        <v>44105</v>
      </c>
      <c r="M26" s="17">
        <v>45199</v>
      </c>
      <c r="P26" s="17">
        <v>45200</v>
      </c>
      <c r="Q26" s="17">
        <v>45565</v>
      </c>
      <c r="R26" s="17"/>
      <c r="S26" s="25">
        <f>LEN(LesseeBaseEx[[#This Row],[Comments]])</f>
        <v>0</v>
      </c>
      <c r="T26" s="3" t="str">
        <f>LesseeBaseEx[[#This Row],[Multi-
Record]]</f>
        <v>Multi-Provision</v>
      </c>
      <c r="U26" t="s">
        <v>267</v>
      </c>
      <c r="V26" t="s">
        <v>568</v>
      </c>
      <c r="W26" s="15" t="s">
        <v>267</v>
      </c>
      <c r="X26" t="s">
        <v>649</v>
      </c>
      <c r="Y26"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26" s="15" t="str">
        <f>LesseeBaseEx[[#This Row],[ProvisionType]]</f>
        <v>Land</v>
      </c>
      <c r="AA26" s="17">
        <v>44105</v>
      </c>
      <c r="AB26" s="17">
        <f>IF(LesseeBaseEx[[#This Row],[Incl. Options
End Date]]&gt;0,LesseeBaseEx[[#This Row],[Incl. Options
End Date]],LesseeBaseEx[[#This Row],[Initial Period
End Date]])</f>
        <v>45199</v>
      </c>
      <c r="AC26" s="19">
        <v>5000</v>
      </c>
      <c r="AD26" t="s">
        <v>321</v>
      </c>
      <c r="AE26" t="s">
        <v>320</v>
      </c>
      <c r="AF26" s="20">
        <v>2.75E-2</v>
      </c>
      <c r="AG26" s="17">
        <v>44105</v>
      </c>
      <c r="AH26" s="17">
        <v>44469</v>
      </c>
      <c r="AI26" s="15" cm="1">
        <f t="array" ref="AI26">ROUND(ROUND((LesseeBaseEx[[#This Row],[Payment
EndDate]]-LesseeBaseEx[[#This Row],[Payment
StartDate]])/365,2)*_xlfn.IFS(LesseeBaseEx[[#This Row],[Payment
Frequency]]="MO",12,LesseeBaseEx[[#This Row],[Payment
Frequency]]="QT",4,LesseeBaseEx[[#This Row],[Payment
Frequency]]="SA",2,LesseeBaseEx[[#This Row],[Payment
Frequency]]="AN",1),0)</f>
        <v>12</v>
      </c>
      <c r="AJ26" s="19">
        <f>ROUND(LesseeBaseEx[[#This Row],[Payment
Amount]]*LesseeBaseEx[[#This Row],[Number of
 Payments]],2)</f>
        <v>60000</v>
      </c>
      <c r="AK26"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59251.199999999997</v>
      </c>
      <c r="AL26" s="19">
        <f>IF(LesseeBaseEx[[#This Row],[Multi-
Record2]]="Multi-Amount", "calc on import",LesseeBaseEx[[#This Row],[Total Amount
of Payments]]-LesseeBaseEx[[#This Row],[Present
Value]])</f>
        <v>748.80000000000291</v>
      </c>
      <c r="AM26" s="19">
        <f>LesseeBaseEx[[#This Row],[Present
Value]]</f>
        <v>59251.199999999997</v>
      </c>
      <c r="AN26" s="19">
        <v>0</v>
      </c>
      <c r="AO26" s="19">
        <f>IF(LesseeBaseEx[[#This Row],[Multi-
Record2]]="Multi-Amount", "calc on import",LesseeBaseEx[[#This Row],[Total
CapitalizedValue]]-LesseeBaseEx[[#This Row],[Capitalized
ResidualValue]])</f>
        <v>59251.199999999997</v>
      </c>
      <c r="AP26" s="19">
        <f>LesseeBaseEx[[#This Row],[Calc Amount
to Amortize]]</f>
        <v>59251.199999999997</v>
      </c>
      <c r="AQ26" t="s">
        <v>296</v>
      </c>
      <c r="AR26" s="15" t="str">
        <f>IF(LesseeBaseEx[[#This Row],[RoU Asset
AmortizationMethod]] = "Declining Balance", "Enter %","")</f>
        <v/>
      </c>
      <c r="AS26" s="15" t="str">
        <f>IF(LesseeBaseEx[[#This Row],[RoU Asset
AmortizationMethod]]="Usage Based","Enter Usage Base","")</f>
        <v/>
      </c>
      <c r="AT26" s="15" t="str">
        <f>IF(LesseeBaseEx[[#This Row],[RoU Asset
AmortizationMethod]]="Usage Based","Enter Usage UoM","")</f>
        <v/>
      </c>
      <c r="AU26" s="17">
        <v>44105</v>
      </c>
      <c r="AV26" s="17">
        <f>IF(LesseeBaseEx[[#This Row],[Incl. Options
End Date]]&gt;0,LesseeBaseEx[[#This Row],[Incl. Options
End Date]],LesseeBaseEx[[#This Row],[Initial Period
End Date]])</f>
        <v>45199</v>
      </c>
      <c r="AW26" s="3" t="s">
        <v>321</v>
      </c>
      <c r="AX26" s="15" cm="1">
        <f t="array" ref="AX26">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36</v>
      </c>
    </row>
    <row r="27" spans="1:50" x14ac:dyDescent="0.25">
      <c r="A27" t="s">
        <v>509</v>
      </c>
      <c r="B27">
        <f>'Agency Cover'!$B$3</f>
        <v>0</v>
      </c>
      <c r="C27" t="s">
        <v>646</v>
      </c>
      <c r="D27" t="s">
        <v>593</v>
      </c>
      <c r="E27" s="15">
        <f>COUNTIF(LesseeBaseEx[AgreementCode],LesseeBaseEx[[#This Row],[AgreementCode]])</f>
        <v>9</v>
      </c>
      <c r="F27" t="s">
        <v>564</v>
      </c>
      <c r="G27" s="15">
        <f>COUNTIF(LesseeBaseEx[AgreementTitle],LesseeBaseEx[[#This Row],[AgreementTitle]])</f>
        <v>9</v>
      </c>
      <c r="I27" t="s">
        <v>271</v>
      </c>
      <c r="J27" t="s">
        <v>1</v>
      </c>
      <c r="K27" t="s">
        <v>647</v>
      </c>
      <c r="L27" s="17">
        <v>44105</v>
      </c>
      <c r="M27" s="17">
        <v>45199</v>
      </c>
      <c r="P27" s="17">
        <v>45200</v>
      </c>
      <c r="Q27" s="17">
        <v>45565</v>
      </c>
      <c r="R27" s="17"/>
      <c r="S27" s="25">
        <f>LEN(LesseeBaseEx[[#This Row],[Comments]])</f>
        <v>0</v>
      </c>
      <c r="T27" s="3" t="str">
        <f>LesseeBaseEx[[#This Row],[Multi-
Record]]</f>
        <v>Multi-Amount</v>
      </c>
      <c r="U27" t="s">
        <v>267</v>
      </c>
      <c r="V27" t="s">
        <v>568</v>
      </c>
      <c r="W27" s="15" t="s">
        <v>267</v>
      </c>
      <c r="X27" t="s">
        <v>649</v>
      </c>
      <c r="Y27"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27" s="15" t="str">
        <f>LesseeBaseEx[[#This Row],[ProvisionType]]</f>
        <v>Land</v>
      </c>
      <c r="AA27" s="17">
        <v>44105</v>
      </c>
      <c r="AB27" s="17">
        <f>IF(LesseeBaseEx[[#This Row],[Incl. Options
End Date]]&gt;0,LesseeBaseEx[[#This Row],[Incl. Options
End Date]],LesseeBaseEx[[#This Row],[Initial Period
End Date]])</f>
        <v>45199</v>
      </c>
      <c r="AC27" s="19">
        <v>6000</v>
      </c>
      <c r="AD27" t="s">
        <v>321</v>
      </c>
      <c r="AE27" t="s">
        <v>320</v>
      </c>
      <c r="AF27" s="20">
        <v>2.75E-2</v>
      </c>
      <c r="AG27" s="17">
        <v>44470</v>
      </c>
      <c r="AH27" s="17">
        <v>44834</v>
      </c>
      <c r="AI27" s="15" cm="1">
        <f t="array" ref="AI27">ROUND(ROUND((LesseeBaseEx[[#This Row],[Payment
EndDate]]-LesseeBaseEx[[#This Row],[Payment
StartDate]])/365,2)*_xlfn.IFS(LesseeBaseEx[[#This Row],[Payment
Frequency]]="MO",12,LesseeBaseEx[[#This Row],[Payment
Frequency]]="QT",4,LesseeBaseEx[[#This Row],[Payment
Frequency]]="SA",2,LesseeBaseEx[[#This Row],[Payment
Frequency]]="AN",1),0)</f>
        <v>12</v>
      </c>
      <c r="AJ27" s="19">
        <f>ROUND(LesseeBaseEx[[#This Row],[Payment
Amount]]*LesseeBaseEx[[#This Row],[Number of
 Payments]],2)</f>
        <v>72000</v>
      </c>
      <c r="AK27" s="19" t="str">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calc on import</v>
      </c>
      <c r="AL27" s="19" t="str">
        <f>IF(LesseeBaseEx[[#This Row],[Multi-
Record2]]="Multi-Amount", "calc on import",LesseeBaseEx[[#This Row],[Total Amount
of Payments]]-LesseeBaseEx[[#This Row],[Present
Value]])</f>
        <v>calc on import</v>
      </c>
      <c r="AM27" s="19" t="str">
        <f>LesseeBaseEx[[#This Row],[Present
Value]]</f>
        <v>calc on import</v>
      </c>
      <c r="AN27" s="19">
        <v>0</v>
      </c>
      <c r="AO27" s="19" t="str">
        <f>IF(LesseeBaseEx[[#This Row],[Multi-
Record2]]="Multi-Amount", "calc on import",LesseeBaseEx[[#This Row],[Total
CapitalizedValue]]-LesseeBaseEx[[#This Row],[Capitalized
ResidualValue]])</f>
        <v>calc on import</v>
      </c>
      <c r="AP27" s="19" t="str">
        <f>LesseeBaseEx[[#This Row],[Calc Amount
to Amortize]]</f>
        <v>calc on import</v>
      </c>
      <c r="AQ27" t="s">
        <v>296</v>
      </c>
      <c r="AR27" s="15" t="str">
        <f>IF(LesseeBaseEx[[#This Row],[RoU Asset
AmortizationMethod]] = "Declining Balance", "Enter %","")</f>
        <v/>
      </c>
      <c r="AS27" s="15" t="str">
        <f>IF(LesseeBaseEx[[#This Row],[RoU Asset
AmortizationMethod]]="Usage Based","Enter Usage Base","")</f>
        <v/>
      </c>
      <c r="AT27" s="15" t="str">
        <f>IF(LesseeBaseEx[[#This Row],[RoU Asset
AmortizationMethod]]="Usage Based","Enter Usage UoM","")</f>
        <v/>
      </c>
      <c r="AU27" s="17">
        <v>44105</v>
      </c>
      <c r="AV27" s="17">
        <f>IF(LesseeBaseEx[[#This Row],[Incl. Options
End Date]]&gt;0,LesseeBaseEx[[#This Row],[Incl. Options
End Date]],LesseeBaseEx[[#This Row],[Initial Period
End Date]])</f>
        <v>45199</v>
      </c>
      <c r="AW27" s="3" t="s">
        <v>321</v>
      </c>
      <c r="AX27" s="15" cm="1">
        <f t="array" ref="AX27">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36</v>
      </c>
    </row>
    <row r="28" spans="1:50" x14ac:dyDescent="0.25">
      <c r="A28" t="s">
        <v>509</v>
      </c>
      <c r="B28">
        <f>'Agency Cover'!$B$3</f>
        <v>0</v>
      </c>
      <c r="C28" t="s">
        <v>646</v>
      </c>
      <c r="D28" t="s">
        <v>593</v>
      </c>
      <c r="E28" s="15">
        <f>COUNTIF(LesseeBaseEx[AgreementCode],LesseeBaseEx[[#This Row],[AgreementCode]])</f>
        <v>9</v>
      </c>
      <c r="F28" t="s">
        <v>564</v>
      </c>
      <c r="G28" s="15">
        <f>COUNTIF(LesseeBaseEx[AgreementTitle],LesseeBaseEx[[#This Row],[AgreementTitle]])</f>
        <v>9</v>
      </c>
      <c r="I28" t="s">
        <v>271</v>
      </c>
      <c r="J28" t="s">
        <v>1</v>
      </c>
      <c r="K28" t="s">
        <v>647</v>
      </c>
      <c r="L28" s="17">
        <v>44105</v>
      </c>
      <c r="M28" s="17">
        <v>45199</v>
      </c>
      <c r="P28" s="17">
        <v>45200</v>
      </c>
      <c r="Q28" s="17">
        <v>45565</v>
      </c>
      <c r="R28" s="17"/>
      <c r="S28" s="25">
        <f>LEN(LesseeBaseEx[[#This Row],[Comments]])</f>
        <v>0</v>
      </c>
      <c r="T28" s="3" t="str">
        <f>LesseeBaseEx[[#This Row],[Multi-
Record]]</f>
        <v>Multi-Amount</v>
      </c>
      <c r="U28" t="s">
        <v>267</v>
      </c>
      <c r="V28" t="s">
        <v>568</v>
      </c>
      <c r="W28" s="15" t="s">
        <v>267</v>
      </c>
      <c r="X28" t="s">
        <v>649</v>
      </c>
      <c r="Y28"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28" s="15" t="str">
        <f>LesseeBaseEx[[#This Row],[ProvisionType]]</f>
        <v>Land</v>
      </c>
      <c r="AA28" s="17">
        <v>44105</v>
      </c>
      <c r="AB28" s="17">
        <f>IF(LesseeBaseEx[[#This Row],[Incl. Options
End Date]]&gt;0,LesseeBaseEx[[#This Row],[Incl. Options
End Date]],LesseeBaseEx[[#This Row],[Initial Period
End Date]])</f>
        <v>45199</v>
      </c>
      <c r="AC28" s="19">
        <v>7000</v>
      </c>
      <c r="AD28" t="s">
        <v>321</v>
      </c>
      <c r="AE28" t="s">
        <v>320</v>
      </c>
      <c r="AF28" s="20">
        <v>2.75E-2</v>
      </c>
      <c r="AG28" s="17">
        <v>44835</v>
      </c>
      <c r="AH28" s="17">
        <v>45199</v>
      </c>
      <c r="AI28" s="15" cm="1">
        <f t="array" ref="AI28">ROUND(ROUND((LesseeBaseEx[[#This Row],[Payment
EndDate]]-LesseeBaseEx[[#This Row],[Payment
StartDate]])/365,2)*_xlfn.IFS(LesseeBaseEx[[#This Row],[Payment
Frequency]]="MO",12,LesseeBaseEx[[#This Row],[Payment
Frequency]]="QT",4,LesseeBaseEx[[#This Row],[Payment
Frequency]]="SA",2,LesseeBaseEx[[#This Row],[Payment
Frequency]]="AN",1),0)</f>
        <v>12</v>
      </c>
      <c r="AJ28" s="19">
        <f>ROUND(LesseeBaseEx[[#This Row],[Payment
Amount]]*LesseeBaseEx[[#This Row],[Number of
 Payments]],2)</f>
        <v>84000</v>
      </c>
      <c r="AK28" s="19" t="str">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calc on import</v>
      </c>
      <c r="AL28" s="19" t="str">
        <f>IF(LesseeBaseEx[[#This Row],[Multi-
Record2]]="Multi-Amount", "calc on import",LesseeBaseEx[[#This Row],[Total Amount
of Payments]]-LesseeBaseEx[[#This Row],[Present
Value]])</f>
        <v>calc on import</v>
      </c>
      <c r="AM28" s="19" t="str">
        <f>LesseeBaseEx[[#This Row],[Present
Value]]</f>
        <v>calc on import</v>
      </c>
      <c r="AN28" s="19">
        <v>0</v>
      </c>
      <c r="AO28" s="19" t="str">
        <f>IF(LesseeBaseEx[[#This Row],[Multi-
Record2]]="Multi-Amount", "calc on import",LesseeBaseEx[[#This Row],[Total
CapitalizedValue]]-LesseeBaseEx[[#This Row],[Capitalized
ResidualValue]])</f>
        <v>calc on import</v>
      </c>
      <c r="AP28" s="19" t="str">
        <f>LesseeBaseEx[[#This Row],[Calc Amount
to Amortize]]</f>
        <v>calc on import</v>
      </c>
      <c r="AQ28" t="s">
        <v>296</v>
      </c>
      <c r="AR28" s="15" t="str">
        <f>IF(LesseeBaseEx[[#This Row],[RoU Asset
AmortizationMethod]] = "Declining Balance", "Enter %","")</f>
        <v/>
      </c>
      <c r="AS28" s="15" t="str">
        <f>IF(LesseeBaseEx[[#This Row],[RoU Asset
AmortizationMethod]]="Usage Based","Enter Usage Base","")</f>
        <v/>
      </c>
      <c r="AT28" s="15" t="str">
        <f>IF(LesseeBaseEx[[#This Row],[RoU Asset
AmortizationMethod]]="Usage Based","Enter Usage UoM","")</f>
        <v/>
      </c>
      <c r="AU28" s="17">
        <v>44105</v>
      </c>
      <c r="AV28" s="17">
        <f>IF(LesseeBaseEx[[#This Row],[Incl. Options
End Date]]&gt;0,LesseeBaseEx[[#This Row],[Incl. Options
End Date]],LesseeBaseEx[[#This Row],[Initial Period
End Date]])</f>
        <v>45199</v>
      </c>
      <c r="AW28" s="3" t="s">
        <v>321</v>
      </c>
      <c r="AX28" s="15" cm="1">
        <f t="array" ref="AX28">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36</v>
      </c>
    </row>
    <row r="29" spans="1:50" x14ac:dyDescent="0.25">
      <c r="A29" t="s">
        <v>509</v>
      </c>
      <c r="B29" s="15">
        <f>'Agency Cover'!$B$3</f>
        <v>0</v>
      </c>
      <c r="C29" t="s">
        <v>646</v>
      </c>
      <c r="D29" t="s">
        <v>545</v>
      </c>
      <c r="E29" s="15">
        <f>COUNTIF(LesseeBaseEx[AgreementCode],LesseeBaseEx[[#This Row],[AgreementCode]])</f>
        <v>9</v>
      </c>
      <c r="F29" t="s">
        <v>564</v>
      </c>
      <c r="G29" s="15">
        <f>COUNTIF(LesseeBaseEx[AgreementTitle],LesseeBaseEx[[#This Row],[AgreementTitle]])</f>
        <v>9</v>
      </c>
      <c r="I29" t="s">
        <v>271</v>
      </c>
      <c r="J29" t="s">
        <v>1</v>
      </c>
      <c r="K29" t="s">
        <v>647</v>
      </c>
      <c r="L29" s="17">
        <v>44105</v>
      </c>
      <c r="M29" s="17">
        <v>45199</v>
      </c>
      <c r="P29" s="17">
        <v>45200</v>
      </c>
      <c r="Q29" s="17">
        <v>45565</v>
      </c>
      <c r="R29" s="17"/>
      <c r="S29" s="25">
        <f>LEN(LesseeBaseEx[[#This Row],[Comments]])</f>
        <v>0</v>
      </c>
      <c r="T29" s="3" t="str">
        <f>LesseeBaseEx[[#This Row],[Multi-
Record]]</f>
        <v>Multi-Provision</v>
      </c>
      <c r="U29" t="s">
        <v>651</v>
      </c>
      <c r="V29" t="s">
        <v>652</v>
      </c>
      <c r="W29" s="15" t="str">
        <f>LesseeBaseEx[[#This Row],[AgreementType]]</f>
        <v>Buildings</v>
      </c>
      <c r="X29" t="s">
        <v>652</v>
      </c>
      <c r="Y29"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29" s="15" t="str">
        <f>LesseeBaseEx[[#This Row],[ProvisionType]]</f>
        <v>Buildings</v>
      </c>
      <c r="AA29" s="17">
        <v>44105</v>
      </c>
      <c r="AB29" s="17">
        <f>IF(LesseeBaseEx[[#This Row],[Incl. Options
End Date]]&gt;0,LesseeBaseEx[[#This Row],[Incl. Options
End Date]],LesseeBaseEx[[#This Row],[Initial Period
End Date]])</f>
        <v>45199</v>
      </c>
      <c r="AC29" s="19">
        <v>300</v>
      </c>
      <c r="AD29" t="s">
        <v>321</v>
      </c>
      <c r="AE29" t="s">
        <v>320</v>
      </c>
      <c r="AF29" s="20">
        <v>2.2499999999999999E-2</v>
      </c>
      <c r="AG29" s="17">
        <v>44105</v>
      </c>
      <c r="AH29" s="17">
        <v>45199</v>
      </c>
      <c r="AI29" s="15" cm="1">
        <f t="array" ref="AI29">ROUND(ROUND((LesseeBaseEx[[#This Row],[Payment
EndDate]]-LesseeBaseEx[[#This Row],[Payment
StartDate]])/365,2)*_xlfn.IFS(LesseeBaseEx[[#This Row],[Payment
Frequency]]="MO",12,LesseeBaseEx[[#This Row],[Payment
Frequency]]="QT",4,LesseeBaseEx[[#This Row],[Payment
Frequency]]="SA",2,LesseeBaseEx[[#This Row],[Payment
Frequency]]="AN",1),0)</f>
        <v>36</v>
      </c>
      <c r="AJ29" s="19">
        <f>ROUND(LesseeBaseEx[[#This Row],[Payment
Amount]]*LesseeBaseEx[[#This Row],[Number of
 Payments]],2)</f>
        <v>10800</v>
      </c>
      <c r="AK29"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10453.68</v>
      </c>
      <c r="AL29" s="19">
        <f>IF(LesseeBaseEx[[#This Row],[Multi-
Record2]]="Multi-Amount", "calc on import",LesseeBaseEx[[#This Row],[Total Amount
of Payments]]-LesseeBaseEx[[#This Row],[Present
Value]])</f>
        <v>346.31999999999971</v>
      </c>
      <c r="AM29" s="19">
        <f>LesseeBaseEx[[#This Row],[Present
Value]]</f>
        <v>10453.68</v>
      </c>
      <c r="AN29" s="19">
        <v>0</v>
      </c>
      <c r="AO29" s="19">
        <f>IF(LesseeBaseEx[[#This Row],[Multi-
Record2]]="Multi-Amount", "calc on import",LesseeBaseEx[[#This Row],[Total
CapitalizedValue]]-LesseeBaseEx[[#This Row],[Capitalized
ResidualValue]])</f>
        <v>10453.68</v>
      </c>
      <c r="AP29" s="19">
        <f>LesseeBaseEx[[#This Row],[Calc Amount
to Amortize]]</f>
        <v>10453.68</v>
      </c>
      <c r="AQ29" t="s">
        <v>296</v>
      </c>
      <c r="AR29" s="15" t="str">
        <f>IF(LesseeBaseEx[[#This Row],[RoU Asset
AmortizationMethod]] = "Declining Balance", "Enter %","")</f>
        <v/>
      </c>
      <c r="AS29" s="15" t="str">
        <f>IF(LesseeBaseEx[[#This Row],[RoU Asset
AmortizationMethod]]="Usage Based","Enter Usage Base","")</f>
        <v/>
      </c>
      <c r="AT29" s="15" t="str">
        <f>IF(LesseeBaseEx[[#This Row],[RoU Asset
AmortizationMethod]]="Usage Based","Enter Usage UoM","")</f>
        <v/>
      </c>
      <c r="AU29" s="17">
        <v>44105</v>
      </c>
      <c r="AV29" s="17">
        <f>IF(LesseeBaseEx[[#This Row],[Incl. Options
End Date]]&gt;0,LesseeBaseEx[[#This Row],[Incl. Options
End Date]],LesseeBaseEx[[#This Row],[Initial Period
End Date]])</f>
        <v>45199</v>
      </c>
      <c r="AW29" s="3" t="s">
        <v>321</v>
      </c>
      <c r="AX29" s="15" cm="1">
        <f t="array" ref="AX29">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36</v>
      </c>
    </row>
    <row r="30" spans="1:50" x14ac:dyDescent="0.25">
      <c r="A30" t="s">
        <v>509</v>
      </c>
      <c r="B30" s="15">
        <f>'Agency Cover'!$B$3</f>
        <v>0</v>
      </c>
      <c r="C30" t="s">
        <v>646</v>
      </c>
      <c r="D30" t="s">
        <v>545</v>
      </c>
      <c r="E30" s="15">
        <f>COUNTIF(LesseeBaseEx[AgreementCode],LesseeBaseEx[[#This Row],[AgreementCode]])</f>
        <v>9</v>
      </c>
      <c r="F30" t="s">
        <v>564</v>
      </c>
      <c r="G30" s="15">
        <f>COUNTIF(LesseeBaseEx[AgreementTitle],LesseeBaseEx[[#This Row],[AgreementTitle]])</f>
        <v>9</v>
      </c>
      <c r="I30" t="s">
        <v>271</v>
      </c>
      <c r="J30" t="s">
        <v>1</v>
      </c>
      <c r="K30" t="s">
        <v>647</v>
      </c>
      <c r="L30" s="17">
        <v>44105</v>
      </c>
      <c r="M30" s="17">
        <v>45199</v>
      </c>
      <c r="P30" s="17">
        <v>45200</v>
      </c>
      <c r="Q30" s="17">
        <v>45565</v>
      </c>
      <c r="R30" s="17"/>
      <c r="S30" s="25">
        <f>LEN(LesseeBaseEx[[#This Row],[Comments]])</f>
        <v>0</v>
      </c>
      <c r="T30" s="3" t="str">
        <f>LesseeBaseEx[[#This Row],[Multi-
Record]]</f>
        <v>Multi-Provision</v>
      </c>
      <c r="U30" t="s">
        <v>653</v>
      </c>
      <c r="V30" t="s">
        <v>654</v>
      </c>
      <c r="W30" s="15" t="str">
        <f>LesseeBaseEx[[#This Row],[AgreementType]]</f>
        <v>Buildings</v>
      </c>
      <c r="X30" t="s">
        <v>654</v>
      </c>
      <c r="Y30"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Transactional</v>
      </c>
      <c r="Z30" s="15" t="str">
        <f>LesseeBaseEx[[#This Row],[ProvisionType]]</f>
        <v>Buildings</v>
      </c>
      <c r="AA30" s="17">
        <v>44105</v>
      </c>
      <c r="AB30" s="17">
        <f>IF(LesseeBaseEx[[#This Row],[Incl. Options
End Date]]&gt;0,LesseeBaseEx[[#This Row],[Incl. Options
End Date]],LesseeBaseEx[[#This Row],[Initial Period
End Date]])</f>
        <v>45199</v>
      </c>
      <c r="AC30" s="19">
        <v>450</v>
      </c>
      <c r="AD30" t="s">
        <v>321</v>
      </c>
      <c r="AE30" t="s">
        <v>320</v>
      </c>
      <c r="AF30" s="20">
        <v>2.2499999999999999E-2</v>
      </c>
      <c r="AG30" s="17">
        <v>44105</v>
      </c>
      <c r="AH30" s="17">
        <v>45199</v>
      </c>
      <c r="AI30" s="15" cm="1">
        <f t="array" ref="AI30">ROUND(ROUND((LesseeBaseEx[[#This Row],[Payment
EndDate]]-LesseeBaseEx[[#This Row],[Payment
StartDate]])/365,2)*_xlfn.IFS(LesseeBaseEx[[#This Row],[Payment
Frequency]]="MO",12,LesseeBaseEx[[#This Row],[Payment
Frequency]]="QT",4,LesseeBaseEx[[#This Row],[Payment
Frequency]]="SA",2,LesseeBaseEx[[#This Row],[Payment
Frequency]]="AN",1),0)</f>
        <v>36</v>
      </c>
      <c r="AJ30" s="19">
        <f>ROUND(LesseeBaseEx[[#This Row],[Payment
Amount]]*LesseeBaseEx[[#This Row],[Number of
 Payments]],2)</f>
        <v>16200</v>
      </c>
      <c r="AK30" s="19">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15680.51</v>
      </c>
      <c r="AL30" s="19">
        <f>IF(LesseeBaseEx[[#This Row],[Multi-
Record2]]="Multi-Amount", "calc on import",LesseeBaseEx[[#This Row],[Total Amount
of Payments]]-LesseeBaseEx[[#This Row],[Present
Value]])</f>
        <v>519.48999999999978</v>
      </c>
      <c r="AM30" s="19">
        <f>LesseeBaseEx[[#This Row],[Present
Value]]</f>
        <v>15680.51</v>
      </c>
      <c r="AN30" s="19">
        <v>0</v>
      </c>
      <c r="AO30" s="19">
        <f>IF(LesseeBaseEx[[#This Row],[Multi-
Record2]]="Multi-Amount", "calc on import",LesseeBaseEx[[#This Row],[Total
CapitalizedValue]]-LesseeBaseEx[[#This Row],[Capitalized
ResidualValue]])</f>
        <v>15680.51</v>
      </c>
      <c r="AP30" s="19">
        <f>LesseeBaseEx[[#This Row],[Calc Amount
to Amortize]]</f>
        <v>15680.51</v>
      </c>
      <c r="AQ30" t="s">
        <v>296</v>
      </c>
      <c r="AR30" s="15" t="str">
        <f>IF(LesseeBaseEx[[#This Row],[RoU Asset
AmortizationMethod]] = "Declining Balance", "Enter %","")</f>
        <v/>
      </c>
      <c r="AS30" s="15" t="str">
        <f>IF(LesseeBaseEx[[#This Row],[RoU Asset
AmortizationMethod]]="Usage Based","Enter Usage Base","")</f>
        <v/>
      </c>
      <c r="AT30" s="15" t="str">
        <f>IF(LesseeBaseEx[[#This Row],[RoU Asset
AmortizationMethod]]="Usage Based","Enter Usage UoM","")</f>
        <v/>
      </c>
      <c r="AU30" s="17">
        <v>44105</v>
      </c>
      <c r="AV30" s="17">
        <f>IF(LesseeBaseEx[[#This Row],[Incl. Options
End Date]]&gt;0,LesseeBaseEx[[#This Row],[Incl. Options
End Date]],LesseeBaseEx[[#This Row],[Initial Period
End Date]])</f>
        <v>45199</v>
      </c>
      <c r="AW30" s="3" t="s">
        <v>321</v>
      </c>
      <c r="AX30" s="15" cm="1">
        <f t="array" ref="AX30">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36</v>
      </c>
    </row>
    <row r="31" spans="1:50" x14ac:dyDescent="0.25">
      <c r="A31" t="s">
        <v>509</v>
      </c>
      <c r="B31">
        <f>'Agency Cover'!$B$3</f>
        <v>0</v>
      </c>
      <c r="C31" t="s">
        <v>646</v>
      </c>
      <c r="D31" t="s">
        <v>545</v>
      </c>
      <c r="E31" s="15">
        <f>COUNTIF(LesseeBaseEx[AgreementCode],LesseeBaseEx[[#This Row],[AgreementCode]])</f>
        <v>9</v>
      </c>
      <c r="F31" t="s">
        <v>564</v>
      </c>
      <c r="G31" s="15">
        <f>COUNTIF(LesseeBaseEx[AgreementTitle],LesseeBaseEx[[#This Row],[AgreementTitle]])</f>
        <v>9</v>
      </c>
      <c r="I31" t="s">
        <v>271</v>
      </c>
      <c r="J31" t="s">
        <v>1</v>
      </c>
      <c r="K31" t="s">
        <v>647</v>
      </c>
      <c r="L31" s="17">
        <v>44105</v>
      </c>
      <c r="M31" s="17">
        <v>45199</v>
      </c>
      <c r="P31" s="17">
        <v>45200</v>
      </c>
      <c r="Q31" s="17">
        <v>45565</v>
      </c>
      <c r="R31" s="17"/>
      <c r="S31" s="25">
        <f>LEN(LesseeBaseEx[[#This Row],[Comments]])</f>
        <v>0</v>
      </c>
      <c r="T31" s="3" t="str">
        <f>LesseeBaseEx[[#This Row],[Multi-
Record]]</f>
        <v>Multi-Provision</v>
      </c>
      <c r="U31" t="s">
        <v>615</v>
      </c>
      <c r="V31" t="s">
        <v>616</v>
      </c>
      <c r="W31" s="15" t="s">
        <v>263</v>
      </c>
      <c r="X31" t="s">
        <v>631</v>
      </c>
      <c r="Y31" t="s">
        <v>291</v>
      </c>
      <c r="Z31" s="15" t="str">
        <f>LesseeBaseEx[[#This Row],[ProvisionType]]</f>
        <v>Services</v>
      </c>
      <c r="AB31" s="17">
        <f>IF(LesseeBaseEx[[#This Row],[Incl. Options
End Date]]&gt;0,LesseeBaseEx[[#This Row],[Incl. Options
End Date]],LesseeBaseEx[[#This Row],[Initial Period
End Date]])</f>
        <v>45199</v>
      </c>
      <c r="AI31" s="15" t="e" cm="1">
        <f t="array" ref="AI31">ROUND(ROUND((LesseeBaseEx[[#This Row],[Payment
EndDate]]-LesseeBaseEx[[#This Row],[Payment
StartDate]])/365,2)*_xlfn.IFS(LesseeBaseEx[[#This Row],[Payment
Frequency]]="MO",12,LesseeBaseEx[[#This Row],[Payment
Frequency]]="QT",4,LesseeBaseEx[[#This Row],[Payment
Frequency]]="SA",2,LesseeBaseEx[[#This Row],[Payment
Frequency]]="AN",1),0)</f>
        <v>#N/A</v>
      </c>
      <c r="AJ31" s="19" t="e">
        <f>ROUND(LesseeBaseEx[[#This Row],[Payment
Amount]]*LesseeBaseEx[[#This Row],[Number of
 Payments]],2)</f>
        <v>#N/A</v>
      </c>
      <c r="AK31"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31" s="19" t="e">
        <f>IF(LesseeBaseEx[[#This Row],[Multi-
Record2]]="Multi-Amount", "calc on import",LesseeBaseEx[[#This Row],[Total Amount
of Payments]]-LesseeBaseEx[[#This Row],[Present
Value]])</f>
        <v>#N/A</v>
      </c>
      <c r="AM31" s="19" t="e">
        <f>LesseeBaseEx[[#This Row],[Present
Value]]</f>
        <v>#DIV/0!</v>
      </c>
      <c r="AN31" s="19">
        <v>0</v>
      </c>
      <c r="AO31" s="19" t="e">
        <f>IF(LesseeBaseEx[[#This Row],[Multi-
Record2]]="Multi-Amount", "calc on import",LesseeBaseEx[[#This Row],[Total
CapitalizedValue]]-LesseeBaseEx[[#This Row],[Capitalized
ResidualValue]])</f>
        <v>#DIV/0!</v>
      </c>
      <c r="AP31" s="19" t="e">
        <f>LesseeBaseEx[[#This Row],[Calc Amount
to Amortize]]</f>
        <v>#DIV/0!</v>
      </c>
      <c r="AQ31" t="s">
        <v>296</v>
      </c>
      <c r="AR31" s="15" t="str">
        <f>IF(LesseeBaseEx[[#This Row],[RoU Asset
AmortizationMethod]] = "Declining Balance", "Enter %","")</f>
        <v/>
      </c>
      <c r="AS31" s="15" t="str">
        <f>IF(LesseeBaseEx[[#This Row],[RoU Asset
AmortizationMethod]]="Usage Based","Enter Usage Base","")</f>
        <v/>
      </c>
      <c r="AT31" s="15" t="str">
        <f>IF(LesseeBaseEx[[#This Row],[RoU Asset
AmortizationMethod]]="Usage Based","Enter Usage UoM","")</f>
        <v/>
      </c>
      <c r="AV31" s="17">
        <f>IF(LesseeBaseEx[[#This Row],[Incl. Options
End Date]]&gt;0,LesseeBaseEx[[#This Row],[Incl. Options
End Date]],LesseeBaseEx[[#This Row],[Initial Period
End Date]])</f>
        <v>45199</v>
      </c>
      <c r="AW31" s="3" t="s">
        <v>321</v>
      </c>
      <c r="AX31" s="15" cm="1">
        <f t="array" ref="AX31">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1486</v>
      </c>
    </row>
    <row r="32" spans="1:50" x14ac:dyDescent="0.25">
      <c r="A32" s="99" t="s">
        <v>509</v>
      </c>
      <c r="B32" s="99">
        <f>'Agency Cover'!$B$3</f>
        <v>0</v>
      </c>
      <c r="C32" s="99" t="s">
        <v>517</v>
      </c>
      <c r="D32" s="99" t="s">
        <v>291</v>
      </c>
      <c r="E32" s="114">
        <f>COUNTIF(LesseeBaseEx[AgreementCode],LesseeBaseEx[[#This Row],[AgreementCode]])</f>
        <v>1</v>
      </c>
      <c r="F32" s="99" t="s">
        <v>518</v>
      </c>
      <c r="G32" s="114">
        <f>COUNTIF(LesseeBaseEx[AgreementTitle],LesseeBaseEx[[#This Row],[AgreementTitle]])</f>
        <v>1</v>
      </c>
      <c r="H32" s="99"/>
      <c r="I32" s="99"/>
      <c r="J32" s="99"/>
      <c r="K32" s="99"/>
      <c r="L32" s="100"/>
      <c r="M32" s="100"/>
      <c r="N32" s="100"/>
      <c r="O32" s="100"/>
      <c r="P32" s="100"/>
      <c r="Q32" s="100"/>
      <c r="R32" s="100"/>
      <c r="S32" s="115">
        <f>LEN(LesseeBaseEx[[#This Row],[Comments]])</f>
        <v>0</v>
      </c>
      <c r="T32" s="116" t="str">
        <f>LesseeBaseEx[[#This Row],[Multi-
Record]]</f>
        <v>None</v>
      </c>
      <c r="U32" s="99" t="str">
        <f>LesseeBaseEx[[#This Row],[AgreementCode]]</f>
        <v>Formula  Row</v>
      </c>
      <c r="V32" s="99" t="str">
        <f>LEFT(LesseeBaseEx[[#This Row],[AgreementTitle]],50)</f>
        <v>Formula Row - Do Not Delete - Copy if needed</v>
      </c>
      <c r="W32" s="114">
        <f>LesseeBaseEx[[#This Row],[AgreementType]]</f>
        <v>0</v>
      </c>
      <c r="X32" s="99"/>
      <c r="Y32" t="str">
        <f>IF(LesseeBaseEx[[#This Row],[Incl. Options
End Date]] = 0, IF(ROUND(ROUND((LesseeBaseEx[[#This Row],[Initial Period
End Date]]-LesseeBaseEx[[#This Row],[Initial Period
Start Date]])/365,2)*12,0)&lt;=12,"None","Transactional"), IF(ROUND(ROUND((LesseeBaseEx[[#This Row],[Incl. Options
End Date]]-LesseeBaseEx[[#This Row],[Initial Period
Start Date]])/365,2)*12,0)&lt;=12,"None","Transactional"))</f>
        <v>None</v>
      </c>
      <c r="Z32" s="15">
        <f>LesseeBaseEx[[#This Row],[ProvisionType]]</f>
        <v>0</v>
      </c>
      <c r="AB32" s="17">
        <f>IF(LesseeBaseEx[[#This Row],[Incl. Options
End Date]]&gt;0,LesseeBaseEx[[#This Row],[Incl. Options
End Date]],LesseeBaseEx[[#This Row],[Initial Period
End Date]])</f>
        <v>0</v>
      </c>
      <c r="AI32" s="15" t="e" cm="1">
        <f t="array" ref="AI32">ROUND(ROUND((LesseeBaseEx[[#This Row],[Payment
EndDate]]-LesseeBaseEx[[#This Row],[Payment
StartDate]])/365,2)*_xlfn.IFS(LesseeBaseEx[[#This Row],[Payment
Frequency]]="MO",12,LesseeBaseEx[[#This Row],[Payment
Frequency]]="QT",4,LesseeBaseEx[[#This Row],[Payment
Frequency]]="SA",2,LesseeBaseEx[[#This Row],[Payment
Frequency]]="AN",1),0)</f>
        <v>#N/A</v>
      </c>
      <c r="AJ32" s="19" t="e">
        <f>ROUND(LesseeBaseEx[[#This Row],[Payment
Amount]]*LesseeBaseEx[[#This Row],[Number of
 Payments]],2)</f>
        <v>#N/A</v>
      </c>
      <c r="AK32" s="19" t="e">
        <f>IF(LesseeBaseEx[[#This Row],[Multi-
Record2]]="Multi-Amount", "calc on import", ROUND(PV(LesseeBaseEx[[#This Row],[Annual
Rate]]/IF(LesseeBaseEx[[#This Row],[Payment
Frequency]] = "MO",12,IF(LesseeBaseEx[[#This Row],[Payment
Frequency]] = "QT",4,IF(LesseeBaseEx[[#This Row],[Payment
Frequency]] = "SA",2,IF(LesseeBaseEx[[#This Row],[Payment
Frequency]] = "AN",1,0)))),LesseeBaseEx[[#This Row],[Number of
 Payments]],LesseeBaseEx[[#This Row],[Payment
Amount]],,IF(LesseeBaseEx[[#This Row],[Payment
Timing]]="Advance",1,IF(LesseeBaseEx[[#This Row],[Payment
Timing]]="Arrears",0,"x")))*-1,2))</f>
        <v>#DIV/0!</v>
      </c>
      <c r="AL32" s="19" t="e">
        <f>IF(LesseeBaseEx[[#This Row],[Multi-
Record2]]="Multi-Amount", "calc on import",LesseeBaseEx[[#This Row],[Total Amount
of Payments]]-LesseeBaseEx[[#This Row],[Present
Value]])</f>
        <v>#N/A</v>
      </c>
      <c r="AM32" s="19" t="e">
        <f>LesseeBaseEx[[#This Row],[Present
Value]]</f>
        <v>#DIV/0!</v>
      </c>
      <c r="AO32" s="19" t="e">
        <f>IF(LesseeBaseEx[[#This Row],[Multi-
Record2]]="Multi-Amount", "calc on import",LesseeBaseEx[[#This Row],[Total
CapitalizedValue]]-LesseeBaseEx[[#This Row],[Capitalized
ResidualValue]])</f>
        <v>#DIV/0!</v>
      </c>
      <c r="AP32" s="19" t="e">
        <f>LesseeBaseEx[[#This Row],[Calc Amount
to Amortize]]</f>
        <v>#DIV/0!</v>
      </c>
      <c r="AQ32" t="s">
        <v>296</v>
      </c>
      <c r="AR32" s="15" t="str">
        <f>IF(LesseeBaseEx[[#This Row],[RoU Asset
AmortizationMethod]] = "Declining Balance", "Enter %","")</f>
        <v/>
      </c>
      <c r="AS32" s="15" t="str">
        <f>IF(LesseeBaseEx[[#This Row],[RoU Asset
AmortizationMethod]]="Usage Based","Enter Usage Base","")</f>
        <v/>
      </c>
      <c r="AT32" s="15" t="str">
        <f>IF(LesseeBaseEx[[#This Row],[RoU Asset
AmortizationMethod]]="Usage Based","Enter Usage UoM","")</f>
        <v/>
      </c>
      <c r="AV32" s="17">
        <f>IF(LesseeBaseEx[[#This Row],[Incl. Options
End Date]]&gt;0,LesseeBaseEx[[#This Row],[Incl. Options
End Date]],LesseeBaseEx[[#This Row],[Initial Period
End Date]])</f>
        <v>0</v>
      </c>
      <c r="AW32" s="3" t="s">
        <v>321</v>
      </c>
      <c r="AX32" s="15" cm="1">
        <f t="array" ref="AX32">ROUND(ROUND((LesseeBaseEx[[#This Row],[RoU Amortization
EndDate]]-LesseeBaseEx[[#This Row],[RoU Amortization
StartDate]])/365,2)*_xlfn.IFS(LesseeBaseEx[[#This Row],[RoU Amortization
Frequency]]="MO",12,LesseeBaseEx[[#This Row],[RoU Amortization
Frequency]]="QT",4,LesseeBaseEx[[#This Row],[RoU Amortization
Frequency]]="SA",2,LesseeBaseEx[[#This Row],[RoU Amortization
Frequency]]="AN",1),0)</f>
        <v>0</v>
      </c>
    </row>
  </sheetData>
  <sheetProtection algorithmName="SHA-512" hashValue="seNV/br+aU51dlQqRY8ZLpH10fOLhSmLTcquvRvU2tAGjY5VF4nqr63FA+CFOXPjIJD0cRceG+fHnbzyPN3uPw==" saltValue="BjvYClNKAmWRO4H8L058+A==" spinCount="100000" sheet="1" objects="1" scenarios="1"/>
  <conditionalFormatting sqref="E20:E21 E23:E32 G23:G32">
    <cfRule type="cellIs" dxfId="75" priority="89" operator="greaterThan">
      <formula>1</formula>
    </cfRule>
  </conditionalFormatting>
  <conditionalFormatting sqref="E3">
    <cfRule type="containsText" dxfId="74" priority="88" operator="containsText" text="Error: 0">
      <formula>NOT(ISERROR(SEARCH("Error: 0",E3)))</formula>
    </cfRule>
  </conditionalFormatting>
  <conditionalFormatting sqref="G18:G21">
    <cfRule type="cellIs" dxfId="73" priority="87" operator="greaterThan">
      <formula>1</formula>
    </cfRule>
  </conditionalFormatting>
  <conditionalFormatting sqref="G3">
    <cfRule type="containsText" dxfId="72" priority="86" operator="containsText" text="Error: 0">
      <formula>NOT(ISERROR(SEARCH("Error: 0",G3)))</formula>
    </cfRule>
  </conditionalFormatting>
  <conditionalFormatting sqref="S23:S32">
    <cfRule type="cellIs" dxfId="71" priority="49" operator="greaterThan">
      <formula>300</formula>
    </cfRule>
  </conditionalFormatting>
  <conditionalFormatting sqref="S3">
    <cfRule type="containsText" dxfId="70" priority="84" operator="containsText" text="Error: 0">
      <formula>NOT(ISERROR(SEARCH("Error: 0",S3)))</formula>
    </cfRule>
  </conditionalFormatting>
  <conditionalFormatting sqref="C3">
    <cfRule type="containsText" dxfId="69" priority="83" operator="containsText" text="Error: 0">
      <formula>NOT(ISERROR(SEARCH("Error: 0",C3)))</formula>
    </cfRule>
  </conditionalFormatting>
  <conditionalFormatting sqref="F3">
    <cfRule type="containsText" dxfId="68" priority="82" operator="containsText" text="Error: 0">
      <formula>NOT(ISERROR(SEARCH("Error: 0",F3)))</formula>
    </cfRule>
  </conditionalFormatting>
  <conditionalFormatting sqref="I3">
    <cfRule type="containsText" dxfId="67" priority="81" operator="containsText" text="Error: 0">
      <formula>NOT(ISERROR(SEARCH("Error: 0",I3)))</formula>
    </cfRule>
  </conditionalFormatting>
  <conditionalFormatting sqref="J3">
    <cfRule type="containsText" dxfId="66" priority="80" operator="containsText" text="Error: 0">
      <formula>NOT(ISERROR(SEARCH("Error: 0",J3)))</formula>
    </cfRule>
  </conditionalFormatting>
  <conditionalFormatting sqref="K3">
    <cfRule type="containsText" dxfId="65" priority="79" operator="containsText" text="Error: 0">
      <formula>NOT(ISERROR(SEARCH("Error: 0",K3)))</formula>
    </cfRule>
  </conditionalFormatting>
  <conditionalFormatting sqref="T3:U3">
    <cfRule type="containsText" dxfId="64" priority="78" operator="containsText" text="Error: 0">
      <formula>NOT(ISERROR(SEARCH("Error: 0",T3)))</formula>
    </cfRule>
  </conditionalFormatting>
  <conditionalFormatting sqref="V3">
    <cfRule type="containsText" dxfId="63" priority="77" operator="containsText" text="Error: 0">
      <formula>NOT(ISERROR(SEARCH("Error: 0",V3)))</formula>
    </cfRule>
  </conditionalFormatting>
  <conditionalFormatting sqref="W3">
    <cfRule type="containsText" dxfId="62" priority="76" operator="containsText" text="Error: 0">
      <formula>NOT(ISERROR(SEARCH("Error: 0",W3)))</formula>
    </cfRule>
  </conditionalFormatting>
  <conditionalFormatting sqref="Y3">
    <cfRule type="containsText" dxfId="61" priority="75" operator="containsText" text="Error: 0">
      <formula>NOT(ISERROR(SEARCH("Error: 0",Y3)))</formula>
    </cfRule>
  </conditionalFormatting>
  <conditionalFormatting sqref="Z3">
    <cfRule type="containsText" dxfId="60" priority="74" operator="containsText" text="Error: 0">
      <formula>NOT(ISERROR(SEARCH("Error: 0",Z3)))</formula>
    </cfRule>
  </conditionalFormatting>
  <conditionalFormatting sqref="AA3">
    <cfRule type="containsText" dxfId="59" priority="73" operator="containsText" text="Error: 0">
      <formula>NOT(ISERROR(SEARCH("Error: 0",AA3)))</formula>
    </cfRule>
  </conditionalFormatting>
  <conditionalFormatting sqref="AB3">
    <cfRule type="containsText" dxfId="58" priority="72" operator="containsText" text="Error: 0">
      <formula>NOT(ISERROR(SEARCH("Error: 0",AB3)))</formula>
    </cfRule>
  </conditionalFormatting>
  <conditionalFormatting sqref="AC3">
    <cfRule type="containsText" dxfId="57" priority="71" operator="containsText" text="Error: 0">
      <formula>NOT(ISERROR(SEARCH("Error: 0",AC3)))</formula>
    </cfRule>
  </conditionalFormatting>
  <conditionalFormatting sqref="AD3">
    <cfRule type="containsText" dxfId="56" priority="70" operator="containsText" text="Error: 0">
      <formula>NOT(ISERROR(SEARCH("Error: 0",AD3)))</formula>
    </cfRule>
  </conditionalFormatting>
  <conditionalFormatting sqref="AE3">
    <cfRule type="containsText" dxfId="55" priority="69" operator="containsText" text="Error: 0">
      <formula>NOT(ISERROR(SEARCH("Error: 0",AE3)))</formula>
    </cfRule>
  </conditionalFormatting>
  <conditionalFormatting sqref="AF3">
    <cfRule type="containsText" dxfId="54" priority="68" operator="containsText" text="Error: 0">
      <formula>NOT(ISERROR(SEARCH("Error: 0",AF3)))</formula>
    </cfRule>
  </conditionalFormatting>
  <conditionalFormatting sqref="AG3">
    <cfRule type="containsText" dxfId="53" priority="67" operator="containsText" text="Error: 0">
      <formula>NOT(ISERROR(SEARCH("Error: 0",AG3)))</formula>
    </cfRule>
  </conditionalFormatting>
  <conditionalFormatting sqref="AH3">
    <cfRule type="containsText" dxfId="52" priority="66" operator="containsText" text="Error: 0">
      <formula>NOT(ISERROR(SEARCH("Error: 0",AH3)))</formula>
    </cfRule>
  </conditionalFormatting>
  <conditionalFormatting sqref="AM3">
    <cfRule type="containsText" dxfId="51" priority="65" operator="containsText" text="Error: 0">
      <formula>NOT(ISERROR(SEARCH("Error: 0",AM3)))</formula>
    </cfRule>
  </conditionalFormatting>
  <conditionalFormatting sqref="AN3">
    <cfRule type="containsText" dxfId="50" priority="64" operator="containsText" text="Error: 0">
      <formula>NOT(ISERROR(SEARCH("Error: 0",AN3)))</formula>
    </cfRule>
  </conditionalFormatting>
  <conditionalFormatting sqref="AP3">
    <cfRule type="containsText" dxfId="49" priority="63" operator="containsText" text="Error: 0">
      <formula>NOT(ISERROR(SEARCH("Error: 0",AP3)))</formula>
    </cfRule>
  </conditionalFormatting>
  <conditionalFormatting sqref="AQ3">
    <cfRule type="containsText" dxfId="48" priority="62" operator="containsText" text="Error: 0">
      <formula>NOT(ISERROR(SEARCH("Error: 0",AQ3)))</formula>
    </cfRule>
  </conditionalFormatting>
  <conditionalFormatting sqref="AR3">
    <cfRule type="containsText" dxfId="47" priority="61" operator="containsText" text="Error: 0">
      <formula>NOT(ISERROR(SEARCH("Error: 0",AR3)))</formula>
    </cfRule>
  </conditionalFormatting>
  <conditionalFormatting sqref="AS3">
    <cfRule type="containsText" dxfId="46" priority="60" operator="containsText" text="Error: 0">
      <formula>NOT(ISERROR(SEARCH("Error: 0",AS3)))</formula>
    </cfRule>
  </conditionalFormatting>
  <conditionalFormatting sqref="AT3">
    <cfRule type="containsText" dxfId="45" priority="59" operator="containsText" text="Error: 0">
      <formula>NOT(ISERROR(SEARCH("Error: 0",AT3)))</formula>
    </cfRule>
  </conditionalFormatting>
  <conditionalFormatting sqref="AU3">
    <cfRule type="containsText" dxfId="44" priority="58" operator="containsText" text="Error: 0">
      <formula>NOT(ISERROR(SEARCH("Error: 0",AU3)))</formula>
    </cfRule>
  </conditionalFormatting>
  <conditionalFormatting sqref="AV3">
    <cfRule type="containsText" dxfId="43" priority="57" operator="containsText" text="Error: 0">
      <formula>NOT(ISERROR(SEARCH("Error: 0",AV3)))</formula>
    </cfRule>
  </conditionalFormatting>
  <conditionalFormatting sqref="AW3">
    <cfRule type="containsText" dxfId="42" priority="56" operator="containsText" text="Error: 0">
      <formula>NOT(ISERROR(SEARCH("Error: 0",AW3)))</formula>
    </cfRule>
  </conditionalFormatting>
  <conditionalFormatting sqref="L3:M3">
    <cfRule type="containsText" dxfId="41" priority="55" operator="containsText" text="Error: 0">
      <formula>NOT(ISERROR(SEARCH("Error: 0",L3)))</formula>
    </cfRule>
  </conditionalFormatting>
  <conditionalFormatting sqref="AH6 AB11:AB32">
    <cfRule type="cellIs" dxfId="40" priority="54" operator="equal">
      <formula>0</formula>
    </cfRule>
  </conditionalFormatting>
  <conditionalFormatting sqref="AH7:AH9">
    <cfRule type="cellIs" dxfId="39" priority="53" operator="equal">
      <formula>0</formula>
    </cfRule>
  </conditionalFormatting>
  <conditionalFormatting sqref="AV6 AV11:AV32">
    <cfRule type="cellIs" dxfId="38" priority="51" operator="equal">
      <formula>0</formula>
    </cfRule>
    <cfRule type="cellIs" dxfId="37" priority="52" operator="equal">
      <formula>0</formula>
    </cfRule>
  </conditionalFormatting>
  <conditionalFormatting sqref="AV7:AV10">
    <cfRule type="cellIs" dxfId="36" priority="50" operator="equal">
      <formula>0</formula>
    </cfRule>
    <cfRule type="cellIs" dxfId="35" priority="90" operator="equal">
      <formula>0</formula>
    </cfRule>
  </conditionalFormatting>
  <conditionalFormatting sqref="AB6">
    <cfRule type="cellIs" dxfId="34" priority="48" operator="equal">
      <formula>0</formula>
    </cfRule>
  </conditionalFormatting>
  <conditionalFormatting sqref="AB7:AB10">
    <cfRule type="cellIs" dxfId="33" priority="47" operator="equal">
      <formula>0</formula>
    </cfRule>
  </conditionalFormatting>
  <conditionalFormatting sqref="S10">
    <cfRule type="cellIs" dxfId="32" priority="17" operator="greaterThan">
      <formula>300</formula>
    </cfRule>
  </conditionalFormatting>
  <conditionalFormatting sqref="Z6:BH32">
    <cfRule type="expression" dxfId="31" priority="45" stopIfTrue="1">
      <formula>$Y6="None"</formula>
    </cfRule>
  </conditionalFormatting>
  <conditionalFormatting sqref="E20:E21">
    <cfRule type="cellIs" dxfId="30" priority="44" operator="greaterThan">
      <formula>1</formula>
    </cfRule>
  </conditionalFormatting>
  <conditionalFormatting sqref="G18:G21">
    <cfRule type="cellIs" dxfId="29" priority="43" operator="greaterThan">
      <formula>1</formula>
    </cfRule>
  </conditionalFormatting>
  <conditionalFormatting sqref="S18:S21">
    <cfRule type="cellIs" dxfId="28" priority="39" operator="greaterThan">
      <formula>300</formula>
    </cfRule>
  </conditionalFormatting>
  <conditionalFormatting sqref="D3">
    <cfRule type="containsText" dxfId="27" priority="37" operator="containsText" text="Error: 0">
      <formula>NOT(ISERROR(SEARCH("Error: 0",D3)))</formula>
    </cfRule>
  </conditionalFormatting>
  <conditionalFormatting sqref="E7:E8">
    <cfRule type="cellIs" dxfId="26" priority="7" operator="greaterThan">
      <formula>1</formula>
    </cfRule>
  </conditionalFormatting>
  <conditionalFormatting sqref="E17">
    <cfRule type="cellIs" dxfId="25" priority="6" operator="greaterThan">
      <formula>1</formula>
    </cfRule>
  </conditionalFormatting>
  <conditionalFormatting sqref="S17">
    <cfRule type="cellIs" dxfId="24" priority="4" operator="greaterThan">
      <formula>300</formula>
    </cfRule>
  </conditionalFormatting>
  <conditionalFormatting sqref="E22">
    <cfRule type="cellIs" dxfId="23" priority="3" operator="greaterThan">
      <formula>1</formula>
    </cfRule>
  </conditionalFormatting>
  <conditionalFormatting sqref="G22">
    <cfRule type="cellIs" dxfId="22" priority="2" operator="greaterThan">
      <formula>1</formula>
    </cfRule>
  </conditionalFormatting>
  <conditionalFormatting sqref="S22">
    <cfRule type="cellIs" dxfId="21" priority="1" operator="greaterThan">
      <formula>300</formula>
    </cfRule>
  </conditionalFormatting>
  <conditionalFormatting sqref="E6 E9">
    <cfRule type="cellIs" dxfId="20" priority="29" operator="greaterThan">
      <formula>1</formula>
    </cfRule>
  </conditionalFormatting>
  <conditionalFormatting sqref="G6 G9">
    <cfRule type="cellIs" dxfId="19" priority="28" operator="greaterThan">
      <formula>1</formula>
    </cfRule>
  </conditionalFormatting>
  <conditionalFormatting sqref="S6">
    <cfRule type="cellIs" dxfId="18" priority="27" operator="greaterThan">
      <formula>300</formula>
    </cfRule>
  </conditionalFormatting>
  <conditionalFormatting sqref="S9">
    <cfRule type="cellIs" dxfId="17" priority="26" operator="greaterThan">
      <formula>300</formula>
    </cfRule>
  </conditionalFormatting>
  <conditionalFormatting sqref="G11:G16">
    <cfRule type="cellIs" dxfId="16" priority="15" operator="greaterThan">
      <formula>1</formula>
    </cfRule>
  </conditionalFormatting>
  <conditionalFormatting sqref="E7:E8">
    <cfRule type="cellIs" dxfId="15" priority="8" operator="greaterThan">
      <formula>1</formula>
    </cfRule>
  </conditionalFormatting>
  <conditionalFormatting sqref="S7:S8">
    <cfRule type="cellIs" dxfId="14" priority="11" operator="greaterThan">
      <formula>300</formula>
    </cfRule>
  </conditionalFormatting>
  <conditionalFormatting sqref="G7:G8">
    <cfRule type="cellIs" dxfId="13" priority="14" operator="greaterThan">
      <formula>1</formula>
    </cfRule>
  </conditionalFormatting>
  <conditionalFormatting sqref="E10">
    <cfRule type="cellIs" dxfId="12" priority="19" operator="greaterThan">
      <formula>1</formula>
    </cfRule>
  </conditionalFormatting>
  <conditionalFormatting sqref="G10">
    <cfRule type="cellIs" dxfId="11" priority="18" operator="greaterThan">
      <formula>1</formula>
    </cfRule>
  </conditionalFormatting>
  <conditionalFormatting sqref="G11:G16">
    <cfRule type="cellIs" dxfId="10" priority="16" operator="greaterThan">
      <formula>1</formula>
    </cfRule>
  </conditionalFormatting>
  <conditionalFormatting sqref="G7:G8">
    <cfRule type="cellIs" dxfId="9" priority="13" operator="greaterThan">
      <formula>1</formula>
    </cfRule>
  </conditionalFormatting>
  <conditionalFormatting sqref="S11:S16">
    <cfRule type="cellIs" dxfId="8" priority="12" operator="greaterThan">
      <formula>300</formula>
    </cfRule>
  </conditionalFormatting>
  <conditionalFormatting sqref="E11:E16 E18:E19">
    <cfRule type="cellIs" dxfId="7" priority="10" operator="greaterThan">
      <formula>1</formula>
    </cfRule>
  </conditionalFormatting>
  <conditionalFormatting sqref="E11:E16 E18:E19">
    <cfRule type="cellIs" dxfId="6" priority="9" operator="greaterThan">
      <formula>1</formula>
    </cfRule>
  </conditionalFormatting>
  <conditionalFormatting sqref="G17">
    <cfRule type="cellIs" dxfId="5" priority="5" operator="greaterThan">
      <formula>1</formula>
    </cfRule>
  </conditionalFormatting>
  <dataValidations count="28">
    <dataValidation type="list" showErrorMessage="1" errorTitle="Input Error" error="Entry Required_x000a_Select from List" promptTitle="Field is Rquired" prompt="Indicate whether or not this is a special case." sqref="D7:D9 D11:D16 D18:D21 D23:D32" xr:uid="{00000000-0002-0000-0600-000000000000}">
      <formula1>"None, Multi-Provision, Multi-Amount"</formula1>
    </dataValidation>
    <dataValidation type="date" operator="greaterThan" showErrorMessage="1" errorTitle="Input Error" error="End Date must be after the start date." promptTitle="Excluded Option End Date Entry" prompt="Enter the end date of the excluded option periods." sqref="Q6:Q7 Q9:Q10 Q17 Q22" xr:uid="{00000000-0002-0000-0600-000001000000}">
      <formula1>P6</formula1>
    </dataValidation>
    <dataValidation type="date" operator="greaterThan" showErrorMessage="1" errorTitle="Input Error" error="End Date must be after the start date." promptTitle="Included Option End Date Entry" prompt="Enter the end date of the included option periods." sqref="Q8 O6:O32" xr:uid="{00000000-0002-0000-0600-000002000000}">
      <formula1>N6</formula1>
    </dataValidation>
    <dataValidation type="date" operator="greaterThan" allowBlank="1" showErrorMessage="1" errorTitle="Input Error" error="Enter a valid amortization start date." promptTitle="RoU Amortiz. Start Date Entry" prompt="Enter the date to start the RoU Asset amortization." sqref="AU6:AU7 AU9:AU10 AV6:AV32 AU13:AU32" xr:uid="{00000000-0002-0000-0600-000003000000}">
      <formula1>36526</formula1>
    </dataValidation>
    <dataValidation type="textLength" showErrorMessage="1" errorTitle="Input Error" error="Required field;_x000a_No more than 12 characters" promptTitle="Provision Reference Required" prompt="This field is required;_x000a_There is a 12-character maximum length, including spaces" sqref="T9:T10 T6 T17 T22 U6:U32" xr:uid="{00000000-0002-0000-0600-000004000000}">
      <formula1>1</formula1>
      <formula2>12</formula2>
    </dataValidation>
    <dataValidation type="list" showErrorMessage="1" errorTitle="Input Error" error="Entry Required_x000a_Select from List" promptTitle="Field is Rquired" prompt="Indicate whether or not this is a special case." sqref="D6 D10 D17 D22" xr:uid="{00000000-0002-0000-0600-000005000000}">
      <formula1>"N, Prov, Amt"</formula1>
    </dataValidation>
    <dataValidation operator="greaterThan" showInputMessage="1" showErrorMessage="1" sqref="S6:S32" xr:uid="{00000000-0002-0000-0600-000006000000}"/>
    <dataValidation type="textLength" operator="lessThanOrEqual" showErrorMessage="1" errorTitle="Input Error" error="Comments cannot exceed 300 characters." promptTitle="Comments Data Entry" prompt="Enter the documentation comments up to 300 characters, including spaces." sqref="R6:R32" xr:uid="{00000000-0002-0000-0600-000007000000}">
      <formula1>300</formula1>
    </dataValidation>
    <dataValidation type="date" operator="greaterThan" allowBlank="1" showErrorMessage="1" errorTitle="Input Error" error="End Date must be after the start date." promptTitle="Inital Period End Date Entry" prompt="Enter the end date of the inital agreement period." sqref="M6:M32" xr:uid="{00000000-0002-0000-0600-000008000000}">
      <formula1>L6</formula1>
    </dataValidation>
    <dataValidation type="list" showErrorMessage="1" errorTitle="Input Error" error="You must select a value from the list." promptTitle="Reporting Category Selection" prompt="Required data;_x000a_Select a value from the list." sqref="Z6:Z32" xr:uid="{00000000-0002-0000-0600-000009000000}">
      <formula1>RptCatLU</formula1>
    </dataValidation>
    <dataValidation type="list" showErrorMessage="1" errorTitle="Input Error" error="You must select a value from the list." promptTitle="Provision Type Selection" prompt="Required data;_x000a_Select a value from the list." sqref="W6:W32" xr:uid="{00000000-0002-0000-0600-00000A000000}">
      <formula1>ProvTypeLU</formula1>
    </dataValidation>
    <dataValidation type="list" showErrorMessage="1" errorTitle="Input Error" error="You must select a value from the list." promptTitle="Agreement Status Selection" prompt="Required;_x000a_Select a value from the list." sqref="J6:J32" xr:uid="{00000000-0002-0000-0600-00000B000000}">
      <formula1>AgrmtStatusLU</formula1>
    </dataValidation>
    <dataValidation type="list" showErrorMessage="1" errorTitle="Input Error" error="You must select a value from the list." promptTitle="Agreement Type Selection" prompt="Required data;_x000a_Select a value from the list." sqref="I6:I32" xr:uid="{00000000-0002-0000-0600-00000C000000}">
      <formula1>AgrmtTypeLU</formula1>
    </dataValidation>
    <dataValidation type="list" showErrorMessage="1" errorTitle="Input Error" error="Seelct a value from the list." promptTitle="G/L Account Entry" prompt="Select a G/L Account from the list." sqref="BB6:BH32" xr:uid="{00000000-0002-0000-0600-00000D000000}">
      <formula1>GLAccountLU</formula1>
    </dataValidation>
    <dataValidation type="textLength" allowBlank="1" showErrorMessage="1" errorTitle="Input Error" error="Enter 12-character code:_x000a_3-digit agency-YYYY-###_x000a_Example: 020-2019-003" promptTitle="Lease/Leaseback Designation" prompt="Enter 12-character code of the related lease:_x000a_3-digit agency-YYYY-###_x000a_Example: 020-2019-003" sqref="BA6:BA32" xr:uid="{00000000-0002-0000-0600-00000E000000}">
      <formula1>12</formula1>
      <formula2>12</formula2>
    </dataValidation>
    <dataValidation type="list" allowBlank="1" showErrorMessage="1" errorTitle="Input Error" error="Select a value from the list." promptTitle="Sale Leaseback Designation" prompt="Indicate a Sale / Leaseback with a Y." sqref="AZ6:AZ32" xr:uid="{00000000-0002-0000-0600-00000F000000}">
      <formula1>"Y, N"</formula1>
    </dataValidation>
    <dataValidation type="textLength" operator="lessThanOrEqual" allowBlank="1" showErrorMessage="1" errorTitle="Input Error" error="100 character maximum has been exceeded." promptTitle="Related Party Lease Designation" prompt="If this is a Related Party lease, enter the name of the related party (100 character maximum, including spaces)." sqref="AY6:AY32" xr:uid="{00000000-0002-0000-0600-000010000000}">
      <formula1>100</formula1>
    </dataValidation>
    <dataValidation type="decimal" allowBlank="1" showErrorMessage="1" errorTitle="Input Error" error="The Amount to be Amortized must be greater than zero (0)." promptTitle="Amount to be Amortized Entry" prompt="Validate or enter the amount of the RoU Asset to be amortized." sqref="AP6:AP32" xr:uid="{00000000-0002-0000-0600-000011000000}">
      <formula1>0.01</formula1>
      <formula2>999999999.99</formula2>
    </dataValidation>
    <dataValidation type="decimal" allowBlank="1" showErrorMessage="1" errorTitle="Input Error" error="The Residual Amount cannot be negative." promptTitle="Residual Value Entry" prompt="Enter the amount of the RoU Asset residual value, if any." sqref="AN6:AN32" xr:uid="{00000000-0002-0000-0600-000012000000}">
      <formula1>0</formula1>
      <formula2>999999999.99</formula2>
    </dataValidation>
    <dataValidation type="decimal" allowBlank="1" showErrorMessage="1" errorTitle="Input Error" error="The Capitalized Amount must be greater than zero (0)." promptTitle="Capitlaized Value Entry" prompt="Enter the amount of the RoU Asset to be capitalized, including any residual value." sqref="AM6:AM32" xr:uid="{00000000-0002-0000-0600-000013000000}">
      <formula1>0.01</formula1>
      <formula2>999999999.99</formula2>
    </dataValidation>
    <dataValidation type="list" showErrorMessage="1" errorTitle="Input Error" error="You must select a value from the list." promptTitle="Payment Timing Selection" prompt="Select a Payment Timing from the list." sqref="AE6:AE32" xr:uid="{00000000-0002-0000-0600-000014000000}">
      <formula1>"Advance, Arrears"</formula1>
    </dataValidation>
    <dataValidation type="list" showErrorMessage="1" errorTitle="Input Error" error="You must select a value from the list." promptTitle="Payment Frequency Selection" prompt="Select a Payment Freqency from the list." sqref="AW6:AW32 AD6:AD32" xr:uid="{00000000-0002-0000-0600-000015000000}">
      <formula1>"MO, QT, SA, AN"</formula1>
    </dataValidation>
    <dataValidation type="decimal" allowBlank="1" showErrorMessage="1" errorTitle="Input Error" error="The Payment Amount must be greater than zero (0)." promptTitle="Payment Amount Entry" prompt="Enter the amount of the routine, periodic payment." sqref="AC6:AC32" xr:uid="{00000000-0002-0000-0600-000016000000}">
      <formula1>0.01</formula1>
      <formula2>999999999.99</formula2>
    </dataValidation>
    <dataValidation type="date" showErrorMessage="1" errorTitle="Input Error" error="Please enter a valid date." sqref="AA6:AA32" xr:uid="{00000000-0002-0000-0600-000017000000}">
      <formula1>29221</formula1>
      <formula2>88025</formula2>
    </dataValidation>
    <dataValidation type="textLength" showErrorMessage="1" errorTitle="Input Error" error="Required field;_x000a_No more than 50 characters" promptTitle="Provision Reference Required" prompt="This field is required;_x000a_There is a 50-character maximum length, including spaces" sqref="V6:V13 V16:V32 X29" xr:uid="{00000000-0002-0000-0600-000018000000}">
      <formula1>1</formula1>
      <formula2>50</formula2>
    </dataValidation>
    <dataValidation type="textLength" allowBlank="1" showErrorMessage="1" errorTitle="Maximum Length Exceeded" error="There is a 12-character maximum length on this field, including spaces." promptTitle="Optional Field" prompt="Data is an optional reference.  There is a 12-character maximum length if used." sqref="H6:H32" xr:uid="{00000000-0002-0000-0600-000019000000}">
      <formula1>0</formula1>
      <formula2>12</formula2>
    </dataValidation>
    <dataValidation type="textLength" showErrorMessage="1" errorTitle="Data Input Error" error="Title is required and the title cannot excced 75 characters, including spaces." promptTitle="Agreement Title Required" prompt="This field is required and must be unique across all agencies.  Maximum 75 chanarcters.  Inlcude agency number to ensure uniqueness." sqref="F6:F32" xr:uid="{00000000-0002-0000-0600-00001A000000}">
      <formula1>1</formula1>
      <formula2>75</formula2>
    </dataValidation>
    <dataValidation type="textLength" showErrorMessage="1" errorTitle="Input Error" error="Enter unique 12-character code:_x000a_3-digit agency-YYYY-###_x000a_Example: 020-2019-003" promptTitle="Field is Rquired" prompt="Enter unique 12-character code:_x000a_3-digit agency-YYYY-###_x000a_Example: 020-2019-003" sqref="C6:C32" xr:uid="{00000000-0002-0000-0600-00001B000000}">
      <formula1>12</formula1>
      <formula2>12</formula2>
    </dataValidation>
  </dataValidations>
  <pageMargins left="0.7" right="0.7" top="0.75" bottom="0.75" header="0.3" footer="0.3"/>
  <pageSetup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showErrorMessage="1" errorTitle="Input Error" error="You must select a value from the list." promptTitle="RoU Asset Amortization Selection" prompt="Required data;_x000a_Select a value from the list." xr:uid="{00000000-0002-0000-0600-00001C000000}">
          <x14:formula1>
            <xm:f>'Ref-AmortMethod'!$A$2:$A$5</xm:f>
          </x14:formula1>
          <xm:sqref>AQ6:AQ32</xm:sqref>
        </x14:dataValidation>
        <x14:dataValidation type="list" showErrorMessage="1" errorTitle="Input Error" error="You must select a value from the list." promptTitle="Reporting Type Selection" prompt="Required data;_x000a_Select a value from the list." xr:uid="{00000000-0002-0000-0600-00001D000000}">
          <x14:formula1>
            <xm:f>'Ref-RptType'!$A$2:$A$5</xm:f>
          </x14:formula1>
          <xm:sqref>Y6:Y32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24"/>
  <sheetViews>
    <sheetView workbookViewId="0">
      <pane ySplit="3" topLeftCell="A61" activePane="bottomLeft" state="frozen"/>
      <selection pane="bottomLeft" activeCell="B81" sqref="B81"/>
    </sheetView>
  </sheetViews>
  <sheetFormatPr defaultRowHeight="15" x14ac:dyDescent="0.25"/>
  <cols>
    <col min="1" max="1" width="19" customWidth="1"/>
    <col min="2" max="2" width="41.7109375" bestFit="1" customWidth="1"/>
    <col min="3" max="3" width="12.7109375" bestFit="1" customWidth="1"/>
    <col min="4" max="4" width="51.85546875" bestFit="1" customWidth="1"/>
  </cols>
  <sheetData>
    <row r="1" spans="1:5" ht="15.75" x14ac:dyDescent="0.25">
      <c r="A1" s="8" t="s">
        <v>253</v>
      </c>
      <c r="B1" s="9"/>
      <c r="C1" s="10"/>
      <c r="D1" s="11"/>
    </row>
    <row r="2" spans="1:5" x14ac:dyDescent="0.25">
      <c r="A2" s="7" t="s">
        <v>17</v>
      </c>
      <c r="B2" s="7" t="s">
        <v>18</v>
      </c>
      <c r="C2" s="3" t="str">
        <f>"Max: " &amp; MAX(AgencyRef[LenTest])</f>
        <v>Max: 45</v>
      </c>
    </row>
    <row r="3" spans="1:5" x14ac:dyDescent="0.25">
      <c r="A3" s="4" t="s">
        <v>19</v>
      </c>
      <c r="B3" s="4" t="s">
        <v>20</v>
      </c>
      <c r="C3" s="4" t="s">
        <v>254</v>
      </c>
      <c r="D3" s="4" t="s">
        <v>255</v>
      </c>
    </row>
    <row r="4" spans="1:5" x14ac:dyDescent="0.25">
      <c r="A4" s="5" t="s">
        <v>21</v>
      </c>
      <c r="B4" s="5" t="s">
        <v>22</v>
      </c>
      <c r="C4" s="6">
        <f>LEN(AgencyRef[[#This Row],[Entity Description]])</f>
        <v>17</v>
      </c>
      <c r="D4" s="6" t="str">
        <f>AgencyRef[[#This Row],[Entity Code]]&amp; "-" &amp;AgencyRef[[#This Row],[Entity Description]]</f>
        <v>00000-State of Oklahoma</v>
      </c>
      <c r="E4" s="6"/>
    </row>
    <row r="5" spans="1:5" x14ac:dyDescent="0.25">
      <c r="A5" s="5" t="s">
        <v>23</v>
      </c>
      <c r="B5" s="5" t="s">
        <v>24</v>
      </c>
      <c r="C5" s="6">
        <f>LEN(AgencyRef[[#This Row],[Entity Description]])</f>
        <v>27</v>
      </c>
      <c r="D5" s="6" t="str">
        <f>AgencyRef[[#This Row],[Entity Code]]&amp; "-" &amp;AgencyRef[[#This Row],[Entity Description]]</f>
        <v>02000-Public Board of Accountancy</v>
      </c>
      <c r="E5" s="6"/>
    </row>
    <row r="6" spans="1:5" x14ac:dyDescent="0.25">
      <c r="A6" s="5" t="s">
        <v>25</v>
      </c>
      <c r="B6" s="5" t="s">
        <v>26</v>
      </c>
      <c r="C6" s="6">
        <f>LEN(AgencyRef[[#This Row],[Entity Description]])</f>
        <v>26</v>
      </c>
      <c r="D6" s="6" t="str">
        <f>AgencyRef[[#This Row],[Entity Code]]&amp; "-" &amp;AgencyRef[[#This Row],[Entity Description]]</f>
        <v>02200-Oklahoma Abstractors Board</v>
      </c>
      <c r="E6" s="6"/>
    </row>
    <row r="7" spans="1:5" x14ac:dyDescent="0.25">
      <c r="A7" s="5" t="s">
        <v>27</v>
      </c>
      <c r="B7" s="5" t="s">
        <v>28</v>
      </c>
      <c r="C7" s="6">
        <f>LEN(AgencyRef[[#This Row],[Entity Description]])</f>
        <v>19</v>
      </c>
      <c r="D7" s="6" t="str">
        <f>AgencyRef[[#This Row],[Entity Code]]&amp; "-" &amp;AgencyRef[[#This Row],[Entity Description]]</f>
        <v>02500-Military Department</v>
      </c>
      <c r="E7" s="6"/>
    </row>
    <row r="8" spans="1:5" x14ac:dyDescent="0.25">
      <c r="A8" s="5" t="s">
        <v>29</v>
      </c>
      <c r="B8" s="5" t="s">
        <v>30</v>
      </c>
      <c r="C8" s="6">
        <f>LEN(AgencyRef[[#This Row],[Entity Description]])</f>
        <v>15</v>
      </c>
      <c r="D8" s="6" t="str">
        <f>AgencyRef[[#This Row],[Entity Code]]&amp; "-" &amp;AgencyRef[[#This Row],[Entity Description]]</f>
        <v>03000-ABLE Commission</v>
      </c>
      <c r="E8" s="6"/>
    </row>
    <row r="9" spans="1:5" x14ac:dyDescent="0.25">
      <c r="A9" s="5" t="s">
        <v>31</v>
      </c>
      <c r="B9" s="5" t="s">
        <v>32</v>
      </c>
      <c r="C9" s="6">
        <f>LEN(AgencyRef[[#This Row],[Entity Description]])</f>
        <v>18</v>
      </c>
      <c r="D9" s="6" t="str">
        <f>AgencyRef[[#This Row],[Entity Code]]&amp; "-" &amp;AgencyRef[[#This Row],[Entity Description]]</f>
        <v>03800-Sorghum Commission</v>
      </c>
      <c r="E9" s="6"/>
    </row>
    <row r="10" spans="1:5" x14ac:dyDescent="0.25">
      <c r="A10" s="5" t="s">
        <v>33</v>
      </c>
      <c r="B10" s="5" t="s">
        <v>34</v>
      </c>
      <c r="C10" s="6">
        <f>LEN(AgencyRef[[#This Row],[Entity Description]])</f>
        <v>23</v>
      </c>
      <c r="D10" s="6" t="str">
        <f>AgencyRef[[#This Row],[Entity Code]]&amp; "-" &amp;AgencyRef[[#This Row],[Entity Description]]</f>
        <v>03900-Boll Weevil Eradication</v>
      </c>
      <c r="E10" s="6"/>
    </row>
    <row r="11" spans="1:5" x14ac:dyDescent="0.25">
      <c r="A11" s="5" t="s">
        <v>35</v>
      </c>
      <c r="B11" s="5" t="s">
        <v>36</v>
      </c>
      <c r="C11" s="6">
        <f>LEN(AgencyRef[[#This Row],[Entity Description]])</f>
        <v>22</v>
      </c>
      <c r="D11" s="6" t="str">
        <f>AgencyRef[[#This Row],[Entity Code]]&amp; "-" &amp;AgencyRef[[#This Row],[Entity Description]]</f>
        <v>04000-Agriculture Department</v>
      </c>
      <c r="E11" s="6"/>
    </row>
    <row r="12" spans="1:5" x14ac:dyDescent="0.25">
      <c r="A12" s="5" t="s">
        <v>37</v>
      </c>
      <c r="B12" s="5" t="s">
        <v>38</v>
      </c>
      <c r="C12" s="6">
        <f>LEN(AgencyRef[[#This Row],[Entity Description]])</f>
        <v>25</v>
      </c>
      <c r="D12" s="6" t="str">
        <f>AgencyRef[[#This Row],[Entity Code]]&amp; "-" &amp;AgencyRef[[#This Row],[Entity Description]]</f>
        <v>04500-Licensed Architects Board</v>
      </c>
      <c r="E12" s="6"/>
    </row>
    <row r="13" spans="1:5" x14ac:dyDescent="0.25">
      <c r="A13" s="5" t="s">
        <v>39</v>
      </c>
      <c r="B13" s="5" t="s">
        <v>40</v>
      </c>
      <c r="C13" s="6">
        <f>LEN(AgencyRef[[#This Row],[Entity Description]])</f>
        <v>23</v>
      </c>
      <c r="D13" s="6" t="str">
        <f>AgencyRef[[#This Row],[Entity Code]]&amp; "-" &amp;AgencyRef[[#This Row],[Entity Description]]</f>
        <v>04700-Indigent Defense System</v>
      </c>
      <c r="E13" s="6"/>
    </row>
    <row r="14" spans="1:5" x14ac:dyDescent="0.25">
      <c r="A14" s="5" t="s">
        <v>41</v>
      </c>
      <c r="B14" s="5" t="s">
        <v>42</v>
      </c>
      <c r="C14" s="6">
        <f>LEN(AgencyRef[[#This Row],[Entity Description]])</f>
        <v>16</v>
      </c>
      <c r="D14" s="6" t="str">
        <f>AgencyRef[[#This Row],[Entity Code]]&amp; "-" &amp;AgencyRef[[#This Row],[Entity Description]]</f>
        <v>04900-Attorney General</v>
      </c>
      <c r="E14" s="6"/>
    </row>
    <row r="15" spans="1:5" x14ac:dyDescent="0.25">
      <c r="A15" s="5" t="s">
        <v>43</v>
      </c>
      <c r="B15" s="5" t="s">
        <v>44</v>
      </c>
      <c r="C15" s="6">
        <f>LEN(AgencyRef[[#This Row],[Entity Description]])</f>
        <v>18</v>
      </c>
      <c r="D15" s="6" t="str">
        <f>AgencyRef[[#This Row],[Entity Code]]&amp; "-" &amp;AgencyRef[[#This Row],[Entity Description]]</f>
        <v>05500-State Arts Council</v>
      </c>
      <c r="E15" s="6"/>
    </row>
    <row r="16" spans="1:5" x14ac:dyDescent="0.25">
      <c r="A16" s="5" t="s">
        <v>45</v>
      </c>
      <c r="B16" s="5" t="s">
        <v>46</v>
      </c>
      <c r="C16" s="6">
        <f>LEN(AgencyRef[[#This Row],[Entity Description]])</f>
        <v>31</v>
      </c>
      <c r="D16" s="6" t="str">
        <f>AgencyRef[[#This Row],[Entity Code]]&amp; "-" &amp;AgencyRef[[#This Row],[Entity Description]]</f>
        <v>06000-Oklahoma Aeronautics Commission</v>
      </c>
      <c r="E16" s="6"/>
    </row>
    <row r="17" spans="1:5" x14ac:dyDescent="0.25">
      <c r="A17" s="5" t="s">
        <v>47</v>
      </c>
      <c r="B17" s="5" t="s">
        <v>48</v>
      </c>
      <c r="C17" s="6">
        <f>LEN(AgencyRef[[#This Row],[Entity Description]])</f>
        <v>24</v>
      </c>
      <c r="D17" s="6" t="str">
        <f>AgencyRef[[#This Row],[Entity Code]]&amp; "-" &amp;AgencyRef[[#This Row],[Entity Description]]</f>
        <v>06500-State Banking Commission</v>
      </c>
      <c r="E17" s="6"/>
    </row>
    <row r="18" spans="1:5" x14ac:dyDescent="0.25">
      <c r="A18" s="153" t="s">
        <v>731</v>
      </c>
      <c r="B18" s="5" t="s">
        <v>732</v>
      </c>
      <c r="C18" s="6">
        <f>LEN(AgencyRef[[#This Row],[Entity Description]])</f>
        <v>25</v>
      </c>
      <c r="D18" s="6" t="str">
        <f>AgencyRef[[#This Row],[Entity Code]]&amp; "-" &amp;AgencyRef[[#This Row],[Entity Description]]</f>
        <v>08500-Oklahoma Broadband Office</v>
      </c>
      <c r="E18" s="6"/>
    </row>
    <row r="19" spans="1:5" x14ac:dyDescent="0.25">
      <c r="A19" s="5" t="s">
        <v>49</v>
      </c>
      <c r="B19" s="5" t="s">
        <v>50</v>
      </c>
      <c r="C19" s="6">
        <f>LEN(AgencyRef[[#This Row],[Entity Description]])</f>
        <v>44</v>
      </c>
      <c r="D19" s="6" t="str">
        <f>AgencyRef[[#This Row],[Entity Code]]&amp; "-" &amp;AgencyRef[[#This Row],[Entity Description]]</f>
        <v>09000-Office of Management and Enterprise Services</v>
      </c>
      <c r="E19" s="6"/>
    </row>
    <row r="20" spans="1:5" x14ac:dyDescent="0.25">
      <c r="A20" s="5" t="s">
        <v>51</v>
      </c>
      <c r="B20" s="5" t="s">
        <v>52</v>
      </c>
      <c r="C20" s="6">
        <f>LEN(AgencyRef[[#This Row],[Entity Description]])</f>
        <v>24</v>
      </c>
      <c r="D20" s="6" t="str">
        <f>AgencyRef[[#This Row],[Entity Code]]&amp; "-" &amp;AgencyRef[[#This Row],[Entity Description]]</f>
        <v>09100-Building Bond Commission</v>
      </c>
      <c r="E20" s="6"/>
    </row>
    <row r="21" spans="1:5" x14ac:dyDescent="0.25">
      <c r="A21" s="5" t="s">
        <v>53</v>
      </c>
      <c r="B21" s="5" t="s">
        <v>54</v>
      </c>
      <c r="C21" s="6">
        <f>LEN(AgencyRef[[#This Row],[Entity Description]])</f>
        <v>4</v>
      </c>
      <c r="D21" s="6" t="str">
        <f>AgencyRef[[#This Row],[Entity Code]]&amp; "-" &amp;AgencyRef[[#This Row],[Entity Description]]</f>
        <v>09200-TSET</v>
      </c>
      <c r="E21" s="6"/>
    </row>
    <row r="22" spans="1:5" x14ac:dyDescent="0.25">
      <c r="A22" s="5" t="s">
        <v>55</v>
      </c>
      <c r="B22" s="5" t="s">
        <v>56</v>
      </c>
      <c r="C22" s="6">
        <f>LEN(AgencyRef[[#This Row],[Entity Description]])</f>
        <v>38</v>
      </c>
      <c r="D22" s="6" t="str">
        <f>AgencyRef[[#This Row],[Entity Code]]&amp; "-" &amp;AgencyRef[[#This Row],[Entity Description]]</f>
        <v>10500-Oklahoma Capitol Improvement Authority</v>
      </c>
      <c r="E22" s="6"/>
    </row>
    <row r="23" spans="1:5" x14ac:dyDescent="0.25">
      <c r="A23" s="5" t="s">
        <v>57</v>
      </c>
      <c r="B23" s="5" t="s">
        <v>58</v>
      </c>
      <c r="C23" s="6">
        <f>LEN(AgencyRef[[#This Row],[Entity Description]])</f>
        <v>19</v>
      </c>
      <c r="D23" s="6" t="str">
        <f>AgencyRef[[#This Row],[Entity Code]]&amp; "-" &amp;AgencyRef[[#This Row],[Entity Description]]</f>
        <v>12500-Department of Mines</v>
      </c>
      <c r="E23" s="6"/>
    </row>
    <row r="24" spans="1:5" x14ac:dyDescent="0.25">
      <c r="A24" s="5" t="s">
        <v>59</v>
      </c>
      <c r="B24" s="5" t="s">
        <v>60</v>
      </c>
      <c r="C24" s="6">
        <f>LEN(AgencyRef[[#This Row],[Entity Description]])</f>
        <v>32</v>
      </c>
      <c r="D24" s="6" t="str">
        <f>AgencyRef[[#This Row],[Entity Code]]&amp; "-" &amp;AgencyRef[[#This Row],[Entity Description]]</f>
        <v>12700-Commission on Children and Youth</v>
      </c>
      <c r="E24" s="6"/>
    </row>
    <row r="25" spans="1:5" x14ac:dyDescent="0.25">
      <c r="A25" s="5" t="s">
        <v>61</v>
      </c>
      <c r="B25" s="5" t="s">
        <v>62</v>
      </c>
      <c r="C25" s="6">
        <f>LEN(AgencyRef[[#This Row],[Entity Description]])</f>
        <v>25</v>
      </c>
      <c r="D25" s="6" t="str">
        <f>AgencyRef[[#This Row],[Entity Code]]&amp; "-" &amp;AgencyRef[[#This Row],[Entity Description]]</f>
        <v>13100-Department of Corrections</v>
      </c>
      <c r="E25" s="6"/>
    </row>
    <row r="26" spans="1:5" x14ac:dyDescent="0.25">
      <c r="A26" s="5" t="s">
        <v>63</v>
      </c>
      <c r="B26" s="5" t="s">
        <v>64</v>
      </c>
      <c r="C26" s="6">
        <f>LEN(AgencyRef[[#This Row],[Entity Description]])</f>
        <v>14</v>
      </c>
      <c r="D26" s="6" t="str">
        <f>AgencyRef[[#This Row],[Entity Code]]&amp; "-" &amp;AgencyRef[[#This Row],[Entity Description]]</f>
        <v>14000-Podiatry Board</v>
      </c>
      <c r="E26" s="6"/>
    </row>
    <row r="27" spans="1:5" x14ac:dyDescent="0.25">
      <c r="A27" s="5" t="s">
        <v>65</v>
      </c>
      <c r="B27" s="5" t="s">
        <v>66</v>
      </c>
      <c r="C27" s="6">
        <f>LEN(AgencyRef[[#This Row],[Entity Description]])</f>
        <v>28</v>
      </c>
      <c r="D27" s="6" t="str">
        <f>AgencyRef[[#This Row],[Entity Code]]&amp; "-" &amp;AgencyRef[[#This Row],[Entity Description]]</f>
        <v>14500-Chiropractic Examiners Board</v>
      </c>
      <c r="E27" s="6"/>
    </row>
    <row r="28" spans="1:5" x14ac:dyDescent="0.25">
      <c r="A28" s="5" t="s">
        <v>67</v>
      </c>
      <c r="B28" s="5" t="s">
        <v>68</v>
      </c>
      <c r="C28" s="6">
        <f>LEN(AgencyRef[[#This Row],[Entity Description]])</f>
        <v>42</v>
      </c>
      <c r="D28" s="6" t="str">
        <f>AgencyRef[[#This Row],[Entity Code]]&amp; "-" &amp;AgencyRef[[#This Row],[Entity Description]]</f>
        <v>14800-State Board of Behavioral Health Licensing</v>
      </c>
      <c r="E28" s="6"/>
    </row>
    <row r="29" spans="1:5" x14ac:dyDescent="0.25">
      <c r="A29" s="5" t="s">
        <v>69</v>
      </c>
      <c r="B29" s="5" t="s">
        <v>70</v>
      </c>
      <c r="C29" s="6">
        <f>LEN(AgencyRef[[#This Row],[Entity Description]])</f>
        <v>19</v>
      </c>
      <c r="D29" s="6" t="str">
        <f>AgencyRef[[#This Row],[Entity Code]]&amp; "-" &amp;AgencyRef[[#This Row],[Entity Description]]</f>
        <v>16000-Commerce Department</v>
      </c>
      <c r="E29" s="6"/>
    </row>
    <row r="30" spans="1:5" x14ac:dyDescent="0.25">
      <c r="A30" s="5" t="s">
        <v>71</v>
      </c>
      <c r="B30" s="5" t="s">
        <v>72</v>
      </c>
      <c r="C30" s="6">
        <f>LEN(AgencyRef[[#This Row],[Entity Description]])</f>
        <v>29</v>
      </c>
      <c r="D30" s="6" t="str">
        <f>AgencyRef[[#This Row],[Entity Code]]&amp; "-" &amp;AgencyRef[[#This Row],[Entity Description]]</f>
        <v>17000-Construction Industries Board</v>
      </c>
      <c r="E30" s="6"/>
    </row>
    <row r="31" spans="1:5" x14ac:dyDescent="0.25">
      <c r="A31" s="5" t="s">
        <v>73</v>
      </c>
      <c r="B31" s="5" t="s">
        <v>74</v>
      </c>
      <c r="C31" s="6">
        <f>LEN(AgencyRef[[#This Row],[Entity Description]])</f>
        <v>22</v>
      </c>
      <c r="D31" s="6" t="str">
        <f>AgencyRef[[#This Row],[Entity Code]]&amp; "-" &amp;AgencyRef[[#This Row],[Entity Description]]</f>
        <v>18500-Corporation Commission</v>
      </c>
      <c r="E31" s="6"/>
    </row>
    <row r="32" spans="1:5" x14ac:dyDescent="0.25">
      <c r="A32" s="5" t="s">
        <v>75</v>
      </c>
      <c r="B32" s="5" t="s">
        <v>76</v>
      </c>
      <c r="C32" s="6">
        <f>LEN(AgencyRef[[#This Row],[Entity Description]])</f>
        <v>17</v>
      </c>
      <c r="D32" s="6" t="str">
        <f>AgencyRef[[#This Row],[Entity Code]]&amp; "-" &amp;AgencyRef[[#This Row],[Entity Description]]</f>
        <v>19000-Cosmetology Board</v>
      </c>
      <c r="E32" s="6"/>
    </row>
    <row r="33" spans="1:5" x14ac:dyDescent="0.25">
      <c r="A33" s="5" t="s">
        <v>77</v>
      </c>
      <c r="B33" s="5" t="s">
        <v>78</v>
      </c>
      <c r="C33" s="6">
        <f>LEN(AgencyRef[[#This Row],[Entity Description]])</f>
        <v>25</v>
      </c>
      <c r="D33" s="6" t="str">
        <f>AgencyRef[[#This Row],[Entity Code]]&amp; "-" &amp;AgencyRef[[#This Row],[Entity Description]]</f>
        <v>19900-Court of Criminal Appeals</v>
      </c>
      <c r="E33" s="6"/>
    </row>
    <row r="34" spans="1:5" x14ac:dyDescent="0.25">
      <c r="A34" s="5" t="s">
        <v>79</v>
      </c>
      <c r="B34" s="5" t="s">
        <v>80</v>
      </c>
      <c r="C34" s="6">
        <f>LEN(AgencyRef[[#This Row],[Entity Description]])</f>
        <v>28</v>
      </c>
      <c r="D34" s="6" t="str">
        <f>AgencyRef[[#This Row],[Entity Code]]&amp; "-" &amp;AgencyRef[[#This Row],[Entity Description]]</f>
        <v>20400-JM Davis Memorial Commission</v>
      </c>
      <c r="E34" s="6"/>
    </row>
    <row r="35" spans="1:5" x14ac:dyDescent="0.25">
      <c r="A35" s="5" t="s">
        <v>81</v>
      </c>
      <c r="B35" s="5" t="s">
        <v>82</v>
      </c>
      <c r="C35" s="6">
        <f>LEN(AgencyRef[[#This Row],[Entity Description]])</f>
        <v>18</v>
      </c>
      <c r="D35" s="6" t="str">
        <f>AgencyRef[[#This Row],[Entity Code]]&amp; "-" &amp;AgencyRef[[#This Row],[Entity Description]]</f>
        <v>21500-State Dental Board</v>
      </c>
      <c r="E35" s="6"/>
    </row>
    <row r="36" spans="1:5" x14ac:dyDescent="0.25">
      <c r="A36" s="5" t="s">
        <v>83</v>
      </c>
      <c r="B36" s="5" t="s">
        <v>84</v>
      </c>
      <c r="C36" s="6">
        <f>LEN(AgencyRef[[#This Row],[Entity Description]])</f>
        <v>15</v>
      </c>
      <c r="D36" s="6" t="str">
        <f>AgencyRef[[#This Row],[Entity Code]]&amp; "-" &amp;AgencyRef[[#This Row],[Entity Description]]</f>
        <v>21900-District Courts</v>
      </c>
      <c r="E36" s="6"/>
    </row>
    <row r="37" spans="1:5" x14ac:dyDescent="0.25">
      <c r="A37" s="5" t="s">
        <v>85</v>
      </c>
      <c r="B37" s="5" t="s">
        <v>86</v>
      </c>
      <c r="C37" s="6">
        <f>LEN(AgencyRef[[#This Row],[Entity Description]])</f>
        <v>26</v>
      </c>
      <c r="D37" s="6" t="str">
        <f>AgencyRef[[#This Row],[Entity Code]]&amp; "-" &amp;AgencyRef[[#This Row],[Entity Description]]</f>
        <v>22000-District Attorneys Council</v>
      </c>
      <c r="E37" s="6"/>
    </row>
    <row r="38" spans="1:5" x14ac:dyDescent="0.25">
      <c r="A38" s="5" t="s">
        <v>87</v>
      </c>
      <c r="B38" s="5" t="s">
        <v>88</v>
      </c>
      <c r="C38" s="6">
        <f>LEN(AgencyRef[[#This Row],[Entity Description]])</f>
        <v>23</v>
      </c>
      <c r="D38" s="6" t="str">
        <f>AgencyRef[[#This Row],[Entity Code]]&amp; "-" &amp;AgencyRef[[#This Row],[Entity Description]]</f>
        <v>26500-Department of Education</v>
      </c>
      <c r="E38" s="6"/>
    </row>
    <row r="39" spans="1:5" x14ac:dyDescent="0.25">
      <c r="A39" s="5" t="s">
        <v>89</v>
      </c>
      <c r="B39" s="5" t="s">
        <v>90</v>
      </c>
      <c r="C39" s="6">
        <f>LEN(AgencyRef[[#This Row],[Entity Description]])</f>
        <v>14</v>
      </c>
      <c r="D39" s="6" t="str">
        <f>AgencyRef[[#This Row],[Entity Code]]&amp; "-" &amp;AgencyRef[[#This Row],[Entity Description]]</f>
        <v>27000-Election Board</v>
      </c>
      <c r="E39" s="6"/>
    </row>
    <row r="40" spans="1:5" x14ac:dyDescent="0.25">
      <c r="A40" s="5" t="s">
        <v>91</v>
      </c>
      <c r="B40" s="5"/>
      <c r="C40" s="6">
        <f>LEN(AgencyRef[[#This Row],[Entity Description]])</f>
        <v>0</v>
      </c>
      <c r="D40" s="6" t="str">
        <f>AgencyRef[[#This Row],[Entity Code]]&amp; "-" &amp;AgencyRef[[#This Row],[Entity Description]]</f>
        <v>27500-</v>
      </c>
      <c r="E40" s="6"/>
    </row>
    <row r="41" spans="1:5" x14ac:dyDescent="0.25">
      <c r="A41" s="5" t="s">
        <v>92</v>
      </c>
      <c r="B41" s="5" t="s">
        <v>93</v>
      </c>
      <c r="C41" s="6">
        <f>LEN(AgencyRef[[#This Row],[Entity Description]])</f>
        <v>22</v>
      </c>
      <c r="D41" s="6" t="str">
        <f>AgencyRef[[#This Row],[Entity Code]]&amp; "-" &amp;AgencyRef[[#This Row],[Entity Description]]</f>
        <v>28500-Oklahoma Funeral Board</v>
      </c>
      <c r="E41" s="6"/>
    </row>
    <row r="42" spans="1:5" x14ac:dyDescent="0.25">
      <c r="A42" s="5" t="s">
        <v>94</v>
      </c>
      <c r="B42" s="5" t="s">
        <v>95</v>
      </c>
      <c r="C42" s="6">
        <f>LEN(AgencyRef[[#This Row],[Entity Description]])</f>
        <v>30</v>
      </c>
      <c r="D42" s="6" t="str">
        <f>AgencyRef[[#This Row],[Entity Code]]&amp; "-" &amp;AgencyRef[[#This Row],[Entity Description]]</f>
        <v>29000-Employment Security Commission</v>
      </c>
      <c r="E42" s="6"/>
    </row>
    <row r="43" spans="1:5" x14ac:dyDescent="0.25">
      <c r="A43" s="5" t="s">
        <v>96</v>
      </c>
      <c r="B43" s="5" t="s">
        <v>97</v>
      </c>
      <c r="C43" s="6">
        <f>LEN(AgencyRef[[#This Row],[Entity Description]])</f>
        <v>32</v>
      </c>
      <c r="D43" s="6" t="str">
        <f>AgencyRef[[#This Row],[Entity Code]]&amp; "-" &amp;AgencyRef[[#This Row],[Entity Description]]</f>
        <v>29200-Environmental Quality Department</v>
      </c>
      <c r="E43" s="6"/>
    </row>
    <row r="44" spans="1:5" x14ac:dyDescent="0.25">
      <c r="A44" s="5" t="s">
        <v>98</v>
      </c>
      <c r="B44" s="5" t="s">
        <v>99</v>
      </c>
      <c r="C44" s="6">
        <f>LEN(AgencyRef[[#This Row],[Entity Description]])</f>
        <v>17</v>
      </c>
      <c r="D44" s="6" t="str">
        <f>AgencyRef[[#This Row],[Entity Code]]&amp; "-" &amp;AgencyRef[[#This Row],[Entity Description]]</f>
        <v>29600-Ethics Commission</v>
      </c>
      <c r="E44" s="6"/>
    </row>
    <row r="45" spans="1:5" x14ac:dyDescent="0.25">
      <c r="A45" s="5" t="s">
        <v>100</v>
      </c>
      <c r="B45" s="5" t="s">
        <v>101</v>
      </c>
      <c r="C45" s="6">
        <f>LEN(AgencyRef[[#This Row],[Entity Description]])</f>
        <v>27</v>
      </c>
      <c r="D45" s="6" t="str">
        <f>AgencyRef[[#This Row],[Entity Code]]&amp; "-" &amp;AgencyRef[[#This Row],[Entity Description]]</f>
        <v>29800-Merit Protection Commission</v>
      </c>
      <c r="E45" s="6"/>
    </row>
    <row r="46" spans="1:5" x14ac:dyDescent="0.25">
      <c r="A46" s="5" t="s">
        <v>102</v>
      </c>
      <c r="B46" s="5" t="s">
        <v>103</v>
      </c>
      <c r="C46" s="6">
        <f>LEN(AgencyRef[[#This Row],[Entity Description]])</f>
        <v>27</v>
      </c>
      <c r="D46" s="6" t="str">
        <f>AgencyRef[[#This Row],[Entity Code]]&amp; "-" &amp;AgencyRef[[#This Row],[Entity Description]]</f>
        <v>30000-State Auditor and Inspector</v>
      </c>
      <c r="E46" s="6"/>
    </row>
    <row r="47" spans="1:5" x14ac:dyDescent="0.25">
      <c r="A47" s="5" t="s">
        <v>104</v>
      </c>
      <c r="B47" s="5" t="s">
        <v>105</v>
      </c>
      <c r="C47" s="6">
        <f>LEN(AgencyRef[[#This Row],[Entity Description]])</f>
        <v>16</v>
      </c>
      <c r="D47" s="6" t="str">
        <f>AgencyRef[[#This Row],[Entity Code]]&amp; "-" &amp;AgencyRef[[#This Row],[Entity Description]]</f>
        <v>30500-Governor's Board</v>
      </c>
      <c r="E47" s="6"/>
    </row>
    <row r="48" spans="1:5" x14ac:dyDescent="0.25">
      <c r="A48" s="5" t="s">
        <v>106</v>
      </c>
      <c r="B48" s="5" t="s">
        <v>107</v>
      </c>
      <c r="C48" s="6">
        <f>LEN(AgencyRef[[#This Row],[Entity Description]])</f>
        <v>23</v>
      </c>
      <c r="D48" s="6" t="str">
        <f>AgencyRef[[#This Row],[Entity Code]]&amp; "-" &amp;AgencyRef[[#This Row],[Entity Description]]</f>
        <v>30600-Pardon and Parole Board</v>
      </c>
      <c r="E48" s="6"/>
    </row>
    <row r="49" spans="1:5" x14ac:dyDescent="0.25">
      <c r="A49" s="5" t="s">
        <v>108</v>
      </c>
      <c r="B49" s="5" t="s">
        <v>109</v>
      </c>
      <c r="C49" s="6">
        <f>LEN(AgencyRef[[#This Row],[Entity Description]])</f>
        <v>33</v>
      </c>
      <c r="D49" s="6" t="str">
        <f>AgencyRef[[#This Row],[Entity Code]]&amp; "-" &amp;AgencyRef[[#This Row],[Entity Description]]</f>
        <v>30700-Interstate Oil Compact Commission</v>
      </c>
      <c r="E49" s="6"/>
    </row>
    <row r="50" spans="1:5" x14ac:dyDescent="0.25">
      <c r="A50" s="5" t="s">
        <v>110</v>
      </c>
      <c r="B50" s="5" t="s">
        <v>111</v>
      </c>
      <c r="C50" s="6">
        <f>LEN(AgencyRef[[#This Row],[Entity Description]])</f>
        <v>29</v>
      </c>
      <c r="D50" s="6" t="str">
        <f>AgencyRef[[#This Row],[Entity Code]]&amp; "-" &amp;AgencyRef[[#This Row],[Entity Description]]</f>
        <v>30800-State Bureau of Investigation</v>
      </c>
      <c r="E50" s="6"/>
    </row>
    <row r="51" spans="1:5" x14ac:dyDescent="0.25">
      <c r="A51" s="5" t="s">
        <v>112</v>
      </c>
      <c r="B51" s="5" t="s">
        <v>113</v>
      </c>
      <c r="C51" s="6">
        <f>LEN(AgencyRef[[#This Row],[Entity Description]])</f>
        <v>26</v>
      </c>
      <c r="D51" s="6" t="str">
        <f>AgencyRef[[#This Row],[Entity Code]]&amp; "-" &amp;AgencyRef[[#This Row],[Entity Description]]</f>
        <v>30900-Civil Emergency Management</v>
      </c>
      <c r="E51" s="6"/>
    </row>
    <row r="52" spans="1:5" x14ac:dyDescent="0.25">
      <c r="A52" s="5" t="s">
        <v>114</v>
      </c>
      <c r="B52" s="5" t="s">
        <v>115</v>
      </c>
      <c r="C52" s="6">
        <f>LEN(AgencyRef[[#This Row],[Entity Description]])</f>
        <v>19</v>
      </c>
      <c r="D52" s="6" t="str">
        <f>AgencyRef[[#This Row],[Entity Code]]&amp; "-" &amp;AgencyRef[[#This Row],[Entity Description]]</f>
        <v>31000-State Fire Marshall</v>
      </c>
      <c r="E52" s="6"/>
    </row>
    <row r="53" spans="1:5" x14ac:dyDescent="0.25">
      <c r="A53" s="5" t="s">
        <v>116</v>
      </c>
      <c r="B53" s="5" t="s">
        <v>117</v>
      </c>
      <c r="C53" s="6">
        <f>LEN(AgencyRef[[#This Row],[Entity Description]])</f>
        <v>32</v>
      </c>
      <c r="D53" s="6" t="str">
        <f>AgencyRef[[#This Row],[Entity Code]]&amp; "-" &amp;AgencyRef[[#This Row],[Entity Description]]</f>
        <v>32000-Wildlife Conservation Commission</v>
      </c>
      <c r="E53" s="6"/>
    </row>
    <row r="54" spans="1:5" x14ac:dyDescent="0.25">
      <c r="A54" s="5" t="s">
        <v>118</v>
      </c>
      <c r="B54" s="5" t="s">
        <v>119</v>
      </c>
      <c r="C54" s="6">
        <f>LEN(AgencyRef[[#This Row],[Entity Description]])</f>
        <v>27</v>
      </c>
      <c r="D54" s="6" t="str">
        <f>AgencyRef[[#This Row],[Entity Code]]&amp; "-" &amp;AgencyRef[[#This Row],[Entity Description]]</f>
        <v>32600-Office of Handicap Concerns</v>
      </c>
      <c r="E54" s="6"/>
    </row>
    <row r="55" spans="1:5" x14ac:dyDescent="0.25">
      <c r="A55" s="5" t="s">
        <v>120</v>
      </c>
      <c r="B55" s="5" t="s">
        <v>121</v>
      </c>
      <c r="C55" s="6">
        <f>LEN(AgencyRef[[#This Row],[Entity Description]])</f>
        <v>20</v>
      </c>
      <c r="D55" s="6" t="str">
        <f>AgencyRef[[#This Row],[Entity Code]]&amp; "-" &amp;AgencyRef[[#This Row],[Entity Description]]</f>
        <v>34000-Department of Health</v>
      </c>
      <c r="E55" s="6"/>
    </row>
    <row r="56" spans="1:5" x14ac:dyDescent="0.25">
      <c r="A56" s="5" t="s">
        <v>122</v>
      </c>
      <c r="B56" s="5" t="s">
        <v>123</v>
      </c>
      <c r="C56" s="6">
        <f>LEN(AgencyRef[[#This Row],[Entity Description]])</f>
        <v>31</v>
      </c>
      <c r="D56" s="6" t="str">
        <f>AgencyRef[[#This Row],[Entity Code]]&amp; "-" &amp;AgencyRef[[#This Row],[Entity Description]]</f>
        <v>34200-Medicolegal Investigation Board</v>
      </c>
      <c r="E56" s="6"/>
    </row>
    <row r="57" spans="1:5" x14ac:dyDescent="0.25">
      <c r="A57" s="5" t="s">
        <v>124</v>
      </c>
      <c r="B57" s="5" t="s">
        <v>125</v>
      </c>
      <c r="C57" s="6">
        <f>LEN(AgencyRef[[#This Row],[Entity Description]])</f>
        <v>35</v>
      </c>
      <c r="D57" s="6" t="str">
        <f>AgencyRef[[#This Row],[Entity Code]]&amp; "-" &amp;AgencyRef[[#This Row],[Entity Description]]</f>
        <v>34300-Board of Examiners of Perfusionists</v>
      </c>
      <c r="E57" s="6"/>
    </row>
    <row r="58" spans="1:5" x14ac:dyDescent="0.25">
      <c r="A58" s="5">
        <v>34500</v>
      </c>
      <c r="B58" s="5" t="s">
        <v>126</v>
      </c>
      <c r="C58" s="6">
        <f>LEN(AgencyRef[[#This Row],[Entity Description]])</f>
        <v>28</v>
      </c>
      <c r="D58" s="6" t="str">
        <f>AgencyRef[[#This Row],[Entity Code]]&amp; "-" &amp;AgencyRef[[#This Row],[Entity Description]]</f>
        <v>34500-Department of Transportation</v>
      </c>
      <c r="E58" s="6"/>
    </row>
    <row r="59" spans="1:5" x14ac:dyDescent="0.25">
      <c r="A59" s="5" t="s">
        <v>127</v>
      </c>
      <c r="B59" s="5" t="s">
        <v>128</v>
      </c>
      <c r="C59" s="6">
        <f>LEN(AgencyRef[[#This Row],[Entity Description]])</f>
        <v>45</v>
      </c>
      <c r="D59" s="6" t="str">
        <f>AgencyRef[[#This Row],[Entity Code]]&amp; "-" &amp;AgencyRef[[#This Row],[Entity Description]]</f>
        <v>34600-Oklahoma Space Industry Development Authority</v>
      </c>
      <c r="E59" s="6"/>
    </row>
    <row r="60" spans="1:5" x14ac:dyDescent="0.25">
      <c r="A60" s="5" t="s">
        <v>129</v>
      </c>
      <c r="B60" s="5" t="s">
        <v>130</v>
      </c>
      <c r="C60" s="6">
        <f>LEN(AgencyRef[[#This Row],[Entity Description]])</f>
        <v>18</v>
      </c>
      <c r="D60" s="6" t="str">
        <f>AgencyRef[[#This Row],[Entity Code]]&amp; "-" &amp;AgencyRef[[#This Row],[Entity Description]]</f>
        <v>35000-Historical Society</v>
      </c>
      <c r="E60" s="6"/>
    </row>
    <row r="61" spans="1:5" x14ac:dyDescent="0.25">
      <c r="A61" s="5" t="s">
        <v>131</v>
      </c>
      <c r="B61" s="5" t="s">
        <v>132</v>
      </c>
      <c r="C61" s="6">
        <f>LEN(AgencyRef[[#This Row],[Entity Description]])</f>
        <v>23</v>
      </c>
      <c r="D61" s="6" t="str">
        <f>AgencyRef[[#This Row],[Entity Code]]&amp; "-" &amp;AgencyRef[[#This Row],[Entity Description]]</f>
        <v>35300-Horse Racing Commission</v>
      </c>
      <c r="E61" s="6"/>
    </row>
    <row r="62" spans="1:5" x14ac:dyDescent="0.25">
      <c r="A62" s="5" t="s">
        <v>133</v>
      </c>
      <c r="B62" s="5" t="s">
        <v>134</v>
      </c>
      <c r="C62" s="6">
        <f>LEN(AgencyRef[[#This Row],[Entity Description]])</f>
        <v>31</v>
      </c>
      <c r="D62" s="6" t="str">
        <f>AgencyRef[[#This Row],[Entity Code]]&amp; "-" &amp;AgencyRef[[#This Row],[Entity Description]]</f>
        <v>35900-Oklahoma Energy Resources Board</v>
      </c>
      <c r="E62" s="6"/>
    </row>
    <row r="63" spans="1:5" x14ac:dyDescent="0.25">
      <c r="A63" s="5">
        <v>36000</v>
      </c>
      <c r="B63" s="5" t="s">
        <v>135</v>
      </c>
      <c r="C63" s="6">
        <f>LEN(AgencyRef[[#This Row],[Entity Description]])</f>
        <v>25</v>
      </c>
      <c r="D63" s="6" t="str">
        <f>AgencyRef[[#This Row],[Entity Code]]&amp; "-" &amp;AgencyRef[[#This Row],[Entity Description]]</f>
        <v>36000-Indian Affairs Commission</v>
      </c>
      <c r="E63" s="6"/>
    </row>
    <row r="64" spans="1:5" x14ac:dyDescent="0.25">
      <c r="A64" s="5">
        <v>36100</v>
      </c>
      <c r="B64" s="5" t="s">
        <v>136</v>
      </c>
      <c r="C64" s="6">
        <f>LEN(AgencyRef[[#This Row],[Entity Description]])</f>
        <v>31</v>
      </c>
      <c r="D64" s="6" t="str">
        <f>AgencyRef[[#This Row],[Entity Code]]&amp; "-" &amp;AgencyRef[[#This Row],[Entity Description]]</f>
        <v>36100-Native American Cultural Center</v>
      </c>
      <c r="E64" s="6"/>
    </row>
    <row r="65" spans="1:5" x14ac:dyDescent="0.25">
      <c r="A65" s="5" t="s">
        <v>137</v>
      </c>
      <c r="B65" s="5"/>
      <c r="C65" s="6">
        <f>LEN(AgencyRef[[#This Row],[Entity Description]])</f>
        <v>0</v>
      </c>
      <c r="D65" s="6" t="str">
        <f>AgencyRef[[#This Row],[Entity Code]]&amp; "-" &amp;AgencyRef[[#This Row],[Entity Description]]</f>
        <v>36900-</v>
      </c>
      <c r="E65" s="6"/>
    </row>
    <row r="66" spans="1:5" x14ac:dyDescent="0.25">
      <c r="A66" s="5" t="s">
        <v>138</v>
      </c>
      <c r="B66" s="5" t="s">
        <v>139</v>
      </c>
      <c r="C66" s="6">
        <f>LEN(AgencyRef[[#This Row],[Entity Description]])</f>
        <v>20</v>
      </c>
      <c r="D66" s="6" t="str">
        <f>AgencyRef[[#This Row],[Entity Code]]&amp; "-" &amp;AgencyRef[[#This Row],[Entity Description]]</f>
        <v>38500-Insurance Department</v>
      </c>
      <c r="E66" s="6"/>
    </row>
    <row r="67" spans="1:5" x14ac:dyDescent="0.25">
      <c r="A67" s="5" t="s">
        <v>140</v>
      </c>
      <c r="B67" s="5" t="s">
        <v>141</v>
      </c>
      <c r="C67" s="6">
        <f>LEN(AgencyRef[[#This Row],[Entity Description]])</f>
        <v>26</v>
      </c>
      <c r="D67" s="6" t="str">
        <f>AgencyRef[[#This Row],[Entity Code]]&amp; "-" &amp;AgencyRef[[#This Row],[Entity Description]]</f>
        <v>40000-Office of Juvenile Affairs</v>
      </c>
      <c r="E67" s="6"/>
    </row>
    <row r="68" spans="1:5" x14ac:dyDescent="0.25">
      <c r="A68" s="5" t="s">
        <v>142</v>
      </c>
      <c r="B68" s="5" t="s">
        <v>143</v>
      </c>
      <c r="C68" s="6">
        <f>LEN(AgencyRef[[#This Row],[Entity Description]])</f>
        <v>16</v>
      </c>
      <c r="D68" s="6" t="str">
        <f>AgencyRef[[#This Row],[Entity Code]]&amp; "-" &amp;AgencyRef[[#This Row],[Entity Description]]</f>
        <v>40500-Labor Department</v>
      </c>
      <c r="E68" s="6"/>
    </row>
    <row r="69" spans="1:5" x14ac:dyDescent="0.25">
      <c r="A69" s="5" t="s">
        <v>144</v>
      </c>
      <c r="B69" s="5" t="s">
        <v>145</v>
      </c>
      <c r="C69" s="6">
        <f>LEN(AgencyRef[[#This Row],[Entity Description]])</f>
        <v>32</v>
      </c>
      <c r="D69" s="6" t="str">
        <f>AgencyRef[[#This Row],[Entity Code]]&amp; "-" &amp;AgencyRef[[#This Row],[Entity Description]]</f>
        <v>41000-Commissioners of the Land Office</v>
      </c>
      <c r="E69" s="6"/>
    </row>
    <row r="70" spans="1:5" x14ac:dyDescent="0.25">
      <c r="A70" s="5" t="s">
        <v>146</v>
      </c>
      <c r="B70" s="5" t="s">
        <v>147</v>
      </c>
      <c r="C70" s="6">
        <f>LEN(AgencyRef[[#This Row],[Entity Description]])</f>
        <v>5</v>
      </c>
      <c r="D70" s="6" t="str">
        <f>AgencyRef[[#This Row],[Entity Code]]&amp; "-" &amp;AgencyRef[[#This Row],[Entity Description]]</f>
        <v>41500-CLEET</v>
      </c>
      <c r="E70" s="6"/>
    </row>
    <row r="71" spans="1:5" x14ac:dyDescent="0.25">
      <c r="A71" s="5" t="s">
        <v>148</v>
      </c>
      <c r="B71" s="5" t="s">
        <v>149</v>
      </c>
      <c r="C71" s="6">
        <f>LEN(AgencyRef[[#This Row],[Entity Description]])</f>
        <v>6</v>
      </c>
      <c r="D71" s="6" t="str">
        <f>AgencyRef[[#This Row],[Entity Code]]&amp; "-" &amp;AgencyRef[[#This Row],[Entity Description]]</f>
        <v>42100-Senate</v>
      </c>
      <c r="E71" s="6"/>
    </row>
    <row r="72" spans="1:5" x14ac:dyDescent="0.25">
      <c r="A72" s="5" t="s">
        <v>150</v>
      </c>
      <c r="B72" s="5" t="s">
        <v>151</v>
      </c>
      <c r="C72" s="6">
        <f>LEN(AgencyRef[[#This Row],[Entity Description]])</f>
        <v>24</v>
      </c>
      <c r="D72" s="6" t="str">
        <f>AgencyRef[[#This Row],[Entity Code]]&amp; "-" &amp;AgencyRef[[#This Row],[Entity Description]]</f>
        <v>42200-House of Representatives</v>
      </c>
      <c r="E72" s="6"/>
    </row>
    <row r="73" spans="1:5" x14ac:dyDescent="0.25">
      <c r="A73" s="5" t="s">
        <v>152</v>
      </c>
      <c r="B73" s="5" t="s">
        <v>153</v>
      </c>
      <c r="C73" s="6">
        <f>LEN(AgencyRef[[#This Row],[Entity Description]])</f>
        <v>26</v>
      </c>
      <c r="D73" s="6" t="str">
        <f>AgencyRef[[#This Row],[Entity Code]]&amp; "-" &amp;AgencyRef[[#This Row],[Entity Description]]</f>
        <v>42300-Legislative Service Bureau</v>
      </c>
      <c r="E73" s="6"/>
    </row>
    <row r="74" spans="1:5" x14ac:dyDescent="0.25">
      <c r="A74" s="5" t="s">
        <v>154</v>
      </c>
      <c r="B74" s="5" t="s">
        <v>155</v>
      </c>
      <c r="C74" s="6">
        <f>LEN(AgencyRef[[#This Row],[Entity Description]])</f>
        <v>20</v>
      </c>
      <c r="D74" s="6" t="str">
        <f>AgencyRef[[#This Row],[Entity Code]]&amp; "-" &amp;AgencyRef[[#This Row],[Entity Description]]</f>
        <v>43000-Libraries Department</v>
      </c>
      <c r="E74" s="6"/>
    </row>
    <row r="75" spans="1:5" x14ac:dyDescent="0.25">
      <c r="A75" s="5">
        <v>43500</v>
      </c>
      <c r="B75" s="5" t="s">
        <v>156</v>
      </c>
      <c r="C75" s="6">
        <f>LEN(AgencyRef[[#This Row],[Entity Description]])</f>
        <v>18</v>
      </c>
      <c r="D75" s="6" t="str">
        <f>AgencyRef[[#This Row],[Entity Code]]&amp; "-" &amp;AgencyRef[[#This Row],[Entity Description]]</f>
        <v>43500-Lottery Commission</v>
      </c>
      <c r="E75" s="6"/>
    </row>
    <row r="76" spans="1:5" x14ac:dyDescent="0.25">
      <c r="A76" s="5" t="s">
        <v>157</v>
      </c>
      <c r="B76" s="5" t="s">
        <v>158</v>
      </c>
      <c r="C76" s="6">
        <f>LEN(AgencyRef[[#This Row],[Entity Description]])</f>
        <v>19</v>
      </c>
      <c r="D76" s="6" t="str">
        <f>AgencyRef[[#This Row],[Entity Code]]&amp; "-" &amp;AgencyRef[[#This Row],[Entity Description]]</f>
        <v>44000-Lieutenant Governor</v>
      </c>
      <c r="E76" s="6"/>
    </row>
    <row r="77" spans="1:5" x14ac:dyDescent="0.25">
      <c r="A77" s="5" t="s">
        <v>159</v>
      </c>
      <c r="B77" s="5" t="s">
        <v>160</v>
      </c>
      <c r="C77" s="6">
        <f>LEN(AgencyRef[[#This Row],[Entity Description]])</f>
        <v>29</v>
      </c>
      <c r="D77" s="6" t="str">
        <f>AgencyRef[[#This Row],[Entity Code]]&amp; "-" &amp;AgencyRef[[#This Row],[Entity Description]]</f>
        <v>44500-Liquefied Petroleum Gas Board</v>
      </c>
      <c r="E77" s="6"/>
    </row>
    <row r="78" spans="1:5" x14ac:dyDescent="0.25">
      <c r="A78" s="5" t="s">
        <v>161</v>
      </c>
      <c r="B78" s="5" t="s">
        <v>162</v>
      </c>
      <c r="C78" s="6">
        <f>LEN(AgencyRef[[#This Row],[Entity Description]])</f>
        <v>44</v>
      </c>
      <c r="D78" s="6" t="str">
        <f>AgencyRef[[#This Row],[Entity Code]]&amp; "-" &amp;AgencyRef[[#This Row],[Entity Description]]</f>
        <v>44800-Board of Licensure Alcohol &amp; Drug Counseling</v>
      </c>
      <c r="E78" s="6"/>
    </row>
    <row r="79" spans="1:5" x14ac:dyDescent="0.25">
      <c r="A79" s="5" t="s">
        <v>163</v>
      </c>
      <c r="B79" s="5" t="s">
        <v>164</v>
      </c>
      <c r="C79" s="6">
        <f>LEN(AgencyRef[[#This Row],[Entity Description]])</f>
        <v>33</v>
      </c>
      <c r="D79" s="6" t="str">
        <f>AgencyRef[[#This Row],[Entity Code]]&amp; "-" &amp;AgencyRef[[#This Row],[Entity Description]]</f>
        <v>45000-Medical License/Supervision Board</v>
      </c>
      <c r="E79" s="6"/>
    </row>
    <row r="80" spans="1:5" x14ac:dyDescent="0.25">
      <c r="A80" s="5" t="s">
        <v>165</v>
      </c>
      <c r="B80" s="5" t="s">
        <v>166</v>
      </c>
      <c r="C80" s="6">
        <f>LEN(AgencyRef[[#This Row],[Entity Description]])</f>
        <v>6</v>
      </c>
      <c r="D80" s="6" t="str">
        <f>AgencyRef[[#This Row],[Entity Code]]&amp; "-" &amp;AgencyRef[[#This Row],[Entity Description]]</f>
        <v>45200-DMHSAS</v>
      </c>
      <c r="E80" s="6"/>
    </row>
    <row r="81" spans="1:5" x14ac:dyDescent="0.25">
      <c r="A81" s="153" t="s">
        <v>733</v>
      </c>
      <c r="B81" s="5" t="s">
        <v>734</v>
      </c>
      <c r="C81" s="6">
        <f>LEN(AgencyRef[[#This Row],[Entity Description]])</f>
        <v>27</v>
      </c>
      <c r="D81" s="6" t="str">
        <f>AgencyRef[[#This Row],[Entity Code]]&amp; "-" &amp;AgencyRef[[#This Row],[Entity Description]]</f>
        <v>45500-Medical Marijuana Authority</v>
      </c>
      <c r="E81" s="6"/>
    </row>
    <row r="82" spans="1:5" x14ac:dyDescent="0.25">
      <c r="A82" s="5" t="s">
        <v>167</v>
      </c>
      <c r="B82" s="5" t="s">
        <v>168</v>
      </c>
      <c r="C82" s="6">
        <f>LEN(AgencyRef[[#This Row],[Entity Description]])</f>
        <v>16</v>
      </c>
      <c r="D82" s="6" t="str">
        <f>AgencyRef[[#This Row],[Entity Code]]&amp; "-" &amp;AgencyRef[[#This Row],[Entity Description]]</f>
        <v>46700-Statewide Entity</v>
      </c>
      <c r="E82" s="6"/>
    </row>
    <row r="83" spans="1:5" x14ac:dyDescent="0.25">
      <c r="A83" s="5" t="s">
        <v>169</v>
      </c>
      <c r="B83" s="5" t="s">
        <v>170</v>
      </c>
      <c r="C83" s="6">
        <f>LEN(AgencyRef[[#This Row],[Entity Description]])</f>
        <v>24</v>
      </c>
      <c r="D83" s="6" t="str">
        <f>AgencyRef[[#This Row],[Entity Code]]&amp; "-" &amp;AgencyRef[[#This Row],[Entity Description]]</f>
        <v>47500-Motor Vehicle Commission</v>
      </c>
      <c r="E83" s="6"/>
    </row>
    <row r="84" spans="1:5" x14ac:dyDescent="0.25">
      <c r="A84" s="5" t="s">
        <v>171</v>
      </c>
      <c r="B84" s="5" t="s">
        <v>172</v>
      </c>
      <c r="C84" s="6">
        <f>LEN(AgencyRef[[#This Row],[Entity Description]])</f>
        <v>33</v>
      </c>
      <c r="D84" s="6" t="str">
        <f>AgencyRef[[#This Row],[Entity Code]]&amp; "-" &amp;AgencyRef[[#This Row],[Entity Description]]</f>
        <v>47700-Narcotics/Dangerous Drugs Control</v>
      </c>
      <c r="E84" s="6"/>
    </row>
    <row r="85" spans="1:5" x14ac:dyDescent="0.25">
      <c r="A85" s="5" t="s">
        <v>173</v>
      </c>
      <c r="B85" s="5" t="s">
        <v>174</v>
      </c>
      <c r="C85" s="6">
        <f>LEN(AgencyRef[[#This Row],[Entity Description]])</f>
        <v>22</v>
      </c>
      <c r="D85" s="6" t="str">
        <f>AgencyRef[[#This Row],[Entity Code]]&amp; "-" &amp;AgencyRef[[#This Row],[Entity Description]]</f>
        <v>50900-Board of Nursing Homes</v>
      </c>
      <c r="E85" s="6"/>
    </row>
    <row r="86" spans="1:5" x14ac:dyDescent="0.25">
      <c r="A86" s="5" t="s">
        <v>175</v>
      </c>
      <c r="B86" s="5" t="s">
        <v>176</v>
      </c>
      <c r="C86" s="6">
        <f>LEN(AgencyRef[[#This Row],[Entity Description]])</f>
        <v>36</v>
      </c>
      <c r="D86" s="6" t="str">
        <f>AgencyRef[[#This Row],[Entity Code]]&amp; "-" &amp;AgencyRef[[#This Row],[Entity Description]]</f>
        <v>51000-Nurse Registration &amp; Education Board</v>
      </c>
      <c r="E86" s="6"/>
    </row>
    <row r="87" spans="1:5" x14ac:dyDescent="0.25">
      <c r="A87" s="5" t="s">
        <v>177</v>
      </c>
      <c r="B87" s="5" t="s">
        <v>178</v>
      </c>
      <c r="C87" s="6">
        <f>LEN(AgencyRef[[#This Row],[Entity Description]])</f>
        <v>15</v>
      </c>
      <c r="D87" s="6" t="str">
        <f>AgencyRef[[#This Row],[Entity Code]]&amp; "-" &amp;AgencyRef[[#This Row],[Entity Description]]</f>
        <v>52000-Optometry Board</v>
      </c>
      <c r="E87" s="6"/>
    </row>
    <row r="88" spans="1:5" x14ac:dyDescent="0.25">
      <c r="A88" s="5" t="s">
        <v>179</v>
      </c>
      <c r="B88" s="5" t="s">
        <v>180</v>
      </c>
      <c r="C88" s="6">
        <f>LEN(AgencyRef[[#This Row],[Entity Description]])</f>
        <v>27</v>
      </c>
      <c r="D88" s="6" t="str">
        <f>AgencyRef[[#This Row],[Entity Code]]&amp; "-" &amp;AgencyRef[[#This Row],[Entity Description]]</f>
        <v>52500-Osteopathic Examiners Board</v>
      </c>
      <c r="E88" s="6"/>
    </row>
    <row r="89" spans="1:5" x14ac:dyDescent="0.25">
      <c r="A89" s="5" t="s">
        <v>181</v>
      </c>
      <c r="B89" s="5" t="s">
        <v>182</v>
      </c>
      <c r="C89" s="6">
        <f>LEN(AgencyRef[[#This Row],[Entity Description]])</f>
        <v>14</v>
      </c>
      <c r="D89" s="6" t="str">
        <f>AgencyRef[[#This Row],[Entity Code]]&amp; "-" &amp;AgencyRef[[#This Row],[Entity Description]]</f>
        <v>56000-Pharmacy Board</v>
      </c>
      <c r="E89" s="6"/>
    </row>
    <row r="90" spans="1:5" x14ac:dyDescent="0.25">
      <c r="A90" s="5" t="s">
        <v>183</v>
      </c>
      <c r="B90" s="5" t="s">
        <v>184</v>
      </c>
      <c r="C90" s="6">
        <f>LEN(AgencyRef[[#This Row],[Entity Description]])</f>
        <v>32</v>
      </c>
      <c r="D90" s="6" t="str">
        <f>AgencyRef[[#This Row],[Entity Code]]&amp; "-" &amp;AgencyRef[[#This Row],[Entity Description]]</f>
        <v>56300-Private Vocational Schools Board</v>
      </c>
      <c r="E90" s="6"/>
    </row>
    <row r="91" spans="1:5" x14ac:dyDescent="0.25">
      <c r="A91" s="5" t="s">
        <v>185</v>
      </c>
      <c r="B91" s="5" t="s">
        <v>186</v>
      </c>
      <c r="C91" s="6">
        <f>LEN(AgencyRef[[#This Row],[Entity Description]])</f>
        <v>31</v>
      </c>
      <c r="D91" s="6" t="str">
        <f>AgencyRef[[#This Row],[Entity Code]]&amp; "-" &amp;AgencyRef[[#This Row],[Entity Description]]</f>
        <v>56600-Tourism &amp; Recreation Department</v>
      </c>
      <c r="E91" s="6"/>
    </row>
    <row r="92" spans="1:5" x14ac:dyDescent="0.25">
      <c r="A92" s="5" t="s">
        <v>187</v>
      </c>
      <c r="B92" s="5" t="s">
        <v>188</v>
      </c>
      <c r="C92" s="6">
        <f>LEN(AgencyRef[[#This Row],[Entity Description]])</f>
        <v>45</v>
      </c>
      <c r="D92" s="6" t="str">
        <f>AgencyRef[[#This Row],[Entity Code]]&amp; "-" &amp;AgencyRef[[#This Row],[Entity Description]]</f>
        <v>57000-Professional Engineers &amp; Land Surveyors Board</v>
      </c>
      <c r="E92" s="6"/>
    </row>
    <row r="93" spans="1:5" x14ac:dyDescent="0.25">
      <c r="A93" s="5" t="s">
        <v>189</v>
      </c>
      <c r="B93" s="5" t="s">
        <v>190</v>
      </c>
      <c r="C93" s="6">
        <f>LEN(AgencyRef[[#This Row],[Entity Description]])</f>
        <v>29</v>
      </c>
      <c r="D93" s="6" t="str">
        <f>AgencyRef[[#This Row],[Entity Code]]&amp; "-" &amp;AgencyRef[[#This Row],[Entity Description]]</f>
        <v>57500-Psychologists Examiners Board</v>
      </c>
      <c r="E93" s="6"/>
    </row>
    <row r="94" spans="1:5" x14ac:dyDescent="0.25">
      <c r="A94" s="5" t="s">
        <v>191</v>
      </c>
      <c r="B94" s="5" t="s">
        <v>192</v>
      </c>
      <c r="C94" s="6">
        <f>LEN(AgencyRef[[#This Row],[Entity Description]])</f>
        <v>18</v>
      </c>
      <c r="D94" s="6" t="str">
        <f>AgencyRef[[#This Row],[Entity Code]]&amp; "-" &amp;AgencyRef[[#This Row],[Entity Description]]</f>
        <v>58200-State Bond Advisor</v>
      </c>
      <c r="E94" s="6"/>
    </row>
    <row r="95" spans="1:5" x14ac:dyDescent="0.25">
      <c r="A95" s="5" t="s">
        <v>193</v>
      </c>
      <c r="B95" s="5" t="s">
        <v>194</v>
      </c>
      <c r="C95" s="6">
        <f>LEN(AgencyRef[[#This Row],[Entity Description]])</f>
        <v>24</v>
      </c>
      <c r="D95" s="6" t="str">
        <f>AgencyRef[[#This Row],[Entity Code]]&amp; "-" &amp;AgencyRef[[#This Row],[Entity Description]]</f>
        <v>58500-Public Safety Department</v>
      </c>
      <c r="E95" s="6"/>
    </row>
    <row r="96" spans="1:5" x14ac:dyDescent="0.25">
      <c r="A96" s="5" t="s">
        <v>195</v>
      </c>
      <c r="B96" s="5" t="s">
        <v>196</v>
      </c>
      <c r="C96" s="6">
        <f>LEN(AgencyRef[[#This Row],[Entity Description]])</f>
        <v>22</v>
      </c>
      <c r="D96" s="6" t="str">
        <f>AgencyRef[[#This Row],[Entity Code]]&amp; "-" &amp;AgencyRef[[#This Row],[Entity Description]]</f>
        <v>58800-Real Estate Commission</v>
      </c>
      <c r="E96" s="6"/>
    </row>
    <row r="97" spans="1:5" x14ac:dyDescent="0.25">
      <c r="A97" s="5" t="s">
        <v>197</v>
      </c>
      <c r="B97" s="5" t="s">
        <v>198</v>
      </c>
      <c r="C97" s="6">
        <f>LEN(AgencyRef[[#This Row],[Entity Description]])</f>
        <v>39</v>
      </c>
      <c r="D97" s="6" t="str">
        <f>AgencyRef[[#This Row],[Entity Code]]&amp; "-" &amp;AgencyRef[[#This Row],[Entity Description]]</f>
        <v>61900-Physicians Manpower Training Commission</v>
      </c>
      <c r="E97" s="6"/>
    </row>
    <row r="98" spans="1:5" x14ac:dyDescent="0.25">
      <c r="A98" s="5" t="s">
        <v>199</v>
      </c>
      <c r="B98" s="5" t="s">
        <v>200</v>
      </c>
      <c r="C98" s="6">
        <f>LEN(AgencyRef[[#This Row],[Entity Description]])</f>
        <v>29</v>
      </c>
      <c r="D98" s="6" t="str">
        <f>AgencyRef[[#This Row],[Entity Code]]&amp; "-" &amp;AgencyRef[[#This Row],[Entity Description]]</f>
        <v>62200-Licensed Social Workers Board</v>
      </c>
      <c r="E98" s="6"/>
    </row>
    <row r="99" spans="1:5" x14ac:dyDescent="0.25">
      <c r="A99" s="5" t="s">
        <v>201</v>
      </c>
      <c r="B99" s="5" t="s">
        <v>202</v>
      </c>
      <c r="C99" s="6">
        <f>LEN(AgencyRef[[#This Row],[Entity Description]])</f>
        <v>18</v>
      </c>
      <c r="D99" s="6" t="str">
        <f>AgencyRef[[#This Row],[Entity Code]]&amp; "-" &amp;AgencyRef[[#This Row],[Entity Description]]</f>
        <v>62500-Secretary of State</v>
      </c>
      <c r="E99" s="6"/>
    </row>
    <row r="100" spans="1:5" x14ac:dyDescent="0.25">
      <c r="A100" s="5" t="s">
        <v>203</v>
      </c>
      <c r="B100" s="5" t="s">
        <v>204</v>
      </c>
      <c r="C100" s="6">
        <f>LEN(AgencyRef[[#This Row],[Entity Description]])</f>
        <v>44</v>
      </c>
      <c r="D100" s="6" t="str">
        <f>AgencyRef[[#This Row],[Entity Code]]&amp; "-" &amp;AgencyRef[[#This Row],[Entity Description]]</f>
        <v>62800-Center for Advancement of Science/Technology</v>
      </c>
      <c r="E100" s="6"/>
    </row>
    <row r="101" spans="1:5" x14ac:dyDescent="0.25">
      <c r="A101" s="5" t="s">
        <v>205</v>
      </c>
      <c r="B101" s="5" t="s">
        <v>206</v>
      </c>
      <c r="C101" s="6">
        <f>LEN(AgencyRef[[#This Row],[Entity Description]])</f>
        <v>35</v>
      </c>
      <c r="D101" s="6" t="str">
        <f>AgencyRef[[#This Row],[Entity Code]]&amp; "-" &amp;AgencyRef[[#This Row],[Entity Description]]</f>
        <v>62900-Oklahoma School of Science and Math</v>
      </c>
      <c r="E101" s="6"/>
    </row>
    <row r="102" spans="1:5" x14ac:dyDescent="0.25">
      <c r="A102" s="5" t="s">
        <v>207</v>
      </c>
      <c r="B102" s="5" t="s">
        <v>208</v>
      </c>
      <c r="C102" s="6">
        <f>LEN(AgencyRef[[#This Row],[Entity Description]])</f>
        <v>21</v>
      </c>
      <c r="D102" s="6" t="str">
        <f>AgencyRef[[#This Row],[Entity Code]]&amp; "-" &amp;AgencyRef[[#This Row],[Entity Description]]</f>
        <v>63000-Securities Commission</v>
      </c>
      <c r="E102" s="6"/>
    </row>
    <row r="103" spans="1:5" x14ac:dyDescent="0.25">
      <c r="A103" s="5" t="s">
        <v>209</v>
      </c>
      <c r="B103" s="5" t="s">
        <v>210</v>
      </c>
      <c r="C103" s="6">
        <f>LEN(AgencyRef[[#This Row],[Entity Description]])</f>
        <v>36</v>
      </c>
      <c r="D103" s="6" t="str">
        <f>AgencyRef[[#This Row],[Entity Code]]&amp; "-" &amp;AgencyRef[[#This Row],[Entity Description]]</f>
        <v>63200-Speech Pathology and Audiology Board</v>
      </c>
      <c r="E103" s="6"/>
    </row>
    <row r="104" spans="1:5" x14ac:dyDescent="0.25">
      <c r="A104" s="5" t="s">
        <v>211</v>
      </c>
      <c r="B104" s="5" t="s">
        <v>212</v>
      </c>
      <c r="C104" s="6">
        <f>LEN(AgencyRef[[#This Row],[Entity Description]])</f>
        <v>26</v>
      </c>
      <c r="D104" s="6" t="str">
        <f>AgencyRef[[#This Row],[Entity Code]]&amp; "-" &amp;AgencyRef[[#This Row],[Entity Description]]</f>
        <v>63500-Consumer Credit Commission</v>
      </c>
      <c r="E104" s="6"/>
    </row>
    <row r="105" spans="1:5" x14ac:dyDescent="0.25">
      <c r="A105" s="5" t="s">
        <v>213</v>
      </c>
      <c r="B105" s="5" t="s">
        <v>214</v>
      </c>
      <c r="C105" s="6">
        <f>LEN(AgencyRef[[#This Row],[Entity Description]])</f>
        <v>23</v>
      </c>
      <c r="D105" s="6" t="str">
        <f>AgencyRef[[#This Row],[Entity Code]]&amp; "-" &amp;AgencyRef[[#This Row],[Entity Description]]</f>
        <v>64500-Conservation Commission</v>
      </c>
      <c r="E105" s="6"/>
    </row>
    <row r="106" spans="1:5" x14ac:dyDescent="0.25">
      <c r="A106" s="5" t="s">
        <v>215</v>
      </c>
      <c r="B106" s="5" t="s">
        <v>216</v>
      </c>
      <c r="C106" s="6">
        <f>LEN(AgencyRef[[#This Row],[Entity Description]])</f>
        <v>26</v>
      </c>
      <c r="D106" s="6" t="str">
        <f>AgencyRef[[#This Row],[Entity Code]]&amp; "-" &amp;AgencyRef[[#This Row],[Entity Description]]</f>
        <v>65000-Veteran Affairs Department</v>
      </c>
      <c r="E106" s="6"/>
    </row>
    <row r="107" spans="1:5" x14ac:dyDescent="0.25">
      <c r="A107" s="5" t="s">
        <v>217</v>
      </c>
      <c r="B107" s="5" t="s">
        <v>218</v>
      </c>
      <c r="C107" s="6">
        <f>LEN(AgencyRef[[#This Row],[Entity Description]])</f>
        <v>17</v>
      </c>
      <c r="D107" s="6" t="str">
        <f>AgencyRef[[#This Row],[Entity Code]]&amp; "-" &amp;AgencyRef[[#This Row],[Entity Description]]</f>
        <v>67000-JD McCarty Center</v>
      </c>
      <c r="E107" s="6"/>
    </row>
    <row r="108" spans="1:5" x14ac:dyDescent="0.25">
      <c r="A108" s="5" t="s">
        <v>219</v>
      </c>
      <c r="B108" s="5" t="s">
        <v>220</v>
      </c>
      <c r="C108" s="6">
        <f>LEN(AgencyRef[[#This Row],[Entity Description]])</f>
        <v>35</v>
      </c>
      <c r="D108" s="6" t="str">
        <f>AgencyRef[[#This Row],[Entity Code]]&amp; "-" &amp;AgencyRef[[#This Row],[Entity Description]]</f>
        <v>67500-Self-Insurance Guarantee Fund Board</v>
      </c>
      <c r="E108" s="6"/>
    </row>
    <row r="109" spans="1:5" x14ac:dyDescent="0.25">
      <c r="A109" s="5" t="s">
        <v>221</v>
      </c>
      <c r="B109" s="5" t="s">
        <v>222</v>
      </c>
      <c r="C109" s="6">
        <f>LEN(AgencyRef[[#This Row],[Entity Description]])</f>
        <v>13</v>
      </c>
      <c r="D109" s="6" t="str">
        <f>AgencyRef[[#This Row],[Entity Code]]&amp; "-" &amp;AgencyRef[[#This Row],[Entity Description]]</f>
        <v>67700-Supreme Court</v>
      </c>
      <c r="E109" s="6"/>
    </row>
    <row r="110" spans="1:5" x14ac:dyDescent="0.25">
      <c r="A110" s="5" t="s">
        <v>223</v>
      </c>
      <c r="B110" s="5" t="s">
        <v>224</v>
      </c>
      <c r="C110" s="6">
        <f>LEN(AgencyRef[[#This Row],[Entity Description]])</f>
        <v>30</v>
      </c>
      <c r="D110" s="6" t="str">
        <f>AgencyRef[[#This Row],[Entity Code]]&amp; "-" &amp;AgencyRef[[#This Row],[Entity Description]]</f>
        <v>67800-Council on Judicial Complaints</v>
      </c>
      <c r="E110" s="6"/>
    </row>
    <row r="111" spans="1:5" x14ac:dyDescent="0.25">
      <c r="A111" s="5" t="s">
        <v>225</v>
      </c>
      <c r="B111" s="5" t="s">
        <v>226</v>
      </c>
      <c r="C111" s="6">
        <f>LEN(AgencyRef[[#This Row],[Entity Description]])</f>
        <v>23</v>
      </c>
      <c r="D111" s="6" t="str">
        <f>AgencyRef[[#This Row],[Entity Code]]&amp; "-" &amp;AgencyRef[[#This Row],[Entity Description]]</f>
        <v>69500-Oklahoma Tax Commission</v>
      </c>
      <c r="E111" s="6"/>
    </row>
    <row r="112" spans="1:5" x14ac:dyDescent="0.25">
      <c r="A112" s="5" t="s">
        <v>227</v>
      </c>
      <c r="B112" s="5" t="s">
        <v>228</v>
      </c>
      <c r="C112" s="6">
        <f>LEN(AgencyRef[[#This Row],[Entity Description]])</f>
        <v>25</v>
      </c>
      <c r="D112" s="6" t="str">
        <f>AgencyRef[[#This Row],[Entity Code]]&amp; "-" &amp;AgencyRef[[#This Row],[Entity Description]]</f>
        <v>74000-Office of State Treasurer</v>
      </c>
      <c r="E112" s="6"/>
    </row>
    <row r="113" spans="1:5" x14ac:dyDescent="0.25">
      <c r="A113" s="5" t="s">
        <v>229</v>
      </c>
      <c r="B113" s="5" t="s">
        <v>230</v>
      </c>
      <c r="C113" s="6">
        <f>LEN(AgencyRef[[#This Row],[Entity Description]])</f>
        <v>32</v>
      </c>
      <c r="D113" s="6" t="str">
        <f>AgencyRef[[#This Row],[Entity Code]]&amp; "-" &amp;AgencyRef[[#This Row],[Entity Description]]</f>
        <v>75300-Uniform Building Code Commission</v>
      </c>
      <c r="E113" s="6"/>
    </row>
    <row r="114" spans="1:5" x14ac:dyDescent="0.25">
      <c r="A114" s="5" t="s">
        <v>231</v>
      </c>
      <c r="B114" s="5" t="s">
        <v>232</v>
      </c>
      <c r="C114" s="6">
        <f>LEN(AgencyRef[[#This Row],[Entity Description]])</f>
        <v>29</v>
      </c>
      <c r="D114" s="6" t="str">
        <f>AgencyRef[[#This Row],[Entity Code]]&amp; "-" &amp;AgencyRef[[#This Row],[Entity Description]]</f>
        <v>75500-Used Motor Vehicle Commission</v>
      </c>
      <c r="E114" s="6"/>
    </row>
    <row r="115" spans="1:5" x14ac:dyDescent="0.25">
      <c r="A115" s="5" t="s">
        <v>233</v>
      </c>
      <c r="B115" s="5" t="s">
        <v>234</v>
      </c>
      <c r="C115" s="6">
        <f>LEN(AgencyRef[[#This Row],[Entity Description]])</f>
        <v>43</v>
      </c>
      <c r="D115" s="6" t="str">
        <f>AgencyRef[[#This Row],[Entity Code]]&amp; "-" &amp;AgencyRef[[#This Row],[Entity Description]]</f>
        <v>77200-Board of Tests for Alcohol &amp; Drug Influence</v>
      </c>
      <c r="E115" s="6"/>
    </row>
    <row r="116" spans="1:5" x14ac:dyDescent="0.25">
      <c r="A116" s="5" t="s">
        <v>235</v>
      </c>
      <c r="B116" s="5" t="s">
        <v>236</v>
      </c>
      <c r="C116" s="6">
        <f>LEN(AgencyRef[[#This Row],[Entity Description]])</f>
        <v>34</v>
      </c>
      <c r="D116" s="6" t="str">
        <f>AgencyRef[[#This Row],[Entity Code]]&amp; "-" &amp;AgencyRef[[#This Row],[Entity Description]]</f>
        <v>79000-Veterinary Medical Examiners Board</v>
      </c>
      <c r="E116" s="6"/>
    </row>
    <row r="117" spans="1:5" x14ac:dyDescent="0.25">
      <c r="A117" s="5" t="s">
        <v>237</v>
      </c>
      <c r="B117" s="5" t="s">
        <v>238</v>
      </c>
      <c r="C117" s="6">
        <f>LEN(AgencyRef[[#This Row],[Entity Description]])</f>
        <v>45</v>
      </c>
      <c r="D117" s="6" t="str">
        <f>AgencyRef[[#This Row],[Entity Code]]&amp; "-" &amp;AgencyRef[[#This Row],[Entity Description]]</f>
        <v>80000-Department of Career and Technology Education</v>
      </c>
      <c r="E117" s="6"/>
    </row>
    <row r="118" spans="1:5" x14ac:dyDescent="0.25">
      <c r="A118" s="5" t="s">
        <v>239</v>
      </c>
      <c r="B118" s="5" t="s">
        <v>240</v>
      </c>
      <c r="C118" s="6">
        <f>LEN(AgencyRef[[#This Row],[Entity Description]])</f>
        <v>28</v>
      </c>
      <c r="D118" s="6" t="str">
        <f>AgencyRef[[#This Row],[Entity Code]]&amp; "-" &amp;AgencyRef[[#This Row],[Entity Description]]</f>
        <v>80300-Virtual Charter School Board</v>
      </c>
      <c r="E118" s="6"/>
    </row>
    <row r="119" spans="1:5" x14ac:dyDescent="0.25">
      <c r="A119" s="5" t="s">
        <v>241</v>
      </c>
      <c r="B119" s="5" t="s">
        <v>242</v>
      </c>
      <c r="C119" s="6">
        <f>LEN(AgencyRef[[#This Row],[Entity Description]])</f>
        <v>37</v>
      </c>
      <c r="D119" s="6" t="str">
        <f>AgencyRef[[#This Row],[Entity Code]]&amp; "-" &amp;AgencyRef[[#This Row],[Entity Description]]</f>
        <v>80500-Department of Rehabilitation Services</v>
      </c>
      <c r="E119" s="6"/>
    </row>
    <row r="120" spans="1:5" x14ac:dyDescent="0.25">
      <c r="A120" s="5" t="s">
        <v>243</v>
      </c>
      <c r="B120" s="5" t="s">
        <v>244</v>
      </c>
      <c r="C120" s="6">
        <f>LEN(AgencyRef[[#This Row],[Entity Description]])</f>
        <v>30</v>
      </c>
      <c r="D120" s="6" t="str">
        <f>AgencyRef[[#This Row],[Entity Code]]&amp; "-" &amp;AgencyRef[[#This Row],[Entity Description]]</f>
        <v>80700-Oklahoma Health Care Authority</v>
      </c>
      <c r="E120" s="6"/>
    </row>
    <row r="121" spans="1:5" x14ac:dyDescent="0.25">
      <c r="A121" s="5" t="s">
        <v>245</v>
      </c>
      <c r="B121" s="5" t="s">
        <v>246</v>
      </c>
      <c r="C121" s="6">
        <f>LEN(AgencyRef[[#This Row],[Entity Description]])</f>
        <v>28</v>
      </c>
      <c r="D121" s="6" t="str">
        <f>AgencyRef[[#This Row],[Entity Code]]&amp; "-" &amp;AgencyRef[[#This Row],[Entity Description]]</f>
        <v>83000-Department of Human Services</v>
      </c>
      <c r="E121" s="6"/>
    </row>
    <row r="122" spans="1:5" x14ac:dyDescent="0.25">
      <c r="A122" s="5" t="s">
        <v>247</v>
      </c>
      <c r="B122" s="5" t="s">
        <v>248</v>
      </c>
      <c r="C122" s="6">
        <f>LEN(AgencyRef[[#This Row],[Entity Description]])</f>
        <v>21</v>
      </c>
      <c r="D122" s="6" t="str">
        <f>AgencyRef[[#This Row],[Entity Code]]&amp; "-" &amp;AgencyRef[[#This Row],[Entity Description]]</f>
        <v>83500-Water Resources Board</v>
      </c>
      <c r="E122" s="6"/>
    </row>
    <row r="123" spans="1:5" x14ac:dyDescent="0.25">
      <c r="A123" s="5" t="s">
        <v>249</v>
      </c>
      <c r="B123" s="5" t="s">
        <v>250</v>
      </c>
      <c r="C123" s="6">
        <f>LEN(AgencyRef[[#This Row],[Entity Description]])</f>
        <v>27</v>
      </c>
      <c r="D123" s="6" t="str">
        <f>AgencyRef[[#This Row],[Entity Code]]&amp; "-" &amp;AgencyRef[[#This Row],[Entity Description]]</f>
        <v>86500-Workers' Compensation Court</v>
      </c>
      <c r="E123" s="6"/>
    </row>
    <row r="124" spans="1:5" x14ac:dyDescent="0.25">
      <c r="A124" s="5" t="s">
        <v>251</v>
      </c>
      <c r="B124" s="5" t="s">
        <v>252</v>
      </c>
      <c r="C124" s="6">
        <f>LEN(AgencyRef[[#This Row],[Entity Description]])</f>
        <v>18</v>
      </c>
      <c r="D124" s="6" t="str">
        <f>AgencyRef[[#This Row],[Entity Code]]&amp; "-" &amp;AgencyRef[[#This Row],[Entity Description]]</f>
        <v>88000-Will Rogers Museum</v>
      </c>
      <c r="E124" s="6"/>
    </row>
  </sheetData>
  <sheetProtection algorithmName="SHA-512" hashValue="27VWB7RYat8Z86mqM0ww1VQnknWhOuetyNICsBimjIOgNn36YIKpDPxqvcHugVySmDkdeBZ/SuiT+1/h0zeyNQ==" saltValue="b7kIivhPDqzAD3/TwTokxQ==" spinCount="100000" sheet="1" objects="1" scenarios="1"/>
  <conditionalFormatting sqref="A4:A9">
    <cfRule type="expression" dxfId="4" priority="5">
      <formula>#REF!="Y"</formula>
    </cfRule>
  </conditionalFormatting>
  <conditionalFormatting sqref="A10:A14">
    <cfRule type="expression" dxfId="3" priority="4">
      <formula>#REF!="Y"</formula>
    </cfRule>
  </conditionalFormatting>
  <conditionalFormatting sqref="A15:A55">
    <cfRule type="expression" dxfId="2" priority="3">
      <formula>#REF!="Y"</formula>
    </cfRule>
  </conditionalFormatting>
  <conditionalFormatting sqref="B4:B9 B15:B55">
    <cfRule type="expression" dxfId="1" priority="2">
      <formula>#REF!="Y"</formula>
    </cfRule>
  </conditionalFormatting>
  <conditionalFormatting sqref="B10:B14">
    <cfRule type="expression" dxfId="0" priority="1">
      <formula>#REF!="Y"</formula>
    </cfRule>
  </conditionalFormatting>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2"/>
  <sheetViews>
    <sheetView workbookViewId="0">
      <pane ySplit="1" topLeftCell="A2" activePane="bottomLeft" state="frozen"/>
      <selection activeCell="B24" sqref="B24"/>
      <selection pane="bottomLeft" activeCell="A13" sqref="A13"/>
    </sheetView>
  </sheetViews>
  <sheetFormatPr defaultRowHeight="15" x14ac:dyDescent="0.25"/>
  <cols>
    <col min="1" max="1" width="15.7109375" customWidth="1"/>
    <col min="2" max="2" width="30.7109375" customWidth="1"/>
    <col min="3" max="3" width="12.7109375" style="3" customWidth="1"/>
    <col min="4" max="4" width="10.7109375" style="3" customWidth="1"/>
  </cols>
  <sheetData>
    <row r="1" spans="1:4" x14ac:dyDescent="0.25">
      <c r="A1" t="s">
        <v>282</v>
      </c>
      <c r="B1" t="s">
        <v>283</v>
      </c>
      <c r="C1" s="3" t="s">
        <v>254</v>
      </c>
      <c r="D1" s="3" t="s">
        <v>259</v>
      </c>
    </row>
    <row r="2" spans="1:4" x14ac:dyDescent="0.25">
      <c r="A2" t="s">
        <v>266</v>
      </c>
      <c r="B2" t="s">
        <v>267</v>
      </c>
      <c r="C2" s="3">
        <f>LEN(AgrmtTypeRef[[#This Row],[Description (50)]])</f>
        <v>4</v>
      </c>
      <c r="D2" s="3">
        <v>10</v>
      </c>
    </row>
    <row r="3" spans="1:4" x14ac:dyDescent="0.25">
      <c r="A3" t="s">
        <v>268</v>
      </c>
      <c r="B3" t="s">
        <v>269</v>
      </c>
      <c r="C3" s="3">
        <f>LEN(AgrmtTypeRef[[#This Row],[Description (50)]])</f>
        <v>17</v>
      </c>
      <c r="D3" s="3">
        <v>10</v>
      </c>
    </row>
    <row r="4" spans="1:4" x14ac:dyDescent="0.25">
      <c r="A4" t="s">
        <v>272</v>
      </c>
      <c r="B4" t="s">
        <v>273</v>
      </c>
      <c r="C4" s="3">
        <f>LEN(AgrmtTypeRef[[#This Row],[Description (50)]])</f>
        <v>21</v>
      </c>
      <c r="D4" s="3">
        <v>20</v>
      </c>
    </row>
    <row r="5" spans="1:4" x14ac:dyDescent="0.25">
      <c r="A5" t="s">
        <v>270</v>
      </c>
      <c r="B5" t="s">
        <v>271</v>
      </c>
      <c r="C5" s="3">
        <f>LEN(AgrmtTypeRef[[#This Row],[Description (50)]])</f>
        <v>9</v>
      </c>
      <c r="D5" s="3">
        <v>20</v>
      </c>
    </row>
    <row r="6" spans="1:4" x14ac:dyDescent="0.25">
      <c r="A6" t="s">
        <v>276</v>
      </c>
      <c r="B6" t="s">
        <v>277</v>
      </c>
      <c r="C6" s="3">
        <f>LEN(AgrmtTypeRef[[#This Row],[Description (50)]])</f>
        <v>15</v>
      </c>
      <c r="D6" s="3">
        <v>30</v>
      </c>
    </row>
    <row r="7" spans="1:4" x14ac:dyDescent="0.25">
      <c r="A7" t="s">
        <v>278</v>
      </c>
      <c r="B7" t="s">
        <v>279</v>
      </c>
      <c r="C7" s="3">
        <f>LEN(AgrmtTypeRef[[#This Row],[Description (50)]])</f>
        <v>16</v>
      </c>
      <c r="D7" s="3">
        <v>30</v>
      </c>
    </row>
    <row r="8" spans="1:4" x14ac:dyDescent="0.25">
      <c r="A8" t="s">
        <v>274</v>
      </c>
      <c r="B8" t="s">
        <v>275</v>
      </c>
      <c r="C8" s="3">
        <f>LEN(AgrmtTypeRef[[#This Row],[Description (50)]])</f>
        <v>8</v>
      </c>
      <c r="D8" s="3">
        <v>30</v>
      </c>
    </row>
    <row r="9" spans="1:4" x14ac:dyDescent="0.25">
      <c r="A9" t="s">
        <v>280</v>
      </c>
      <c r="B9" t="s">
        <v>281</v>
      </c>
      <c r="C9" s="3">
        <f>LEN(AgrmtTypeRef[[#This Row],[Description (50)]])</f>
        <v>14</v>
      </c>
      <c r="D9" s="3">
        <v>40</v>
      </c>
    </row>
    <row r="10" spans="1:4" x14ac:dyDescent="0.25">
      <c r="A10" t="s">
        <v>264</v>
      </c>
      <c r="B10" t="s">
        <v>265</v>
      </c>
      <c r="C10" s="3">
        <f>LEN(AgrmtTypeRef[[#This Row],[Description (50)]])</f>
        <v>11</v>
      </c>
      <c r="D10" s="3">
        <v>40</v>
      </c>
    </row>
    <row r="11" spans="1:4" x14ac:dyDescent="0.25">
      <c r="A11" t="s">
        <v>260</v>
      </c>
      <c r="B11" t="s">
        <v>261</v>
      </c>
      <c r="C11" s="3">
        <f>LEN(AgrmtTypeRef[[#This Row],[Description (50)]])</f>
        <v>8</v>
      </c>
      <c r="D11" s="3">
        <v>40</v>
      </c>
    </row>
    <row r="12" spans="1:4" x14ac:dyDescent="0.25">
      <c r="A12" t="s">
        <v>262</v>
      </c>
      <c r="B12" t="s">
        <v>263</v>
      </c>
      <c r="C12" s="3">
        <f>LEN(AgrmtTypeRef[[#This Row],[Description (50)]])</f>
        <v>8</v>
      </c>
      <c r="D12" s="3">
        <v>50</v>
      </c>
    </row>
  </sheetData>
  <sheetProtection algorithmName="SHA-512" hashValue="A+Q0V+5ll/vK+vhTny6G3G5/u05YvhnqURUo+KJsh+yaEM9hI6Rb+BrDWon8tOfPtuwElFCBCxctvzUeuccVmg==" saltValue="3mJA4/5HOyx0rNgsmmuz/Q==" spinCount="100000" sheet="1" objects="1" scenarios="1"/>
  <sortState xmlns:xlrd2="http://schemas.microsoft.com/office/spreadsheetml/2017/richdata2" ref="A2:D12">
    <sortCondition ref="D2:D12"/>
    <sortCondition ref="A2:A12"/>
  </sortState>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10</vt:i4>
      </vt:variant>
    </vt:vector>
  </HeadingPairs>
  <TitlesOfParts>
    <vt:vector size="25" baseType="lpstr">
      <vt:lpstr>Process Flow</vt:lpstr>
      <vt:lpstr>Agency Cover</vt:lpstr>
      <vt:lpstr>Instructions</vt:lpstr>
      <vt:lpstr>Multi-Record Entries</vt:lpstr>
      <vt:lpstr>Base Information</vt:lpstr>
      <vt:lpstr>Excluded Leases</vt:lpstr>
      <vt:lpstr>Examples</vt:lpstr>
      <vt:lpstr>Ref-Entity</vt:lpstr>
      <vt:lpstr>Ref-AgrmtType</vt:lpstr>
      <vt:lpstr>Ref-ProvType</vt:lpstr>
      <vt:lpstr>Ref-Status</vt:lpstr>
      <vt:lpstr>Ref-RptType</vt:lpstr>
      <vt:lpstr>Ref-RptCategory</vt:lpstr>
      <vt:lpstr>Ref-AmortMethod</vt:lpstr>
      <vt:lpstr>Ref_GLAccounts</vt:lpstr>
      <vt:lpstr>Examples!AgrmtStatusLU</vt:lpstr>
      <vt:lpstr>AgrmtStatusLU</vt:lpstr>
      <vt:lpstr>Examples!AgrmtTypeLU</vt:lpstr>
      <vt:lpstr>AgrmtTypeLU</vt:lpstr>
      <vt:lpstr>Examples!GLAccountLU</vt:lpstr>
      <vt:lpstr>GLAccountLU</vt:lpstr>
      <vt:lpstr>Examples!ProvTypeLU</vt:lpstr>
      <vt:lpstr>ProvTypeLU</vt:lpstr>
      <vt:lpstr>Examples!RptCatLU</vt:lpstr>
      <vt:lpstr>RptCatLU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GASB 87 - Lessee</dc:title>
  <dc:subject>Form used to collect data on certain leases made by the state. This form is for the lessee.</dc:subject>
  <dc:creator>OMES CAR</dc:creator>
  <cp:keywords>gasb, 87, form, lease, oklahoma, lessee</cp:keywords>
  <cp:lastModifiedBy>Jennifer LeFlore</cp:lastModifiedBy>
  <dcterms:created xsi:type="dcterms:W3CDTF">2021-03-17T20:41:27Z</dcterms:created>
  <dcterms:modified xsi:type="dcterms:W3CDTF">2023-06-14T19:26:25Z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Language">
    <vt:lpwstr>English</vt:lpwstr>
  </property>
</Properties>
</file>