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5595" windowWidth="15480" windowHeight="8445" activeTab="0"/>
  </bookViews>
  <sheets>
    <sheet name="Detail Priority" sheetId="1" r:id="rId1"/>
    <sheet name="Funding 10-11" sheetId="2" r:id="rId2"/>
    <sheet name="FY10 Priority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CONTRACTS">#REF!</definedName>
    <definedName name="_xlnm.Print_Area" localSheetId="0">'Detail Priority'!$A$1:$G$123</definedName>
    <definedName name="_xlnm.Print_Area" localSheetId="1">'Funding 10-11'!$C$12:$AA$664</definedName>
    <definedName name="_xlnm.Print_Titles" localSheetId="1">'Funding 10-11'!$A:$B,'Funding 10-11'!$8:$11</definedName>
    <definedName name="_xlnm.Print_Titles" localSheetId="2">'FY10 Priority'!$1:$1</definedName>
  </definedNames>
  <calcPr fullCalcOnLoad="1"/>
</workbook>
</file>

<file path=xl/comments2.xml><?xml version="1.0" encoding="utf-8"?>
<comments xmlns="http://schemas.openxmlformats.org/spreadsheetml/2006/main">
  <authors>
    <author>francikl</author>
  </authors>
  <commentList>
    <comment ref="C135" authorId="0">
      <text>
        <r>
          <rPr>
            <b/>
            <sz val="8"/>
            <rFont val="Tahoma"/>
            <family val="0"/>
          </rPr>
          <t>francikl:</t>
        </r>
        <r>
          <rPr>
            <sz val="8"/>
            <rFont val="Tahoma"/>
            <family val="0"/>
          </rPr>
          <t xml:space="preserve">
Question about same job code, different salary has already been asked.  It's what HR gave us, even though they are different.</t>
        </r>
      </text>
    </comment>
    <comment ref="C136" authorId="0">
      <text>
        <r>
          <rPr>
            <b/>
            <sz val="8"/>
            <rFont val="Tahoma"/>
            <family val="0"/>
          </rPr>
          <t>francikl:</t>
        </r>
        <r>
          <rPr>
            <sz val="8"/>
            <rFont val="Tahoma"/>
            <family val="0"/>
          </rPr>
          <t xml:space="preserve">
Question about same job code, different salary has already been asked.  It's what HR gave us, even though they are different.</t>
        </r>
      </text>
    </comment>
  </commentList>
</comments>
</file>

<file path=xl/sharedStrings.xml><?xml version="1.0" encoding="utf-8"?>
<sst xmlns="http://schemas.openxmlformats.org/spreadsheetml/2006/main" count="1652" uniqueCount="295">
  <si>
    <t># FTE</t>
  </si>
  <si>
    <t>Total</t>
  </si>
  <si>
    <t>BH Adult IOP</t>
  </si>
  <si>
    <t>Maintenance:</t>
  </si>
  <si>
    <t>Mandates:</t>
  </si>
  <si>
    <t>Description of Budget Request Priority</t>
  </si>
  <si>
    <t>Priority</t>
  </si>
  <si>
    <t>State</t>
  </si>
  <si>
    <t xml:space="preserve">Rate increases (CPI) </t>
  </si>
  <si>
    <t>Telemedicine</t>
  </si>
  <si>
    <t>Hospice</t>
  </si>
  <si>
    <t>Growth &amp; Utilization</t>
  </si>
  <si>
    <t>Medicare Part "D" Clawback</t>
  </si>
  <si>
    <t>Medicare A &amp; B Premiums</t>
  </si>
  <si>
    <t>Adult Therapies</t>
  </si>
  <si>
    <t>Hospitals</t>
  </si>
  <si>
    <t>Nursing Homes</t>
  </si>
  <si>
    <t>Anesthesiologists</t>
  </si>
  <si>
    <t>Other</t>
  </si>
  <si>
    <t>Description of Priority</t>
  </si>
  <si>
    <t xml:space="preserve">Total </t>
  </si>
  <si>
    <t>Maintenance</t>
  </si>
  <si>
    <t>Mandates</t>
  </si>
  <si>
    <t>Annualizations</t>
  </si>
  <si>
    <t>Long Term Care Partnership w/ OID</t>
  </si>
  <si>
    <t>One-Time Carryover</t>
  </si>
  <si>
    <t>FY-2009 Budget Request Priorities</t>
  </si>
  <si>
    <t>2007 actual</t>
  </si>
  <si>
    <t>2008 budget</t>
  </si>
  <si>
    <t>Budget Request</t>
  </si>
  <si>
    <t>Medicare Part D phase-in contribution increase (clawback)</t>
  </si>
  <si>
    <t>Shift in federal match due to SCHIP reauthorization</t>
  </si>
  <si>
    <t>SoonerCare non-emergency transportation increase</t>
  </si>
  <si>
    <t>Increased allowance for employee benefit costs</t>
  </si>
  <si>
    <t>Consultant for fiscal agent reprocurement</t>
  </si>
  <si>
    <t>Program State % FY10</t>
  </si>
  <si>
    <t xml:space="preserve">      Adjusted FMAP, blended rate:</t>
  </si>
  <si>
    <t>200-1010-01</t>
  </si>
  <si>
    <t>200-1010-07</t>
  </si>
  <si>
    <t>200-1010-15</t>
  </si>
  <si>
    <t>245-1040-01</t>
  </si>
  <si>
    <t>FY08 State%</t>
  </si>
  <si>
    <t>FY09 State%</t>
  </si>
  <si>
    <t>Admin % FFP</t>
  </si>
  <si>
    <t>200-1010-02</t>
  </si>
  <si>
    <t>200-1010-09</t>
  </si>
  <si>
    <t>200-1010-22</t>
  </si>
  <si>
    <t>245-1040-02</t>
  </si>
  <si>
    <t>Program State % FY11</t>
  </si>
  <si>
    <t xml:space="preserve">                Estimated  FMAP FY11:</t>
  </si>
  <si>
    <t>200-1010-03</t>
  </si>
  <si>
    <t>200-1010-10</t>
  </si>
  <si>
    <t>200-1010-88</t>
  </si>
  <si>
    <t>245-1040-03</t>
  </si>
  <si>
    <t>FTE Benefits</t>
  </si>
  <si>
    <t>200-1010-04</t>
  </si>
  <si>
    <t>200-1010-12</t>
  </si>
  <si>
    <t>200-1030-01</t>
  </si>
  <si>
    <t>245-1040-88</t>
  </si>
  <si>
    <t>Equipment</t>
  </si>
  <si>
    <t>200-1010-05</t>
  </si>
  <si>
    <t>200-1010-13</t>
  </si>
  <si>
    <t>200-1030-88</t>
  </si>
  <si>
    <t>340-1020-01</t>
  </si>
  <si>
    <t>200-1010-06</t>
  </si>
  <si>
    <t>200-1010-14</t>
  </si>
  <si>
    <t>Travel</t>
  </si>
  <si>
    <t>SFY-10</t>
  </si>
  <si>
    <t>SFY-08 Actual</t>
  </si>
  <si>
    <t>SFY-09 BWP</t>
  </si>
  <si>
    <t>Job Code</t>
  </si>
  <si>
    <t>FTE</t>
  </si>
  <si>
    <t>Salary</t>
  </si>
  <si>
    <t>Benefits</t>
  </si>
  <si>
    <t>Professional</t>
  </si>
  <si>
    <t>Revolving</t>
  </si>
  <si>
    <t>Federal</t>
  </si>
  <si>
    <t>EMPLOYEES</t>
  </si>
  <si>
    <t>FFP Match Rate 65.90% to 64.43%</t>
  </si>
  <si>
    <t>TOTAL</t>
  </si>
  <si>
    <t>FUNDING</t>
  </si>
  <si>
    <t>FY10 growth/utilization increases (3.9%)</t>
  </si>
  <si>
    <t>Medicare A &amp; B premiums</t>
  </si>
  <si>
    <t>SCHIP Reauthorization</t>
  </si>
  <si>
    <t>OSDH Contract Increases (NAR and S&amp;C)</t>
  </si>
  <si>
    <t>Other Contract Increases</t>
  </si>
  <si>
    <t>SoonerRide NET Increase</t>
  </si>
  <si>
    <t>Employee Benefit Costs</t>
  </si>
  <si>
    <t>One-Time Funding</t>
  </si>
  <si>
    <t>Replace appropriation from HEEIA</t>
  </si>
  <si>
    <t>FY-09 one-time Carryover</t>
  </si>
  <si>
    <t>DSH Audits</t>
  </si>
  <si>
    <t>Fiscal Agent Procurement</t>
  </si>
  <si>
    <t>Provider Rate Maintenance</t>
  </si>
  <si>
    <t xml:space="preserve">  Inpatient hospital for DSH NICU (7% inc; 6 mth)</t>
  </si>
  <si>
    <t xml:space="preserve">  Outpatient Increase (7% inc; 6 mth)</t>
  </si>
  <si>
    <t>Nursing Homes (10.8%)</t>
  </si>
  <si>
    <t>Lab &amp; Radiology (5% inc; 100% of Medicare)</t>
  </si>
  <si>
    <t>Private Duty Nurses (blended 43.0%)</t>
  </si>
  <si>
    <t>IH Pace Rates</t>
  </si>
  <si>
    <t>Ambulance (22% inc; 100% of Medicare)</t>
  </si>
  <si>
    <t>Dentists (8% inc; 9 mth)</t>
  </si>
  <si>
    <t>Medical Home</t>
  </si>
  <si>
    <t>Behavioral Health Spec</t>
  </si>
  <si>
    <t>Provider Rep 1</t>
  </si>
  <si>
    <t>Nurse Case Mgr 1</t>
  </si>
  <si>
    <t>Compliance Analyst</t>
  </si>
  <si>
    <t>Coding Analyst</t>
  </si>
  <si>
    <t>Laptops &amp; software</t>
  </si>
  <si>
    <t>No Wrong Door</t>
  </si>
  <si>
    <t>Planning Coordinator</t>
  </si>
  <si>
    <t>IS Eligibility Analyst I/II</t>
  </si>
  <si>
    <t>IS Eligibility Analyst III</t>
  </si>
  <si>
    <t>IS Eligibility Analyst IV</t>
  </si>
  <si>
    <t>Social work clerk</t>
  </si>
  <si>
    <t>Paralegal</t>
  </si>
  <si>
    <t>Deputy General Counsel I/II</t>
  </si>
  <si>
    <t>LifeCare</t>
  </si>
  <si>
    <t>EDS</t>
  </si>
  <si>
    <t>Community partners</t>
  </si>
  <si>
    <t>Space for 36 FTE &amp; add'l equip</t>
  </si>
  <si>
    <t>Long Term Living Choice</t>
  </si>
  <si>
    <t>Sr case manager</t>
  </si>
  <si>
    <t>Case manager</t>
  </si>
  <si>
    <t>Research Analyst I/II</t>
  </si>
  <si>
    <t>Research Associate</t>
  </si>
  <si>
    <t>Admin Asst I/II</t>
  </si>
  <si>
    <t>Program Costs</t>
  </si>
  <si>
    <t>Single Payer System</t>
  </si>
  <si>
    <t>Help Desk Rep</t>
  </si>
  <si>
    <t>Changes to MMIS system</t>
  </si>
  <si>
    <t>FTE and non-Medicaid client ID's</t>
  </si>
  <si>
    <t>Loss of Federal funding for non-medicaid activities</t>
  </si>
  <si>
    <t>Hospice Program Costs</t>
  </si>
  <si>
    <t>Adult OT</t>
  </si>
  <si>
    <t>Adult PT &amp; Chiropractic</t>
  </si>
  <si>
    <t>Adult Speech Therapy</t>
  </si>
  <si>
    <t>Children's BH Collaborative</t>
  </si>
  <si>
    <t>Respite care</t>
  </si>
  <si>
    <t>RTC Substance abuse</t>
  </si>
  <si>
    <t>LBHP's</t>
  </si>
  <si>
    <t>Care Mgt for custody kids</t>
  </si>
  <si>
    <t>TFC/RBMS for non-custody</t>
  </si>
  <si>
    <t>H &amp; B Codes</t>
  </si>
  <si>
    <t>IOP for kids</t>
  </si>
  <si>
    <t>Children's Blood Lead Testing</t>
  </si>
  <si>
    <t>Citizenship Verification</t>
  </si>
  <si>
    <t>FTE for Program Growth</t>
  </si>
  <si>
    <t>ENC</t>
  </si>
  <si>
    <t>Records Conversion Spec</t>
  </si>
  <si>
    <t>DME Benefits Mgr</t>
  </si>
  <si>
    <t>Network Admin I/II</t>
  </si>
  <si>
    <t>Network Admin III</t>
  </si>
  <si>
    <t>Policy Program Analyst</t>
  </si>
  <si>
    <t>Medical Review Analyst</t>
  </si>
  <si>
    <t>Health Mgt. Prog. Contract Incr.</t>
  </si>
  <si>
    <t>Medication Therapy Mgt.</t>
  </si>
  <si>
    <t>Tobacco free Pregnancy Incentive</t>
  </si>
  <si>
    <t>Adult BH Collaborative</t>
  </si>
  <si>
    <t>BH Adult RTC treatment</t>
  </si>
  <si>
    <t>BH Adult Psychologist</t>
  </si>
  <si>
    <t>APS Contract Expansion</t>
  </si>
  <si>
    <t>BH</t>
  </si>
  <si>
    <t>QA</t>
  </si>
  <si>
    <t>Electronic Health Info Exch</t>
  </si>
  <si>
    <t>Fluoride Varnish by PCP's</t>
  </si>
  <si>
    <t>Provider Rep III</t>
  </si>
  <si>
    <t>Program costs</t>
  </si>
  <si>
    <t>FTE - Attorney</t>
  </si>
  <si>
    <t>Deputy General Counsel</t>
  </si>
  <si>
    <t>FTE - Physician Medical Reviewer</t>
  </si>
  <si>
    <t>Physician Medical Reviewer</t>
  </si>
  <si>
    <t>FTE for Program Expansion</t>
  </si>
  <si>
    <t>TMAM Coordinator (Indian Health Analyst)</t>
  </si>
  <si>
    <t>Project Mgr</t>
  </si>
  <si>
    <t>Third Party Application Spec III</t>
  </si>
  <si>
    <t>Med Rev Nurse</t>
  </si>
  <si>
    <t>Iron Supplements</t>
  </si>
  <si>
    <t>Advertising/Outreadh for SoonerCare program</t>
  </si>
  <si>
    <t>Genetic Counseling for Children</t>
  </si>
  <si>
    <t>Personal Care Assistant Training</t>
  </si>
  <si>
    <t>Special Needs Adult Dental</t>
  </si>
  <si>
    <t>Workforce Development Program</t>
  </si>
  <si>
    <t>Carl Albert Interns</t>
  </si>
  <si>
    <t>0287</t>
  </si>
  <si>
    <t>404,405,406,407</t>
  </si>
  <si>
    <t>Family Planning increased benefit initiatives</t>
  </si>
  <si>
    <t>Lab &amp; Drug coverage for STI's</t>
  </si>
  <si>
    <t>Bottom</t>
  </si>
  <si>
    <t>Fund</t>
  </si>
  <si>
    <t xml:space="preserve">   200</t>
  </si>
  <si>
    <t xml:space="preserve">   245</t>
  </si>
  <si>
    <t xml:space="preserve">   340</t>
  </si>
  <si>
    <t>Total check formula</t>
  </si>
  <si>
    <t>variance</t>
  </si>
  <si>
    <t>formulas through #48 (and "Bottom")</t>
  </si>
  <si>
    <t>Annualizations: FMAP, Medicare A&amp;B</t>
  </si>
  <si>
    <t>FMAP</t>
  </si>
  <si>
    <t>Medicare A &amp; B</t>
  </si>
  <si>
    <t>SoonerRide (NET)</t>
  </si>
  <si>
    <t>Employee Benefits</t>
  </si>
  <si>
    <t xml:space="preserve">Trust Audits </t>
  </si>
  <si>
    <t>NH bonus reviews</t>
  </si>
  <si>
    <t>One time funding</t>
  </si>
  <si>
    <t>HEEIA Fund</t>
  </si>
  <si>
    <t>FY-09 Carryover</t>
  </si>
  <si>
    <t>Private Duty Nurses</t>
  </si>
  <si>
    <t>Dentist increases</t>
  </si>
  <si>
    <t xml:space="preserve">Medical Home (#'s 523, 525, 526, 518) </t>
  </si>
  <si>
    <t>Long Term Living Choice Program</t>
  </si>
  <si>
    <t>Adult Therapy</t>
  </si>
  <si>
    <t>FTE for program growth</t>
  </si>
  <si>
    <t>HMP (Health Management Program) contract increase</t>
  </si>
  <si>
    <t>Medication Therapy Management</t>
  </si>
  <si>
    <t>Tobacco free pregnancy incentive</t>
  </si>
  <si>
    <t>Adult BH collaborative</t>
  </si>
  <si>
    <t>APS contract expansion</t>
  </si>
  <si>
    <t>Electronic Health Information Exchange</t>
  </si>
  <si>
    <t>FTE - lawyer</t>
  </si>
  <si>
    <t xml:space="preserve">FTE for progam expansions </t>
  </si>
  <si>
    <t>Iron Supp</t>
  </si>
  <si>
    <t>Advertising/Outreach for SoonerCare program</t>
  </si>
  <si>
    <t>Genetic counseling for children</t>
  </si>
  <si>
    <t>Personal care assistant training</t>
  </si>
  <si>
    <t>Workforce Development program</t>
  </si>
  <si>
    <t>Fed</t>
  </si>
  <si>
    <t>FY10 FMAP</t>
  </si>
  <si>
    <t>FY10 Blended Rate</t>
  </si>
  <si>
    <t xml:space="preserve">  Lifecare contract</t>
  </si>
  <si>
    <t xml:space="preserve">  EDS contract</t>
  </si>
  <si>
    <t xml:space="preserve">  Application processing fees</t>
  </si>
  <si>
    <t xml:space="preserve">  OHCA FTE</t>
  </si>
  <si>
    <t xml:space="preserve">  Equipment &amp; supplies for 20 OKDHS staff</t>
  </si>
  <si>
    <t>Self Directed Care</t>
  </si>
  <si>
    <t>Transitions for self directed care</t>
  </si>
  <si>
    <t>Living Choice Project</t>
  </si>
  <si>
    <t>Admin</t>
  </si>
  <si>
    <t>Demostration services</t>
  </si>
  <si>
    <t>Collaborative</t>
  </si>
  <si>
    <t>Lost of Federal funding for non-medicaid activities</t>
  </si>
  <si>
    <t>BH Medical Home Care and FTE</t>
  </si>
  <si>
    <t>QA 3 FTE for Medical Home</t>
  </si>
  <si>
    <t>QA Laptops, software &amp; equip</t>
  </si>
  <si>
    <t>PS MH FTE</t>
  </si>
  <si>
    <t>Childrens' BH Collaborative</t>
  </si>
  <si>
    <t>H &amp; B codes</t>
  </si>
  <si>
    <t>Kids RTC Substance Abuse</t>
  </si>
  <si>
    <t>kids non-custody TFC</t>
  </si>
  <si>
    <t>Respite</t>
  </si>
  <si>
    <t>Licensed BH Practitioners</t>
  </si>
  <si>
    <t>Child IOP</t>
  </si>
  <si>
    <t>TCM custody</t>
  </si>
  <si>
    <t>Adults BH Collaborative</t>
  </si>
  <si>
    <t>Adult RTC Substance Aubse</t>
  </si>
  <si>
    <t>Adult Psych</t>
  </si>
  <si>
    <t>Adult IOP</t>
  </si>
  <si>
    <t>FTE Program growth</t>
  </si>
  <si>
    <t>Care Mgmt</t>
  </si>
  <si>
    <t>Administration central files</t>
  </si>
  <si>
    <t>DME Benefits Manager</t>
  </si>
  <si>
    <t>IS</t>
  </si>
  <si>
    <t>Policy</t>
  </si>
  <si>
    <t>OLL Pace</t>
  </si>
  <si>
    <t>FTE Program Expansions</t>
  </si>
  <si>
    <t>Carl Albert FTE moved to permanent</t>
  </si>
  <si>
    <t>IH program</t>
  </si>
  <si>
    <t>FTE for waiver programs</t>
  </si>
  <si>
    <t>Third Party Software specialist</t>
  </si>
  <si>
    <t>MAU unit</t>
  </si>
  <si>
    <t>Dental for cancer patients</t>
  </si>
  <si>
    <t>Dental for transplant patients</t>
  </si>
  <si>
    <t>State Auditor &amp; Inspector</t>
  </si>
  <si>
    <t>Dental consultants</t>
  </si>
  <si>
    <t>Trust audits</t>
  </si>
  <si>
    <t>FFP Match Rate 65.90% to 64.43% eff. 10/1/09</t>
  </si>
  <si>
    <t>Medicaid growth and utilization increases (3.9%)</t>
  </si>
  <si>
    <t>Replace funding for one-time carryover programmed in FY09 budget</t>
  </si>
  <si>
    <t>Nursing Homes / ICF/MR rate increase (10.8%)</t>
  </si>
  <si>
    <t>FTE for Administrative Services</t>
  </si>
  <si>
    <t>Adult RTC treatment</t>
  </si>
  <si>
    <t>Adult Psychologist</t>
  </si>
  <si>
    <t>Long Term Living Choice Project</t>
  </si>
  <si>
    <t>Children's Behavioral Health Collaborative</t>
  </si>
  <si>
    <t>Children's Blood Lead Screening</t>
  </si>
  <si>
    <t>Health Management Program Contract Increase</t>
  </si>
  <si>
    <t>Adult Behavioral Health Collaborative</t>
  </si>
  <si>
    <t>Electronic Health Information  Exchange</t>
  </si>
  <si>
    <t>Iron Supplementation</t>
  </si>
  <si>
    <t>Personal Care Assistant (PCA) Training</t>
  </si>
  <si>
    <t>Occupational Therapy</t>
  </si>
  <si>
    <t>Physical Therapy &amp; Chiropractic</t>
  </si>
  <si>
    <t>Speech Therapy</t>
  </si>
  <si>
    <t>Workforce Development Program, incl. Carl Albert interns</t>
  </si>
  <si>
    <t>Medicare A &amp; B premium/deductible incr. for dual eligibles eff. 1/1/10</t>
  </si>
  <si>
    <t>Medicare A &amp; B Premiums/Deductible incr. for dual eligibiles eff. 1/1/09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</si>
</sst>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* #,##0.000_);_(* \(#,##0.000\);_(* &quot;-&quot;??_);_(@_)"/>
    <numFmt numFmtId="169" formatCode="_(* #,##0.0000_);_(* \(#,##0.0000\);_(* &quot;-&quot;??_);_(@_)"/>
    <numFmt numFmtId="170" formatCode="_(* #,##0.000000_);_(* \(#,##0.000000\);_(* &quot;-&quot;??_);_(@_)"/>
  </numFmts>
  <fonts count="19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Border="0" applyAlignment="0">
      <protection/>
    </xf>
  </cellStyleXfs>
  <cellXfs count="223">
    <xf numFmtId="0" fontId="0" fillId="0" borderId="0" xfId="0" applyAlignment="1">
      <alignment/>
    </xf>
    <xf numFmtId="0" fontId="6" fillId="0" borderId="1" xfId="0" applyFont="1" applyFill="1" applyBorder="1" applyAlignment="1">
      <alignment/>
    </xf>
    <xf numFmtId="167" fontId="6" fillId="0" borderId="1" xfId="0" applyNumberFormat="1" applyFont="1" applyFill="1" applyBorder="1" applyAlignment="1">
      <alignment/>
    </xf>
    <xf numFmtId="166" fontId="6" fillId="0" borderId="1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66" fontId="6" fillId="0" borderId="1" xfId="15" applyNumberFormat="1" applyFont="1" applyFill="1" applyBorder="1" applyAlignment="1">
      <alignment horizontal="center"/>
    </xf>
    <xf numFmtId="166" fontId="6" fillId="0" borderId="0" xfId="15" applyNumberFormat="1" applyFont="1" applyFill="1" applyAlignment="1">
      <alignment/>
    </xf>
    <xf numFmtId="166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166" fontId="8" fillId="2" borderId="2" xfId="15" applyNumberFormat="1" applyFont="1" applyFill="1" applyBorder="1" applyAlignment="1">
      <alignment horizontal="center"/>
    </xf>
    <xf numFmtId="166" fontId="8" fillId="2" borderId="3" xfId="15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2" fontId="12" fillId="0" borderId="6" xfId="0" applyNumberFormat="1" applyFont="1" applyFill="1" applyBorder="1" applyAlignment="1">
      <alignment horizontal="center"/>
    </xf>
    <xf numFmtId="42" fontId="12" fillId="0" borderId="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6" fontId="0" fillId="0" borderId="0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Fill="1" applyBorder="1" applyAlignment="1">
      <alignment horizontal="center"/>
    </xf>
    <xf numFmtId="41" fontId="0" fillId="0" borderId="11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right"/>
    </xf>
    <xf numFmtId="166" fontId="12" fillId="0" borderId="0" xfId="15" applyNumberFormat="1" applyFont="1" applyFill="1" applyBorder="1" applyAlignment="1">
      <alignment horizontal="center"/>
    </xf>
    <xf numFmtId="166" fontId="12" fillId="0" borderId="9" xfId="15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41" fontId="12" fillId="0" borderId="9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6" fontId="0" fillId="0" borderId="9" xfId="15" applyNumberFormat="1" applyFont="1" applyFill="1" applyBorder="1" applyAlignment="1">
      <alignment horizontal="center"/>
    </xf>
    <xf numFmtId="41" fontId="12" fillId="0" borderId="10" xfId="0" applyNumberFormat="1" applyFont="1" applyFill="1" applyBorder="1" applyAlignment="1">
      <alignment horizontal="center"/>
    </xf>
    <xf numFmtId="41" fontId="12" fillId="0" borderId="11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66" fontId="12" fillId="0" borderId="0" xfId="15" applyNumberFormat="1" applyFont="1" applyFill="1" applyBorder="1" applyAlignment="1">
      <alignment/>
    </xf>
    <xf numFmtId="166" fontId="12" fillId="0" borderId="9" xfId="15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9" xfId="15" applyNumberFormat="1" applyFont="1" applyBorder="1" applyAlignment="1">
      <alignment/>
    </xf>
    <xf numFmtId="166" fontId="12" fillId="0" borderId="10" xfId="15" applyNumberFormat="1" applyFont="1" applyFill="1" applyBorder="1" applyAlignment="1">
      <alignment/>
    </xf>
    <xf numFmtId="166" fontId="12" fillId="0" borderId="11" xfId="15" applyNumberFormat="1" applyFont="1" applyFill="1" applyBorder="1" applyAlignment="1">
      <alignment/>
    </xf>
    <xf numFmtId="166" fontId="12" fillId="0" borderId="12" xfId="15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164" fontId="9" fillId="3" borderId="13" xfId="17" applyNumberFormat="1" applyFont="1" applyFill="1" applyBorder="1" applyAlignment="1">
      <alignment horizontal="left"/>
    </xf>
    <xf numFmtId="164" fontId="9" fillId="3" borderId="14" xfId="17" applyNumberFormat="1" applyFont="1" applyFill="1" applyBorder="1" applyAlignment="1">
      <alignment horizontal="left"/>
    </xf>
    <xf numFmtId="42" fontId="0" fillId="0" borderId="0" xfId="0" applyNumberFormat="1" applyFont="1" applyBorder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9" xfId="15" applyNumberFormat="1" applyFont="1" applyFill="1" applyBorder="1" applyAlignment="1">
      <alignment/>
    </xf>
    <xf numFmtId="166" fontId="0" fillId="0" borderId="10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166" fontId="12" fillId="0" borderId="2" xfId="15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66" fontId="12" fillId="0" borderId="15" xfId="15" applyNumberFormat="1" applyFont="1" applyFill="1" applyBorder="1" applyAlignment="1">
      <alignment/>
    </xf>
    <xf numFmtId="166" fontId="12" fillId="0" borderId="17" xfId="15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5" fillId="0" borderId="5" xfId="0" applyFont="1" applyFill="1" applyBorder="1" applyAlignment="1">
      <alignment/>
    </xf>
    <xf numFmtId="10" fontId="15" fillId="0" borderId="6" xfId="21" applyNumberFormat="1" applyFont="1" applyFill="1" applyBorder="1" applyAlignment="1">
      <alignment horizontal="center"/>
    </xf>
    <xf numFmtId="165" fontId="15" fillId="0" borderId="6" xfId="0" applyNumberFormat="1" applyFont="1" applyFill="1" applyBorder="1" applyAlignment="1">
      <alignment/>
    </xf>
    <xf numFmtId="166" fontId="15" fillId="0" borderId="6" xfId="15" applyNumberFormat="1" applyFont="1" applyFill="1" applyBorder="1" applyAlignment="1">
      <alignment/>
    </xf>
    <xf numFmtId="0" fontId="15" fillId="0" borderId="6" xfId="0" applyFont="1" applyFill="1" applyBorder="1" applyAlignment="1">
      <alignment/>
    </xf>
    <xf numFmtId="10" fontId="15" fillId="0" borderId="7" xfId="21" applyNumberFormat="1" applyFont="1" applyFill="1" applyBorder="1" applyAlignment="1">
      <alignment/>
    </xf>
    <xf numFmtId="0" fontId="15" fillId="0" borderId="0" xfId="0" applyFont="1" applyFill="1" applyBorder="1" applyAlignment="1" quotePrefix="1">
      <alignment horizontal="right"/>
    </xf>
    <xf numFmtId="0" fontId="15" fillId="0" borderId="0" xfId="0" applyFont="1" applyFill="1" applyBorder="1" applyAlignment="1">
      <alignment horizontal="right"/>
    </xf>
    <xf numFmtId="166" fontId="15" fillId="0" borderId="0" xfId="15" applyNumberFormat="1" applyFont="1" applyFill="1" applyAlignment="1">
      <alignment/>
    </xf>
    <xf numFmtId="0" fontId="15" fillId="0" borderId="0" xfId="0" applyFont="1" applyFill="1" applyAlignment="1">
      <alignment/>
    </xf>
    <xf numFmtId="10" fontId="15" fillId="0" borderId="0" xfId="21" applyNumberFormat="1" applyFont="1" applyFill="1" applyAlignment="1">
      <alignment/>
    </xf>
    <xf numFmtId="10" fontId="15" fillId="0" borderId="0" xfId="21" applyNumberFormat="1" applyFont="1" applyAlignment="1">
      <alignment/>
    </xf>
    <xf numFmtId="0" fontId="15" fillId="0" borderId="0" xfId="0" applyFont="1" applyAlignment="1">
      <alignment/>
    </xf>
    <xf numFmtId="0" fontId="15" fillId="0" borderId="8" xfId="0" applyFont="1" applyFill="1" applyBorder="1" applyAlignment="1">
      <alignment/>
    </xf>
    <xf numFmtId="10" fontId="15" fillId="0" borderId="0" xfId="21" applyNumberFormat="1" applyFont="1" applyFill="1" applyBorder="1" applyAlignment="1">
      <alignment horizontal="center"/>
    </xf>
    <xf numFmtId="165" fontId="15" fillId="0" borderId="0" xfId="15" applyNumberFormat="1" applyFont="1" applyFill="1" applyBorder="1" applyAlignment="1">
      <alignment/>
    </xf>
    <xf numFmtId="166" fontId="15" fillId="0" borderId="0" xfId="15" applyNumberFormat="1" applyFont="1" applyFill="1" applyBorder="1" applyAlignment="1">
      <alignment/>
    </xf>
    <xf numFmtId="166" fontId="15" fillId="0" borderId="9" xfId="15" applyNumberFormat="1" applyFont="1" applyFill="1" applyBorder="1" applyAlignment="1">
      <alignment/>
    </xf>
    <xf numFmtId="10" fontId="15" fillId="0" borderId="9" xfId="21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166" fontId="15" fillId="0" borderId="0" xfId="15" applyNumberFormat="1" applyFont="1" applyFill="1" applyBorder="1" applyAlignment="1">
      <alignment horizontal="center"/>
    </xf>
    <xf numFmtId="166" fontId="15" fillId="0" borderId="0" xfId="15" applyNumberFormat="1" applyFont="1" applyFill="1" applyAlignment="1">
      <alignment horizontal="right"/>
    </xf>
    <xf numFmtId="0" fontId="15" fillId="0" borderId="16" xfId="0" applyFont="1" applyFill="1" applyBorder="1" applyAlignment="1">
      <alignment/>
    </xf>
    <xf numFmtId="166" fontId="15" fillId="0" borderId="15" xfId="15" applyNumberFormat="1" applyFont="1" applyFill="1" applyBorder="1" applyAlignment="1">
      <alignment horizontal="center"/>
    </xf>
    <xf numFmtId="165" fontId="15" fillId="0" borderId="15" xfId="15" applyNumberFormat="1" applyFont="1" applyFill="1" applyBorder="1" applyAlignment="1">
      <alignment/>
    </xf>
    <xf numFmtId="166" fontId="15" fillId="0" borderId="15" xfId="15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166" fontId="15" fillId="0" borderId="17" xfId="15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6" fontId="14" fillId="0" borderId="18" xfId="15" applyNumberFormat="1" applyFont="1" applyFill="1" applyBorder="1" applyAlignment="1">
      <alignment horizontal="centerContinuous"/>
    </xf>
    <xf numFmtId="166" fontId="14" fillId="0" borderId="19" xfId="15" applyNumberFormat="1" applyFont="1" applyFill="1" applyBorder="1" applyAlignment="1">
      <alignment horizontal="centerContinuous"/>
    </xf>
    <xf numFmtId="166" fontId="14" fillId="0" borderId="20" xfId="15" applyNumberFormat="1" applyFont="1" applyFill="1" applyBorder="1" applyAlignment="1">
      <alignment horizontal="centerContinuous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5" fillId="0" borderId="15" xfId="0" applyFont="1" applyFill="1" applyBorder="1" applyAlignment="1">
      <alignment horizontal="center"/>
    </xf>
    <xf numFmtId="165" fontId="15" fillId="0" borderId="15" xfId="15" applyNumberFormat="1" applyFont="1" applyFill="1" applyBorder="1" applyAlignment="1">
      <alignment horizontal="center"/>
    </xf>
    <xf numFmtId="166" fontId="17" fillId="0" borderId="15" xfId="15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165" fontId="15" fillId="0" borderId="0" xfId="15" applyNumberFormat="1" applyFont="1" applyFill="1" applyAlignment="1">
      <alignment/>
    </xf>
    <xf numFmtId="0" fontId="14" fillId="0" borderId="0" xfId="0" applyFont="1" applyAlignment="1">
      <alignment horizontal="center"/>
    </xf>
    <xf numFmtId="10" fontId="15" fillId="0" borderId="0" xfId="21" applyNumberFormat="1" applyFont="1" applyFill="1" applyAlignment="1">
      <alignment horizontal="center"/>
    </xf>
    <xf numFmtId="169" fontId="15" fillId="0" borderId="0" xfId="15" applyNumberFormat="1" applyFont="1" applyFill="1" applyAlignment="1">
      <alignment/>
    </xf>
    <xf numFmtId="166" fontId="14" fillId="0" borderId="0" xfId="15" applyNumberFormat="1" applyFont="1" applyFill="1" applyBorder="1" applyAlignment="1">
      <alignment horizontal="centerContinuous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/>
    </xf>
    <xf numFmtId="166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Alignment="1" quotePrefix="1">
      <alignment horizontal="center"/>
    </xf>
    <xf numFmtId="166" fontId="15" fillId="0" borderId="10" xfId="15" applyNumberFormat="1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/>
    </xf>
    <xf numFmtId="166" fontId="15" fillId="0" borderId="21" xfId="15" applyNumberFormat="1" applyFont="1" applyFill="1" applyBorder="1" applyAlignment="1">
      <alignment/>
    </xf>
    <xf numFmtId="169" fontId="15" fillId="0" borderId="0" xfId="0" applyNumberFormat="1" applyFont="1" applyFill="1" applyAlignment="1">
      <alignment horizontal="center"/>
    </xf>
    <xf numFmtId="0" fontId="17" fillId="0" borderId="15" xfId="0" applyFont="1" applyFill="1" applyBorder="1" applyAlignment="1">
      <alignment/>
    </xf>
    <xf numFmtId="0" fontId="15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165" fontId="15" fillId="0" borderId="0" xfId="15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center"/>
    </xf>
    <xf numFmtId="0" fontId="15" fillId="0" borderId="0" xfId="0" applyFont="1" applyFill="1" applyAlignment="1" quotePrefix="1">
      <alignment/>
    </xf>
    <xf numFmtId="0" fontId="15" fillId="0" borderId="10" xfId="0" applyFont="1" applyFill="1" applyBorder="1" applyAlignment="1">
      <alignment/>
    </xf>
    <xf numFmtId="166" fontId="15" fillId="0" borderId="0" xfId="0" applyNumberFormat="1" applyFont="1" applyAlignment="1">
      <alignment/>
    </xf>
    <xf numFmtId="170" fontId="15" fillId="0" borderId="0" xfId="15" applyNumberFormat="1" applyFont="1" applyFill="1" applyAlignment="1">
      <alignment/>
    </xf>
    <xf numFmtId="0" fontId="15" fillId="0" borderId="0" xfId="0" applyFont="1" applyFill="1" applyAlignment="1" quotePrefix="1">
      <alignment horizontal="center"/>
    </xf>
    <xf numFmtId="166" fontId="15" fillId="0" borderId="0" xfId="15" applyNumberFormat="1" applyFont="1" applyFill="1" applyBorder="1" applyAlignment="1">
      <alignment/>
    </xf>
    <xf numFmtId="166" fontId="15" fillId="0" borderId="10" xfId="15" applyNumberFormat="1" applyFont="1" applyFill="1" applyBorder="1" applyAlignment="1">
      <alignment horizontal="center"/>
    </xf>
    <xf numFmtId="168" fontId="15" fillId="0" borderId="0" xfId="15" applyNumberFormat="1" applyFont="1" applyFill="1" applyAlignment="1">
      <alignment/>
    </xf>
    <xf numFmtId="166" fontId="15" fillId="0" borderId="10" xfId="15" applyNumberFormat="1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166" fontId="15" fillId="0" borderId="0" xfId="15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166" fontId="15" fillId="0" borderId="0" xfId="15" applyNumberFormat="1" applyFont="1" applyAlignment="1">
      <alignment/>
    </xf>
    <xf numFmtId="0" fontId="12" fillId="0" borderId="10" xfId="0" applyFont="1" applyFill="1" applyBorder="1" applyAlignment="1">
      <alignment/>
    </xf>
    <xf numFmtId="166" fontId="15" fillId="0" borderId="22" xfId="15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 quotePrefix="1">
      <alignment horizontal="center"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 quotePrefix="1">
      <alignment horizontal="center"/>
    </xf>
    <xf numFmtId="0" fontId="15" fillId="0" borderId="0" xfId="15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3" fontId="15" fillId="0" borderId="0" xfId="0" applyNumberFormat="1" applyFont="1" applyFill="1" applyAlignment="1" quotePrefix="1">
      <alignment horizontal="left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2" fillId="3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6" fontId="15" fillId="3" borderId="0" xfId="15" applyNumberFormat="1" applyFont="1" applyFill="1" applyBorder="1" applyAlignment="1">
      <alignment horizontal="center"/>
    </xf>
    <xf numFmtId="166" fontId="15" fillId="3" borderId="0" xfId="15" applyNumberFormat="1" applyFont="1" applyFill="1" applyBorder="1" applyAlignment="1">
      <alignment/>
    </xf>
    <xf numFmtId="166" fontId="15" fillId="3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 quotePrefix="1">
      <alignment/>
    </xf>
    <xf numFmtId="166" fontId="14" fillId="4" borderId="0" xfId="15" applyNumberFormat="1" applyFont="1" applyFill="1" applyAlignment="1">
      <alignment/>
    </xf>
    <xf numFmtId="167" fontId="6" fillId="0" borderId="0" xfId="0" applyNumberFormat="1" applyFont="1" applyFill="1" applyBorder="1" applyAlignment="1">
      <alignment/>
    </xf>
    <xf numFmtId="166" fontId="6" fillId="0" borderId="9" xfId="15" applyNumberFormat="1" applyFont="1" applyFill="1" applyBorder="1" applyAlignment="1">
      <alignment/>
    </xf>
    <xf numFmtId="165" fontId="6" fillId="0" borderId="1" xfId="15" applyNumberFormat="1" applyFont="1" applyFill="1" applyBorder="1" applyAlignment="1">
      <alignment/>
    </xf>
    <xf numFmtId="166" fontId="6" fillId="0" borderId="1" xfId="15" applyNumberFormat="1" applyFont="1" applyFill="1" applyBorder="1" applyAlignment="1" quotePrefix="1">
      <alignment horizontal="right"/>
    </xf>
    <xf numFmtId="0" fontId="6" fillId="0" borderId="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166" fontId="5" fillId="0" borderId="1" xfId="15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0" fontId="6" fillId="0" borderId="0" xfId="21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6" fontId="6" fillId="0" borderId="15" xfId="15" applyNumberFormat="1" applyFont="1" applyFill="1" applyBorder="1" applyAlignment="1">
      <alignment/>
    </xf>
    <xf numFmtId="166" fontId="6" fillId="0" borderId="0" xfId="0" applyNumberFormat="1" applyFont="1" applyFill="1" applyAlignment="1">
      <alignment/>
    </xf>
    <xf numFmtId="165" fontId="6" fillId="0" borderId="1" xfId="15" applyNumberFormat="1" applyFont="1" applyFill="1" applyBorder="1" applyAlignment="1">
      <alignment horizontal="right"/>
    </xf>
    <xf numFmtId="165" fontId="5" fillId="0" borderId="1" xfId="15" applyNumberFormat="1" applyFont="1" applyFill="1" applyBorder="1" applyAlignment="1">
      <alignment horizontal="center" vertical="center"/>
    </xf>
    <xf numFmtId="165" fontId="6" fillId="0" borderId="1" xfId="15" applyNumberFormat="1" applyFont="1" applyFill="1" applyBorder="1" applyAlignment="1">
      <alignment/>
    </xf>
    <xf numFmtId="165" fontId="6" fillId="0" borderId="0" xfId="15" applyNumberFormat="1" applyFont="1" applyFill="1" applyAlignment="1">
      <alignment/>
    </xf>
    <xf numFmtId="165" fontId="6" fillId="0" borderId="15" xfId="15" applyNumberFormat="1" applyFont="1" applyFill="1" applyBorder="1" applyAlignment="1">
      <alignment/>
    </xf>
    <xf numFmtId="0" fontId="0" fillId="0" borderId="9" xfId="0" applyFont="1" applyBorder="1" applyAlignment="1">
      <alignment/>
    </xf>
    <xf numFmtId="165" fontId="8" fillId="2" borderId="23" xfId="15" applyNumberFormat="1" applyFont="1" applyFill="1" applyBorder="1" applyAlignment="1">
      <alignment horizontal="center"/>
    </xf>
    <xf numFmtId="165" fontId="12" fillId="0" borderId="5" xfId="15" applyNumberFormat="1" applyFont="1" applyFill="1" applyBorder="1" applyAlignment="1">
      <alignment horizontal="center"/>
    </xf>
    <xf numFmtId="165" fontId="0" fillId="0" borderId="8" xfId="15" applyNumberFormat="1" applyFont="1" applyFill="1" applyBorder="1" applyAlignment="1">
      <alignment horizontal="center"/>
    </xf>
    <xf numFmtId="165" fontId="0" fillId="0" borderId="24" xfId="15" applyNumberFormat="1" applyFont="1" applyFill="1" applyBorder="1" applyAlignment="1">
      <alignment horizontal="center"/>
    </xf>
    <xf numFmtId="165" fontId="12" fillId="0" borderId="8" xfId="15" applyNumberFormat="1" applyFont="1" applyFill="1" applyBorder="1" applyAlignment="1">
      <alignment horizontal="center"/>
    </xf>
    <xf numFmtId="165" fontId="12" fillId="0" borderId="24" xfId="15" applyNumberFormat="1" applyFont="1" applyFill="1" applyBorder="1" applyAlignment="1">
      <alignment horizontal="center"/>
    </xf>
    <xf numFmtId="165" fontId="0" fillId="0" borderId="8" xfId="15" applyNumberFormat="1" applyFont="1" applyBorder="1" applyAlignment="1">
      <alignment horizontal="center"/>
    </xf>
    <xf numFmtId="165" fontId="0" fillId="0" borderId="24" xfId="15" applyNumberFormat="1" applyFont="1" applyBorder="1" applyAlignment="1">
      <alignment horizontal="center"/>
    </xf>
    <xf numFmtId="165" fontId="0" fillId="0" borderId="25" xfId="15" applyNumberFormat="1" applyFont="1" applyBorder="1" applyAlignment="1">
      <alignment/>
    </xf>
    <xf numFmtId="165" fontId="12" fillId="0" borderId="8" xfId="15" applyNumberFormat="1" applyFont="1" applyBorder="1" applyAlignment="1">
      <alignment horizontal="center"/>
    </xf>
    <xf numFmtId="165" fontId="9" fillId="3" borderId="26" xfId="15" applyNumberFormat="1" applyFont="1" applyFill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6" fontId="12" fillId="0" borderId="0" xfId="15" applyNumberFormat="1" applyFont="1" applyAlignment="1">
      <alignment/>
    </xf>
    <xf numFmtId="166" fontId="12" fillId="0" borderId="9" xfId="15" applyNumberFormat="1" applyFont="1" applyBorder="1" applyAlignment="1">
      <alignment/>
    </xf>
    <xf numFmtId="165" fontId="12" fillId="0" borderId="24" xfId="15" applyNumberFormat="1" applyFont="1" applyBorder="1" applyAlignment="1">
      <alignment horizontal="center"/>
    </xf>
    <xf numFmtId="165" fontId="12" fillId="0" borderId="8" xfId="15" applyNumberFormat="1" applyFont="1" applyFill="1" applyBorder="1" applyAlignment="1">
      <alignment/>
    </xf>
    <xf numFmtId="0" fontId="0" fillId="0" borderId="9" xfId="0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165" fontId="0" fillId="0" borderId="8" xfId="15" applyNumberFormat="1" applyFont="1" applyBorder="1" applyAlignment="1">
      <alignment/>
    </xf>
    <xf numFmtId="0" fontId="12" fillId="0" borderId="1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1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%20SERVICES\FINANCIAL%20MANAGEMENT\FINANCIA\2007%20fin\07%20Financial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%20SERVICES\FINANCIAL%20MANAGEMENT\FINANCIA\2008%20fin\08%20Financial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%20SERVICES\FINANCIAL%20MANAGEMENT\Budget\09budget\09BWP\09%20program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%20SERVICES\FINANCIAL%20MANAGEMENT\Budget\07%20Budget\Budget%20Progress%20Reports\07%20Ju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%20SERVICES\FINANCIAL%20MANAGEMENT\Budget\08budget\FY08%20BWP\08%20program%20budg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Y-08\Beginning%2008%20Salary%20(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visk\Local%20Settings\Temporary%20Internet%20Files\OLKE1\Funding%2010_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06%20Budget\06BWP\OHCA%20FUND%2025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FY%2006%20BUDGET\FY06%20Contracts%206_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cCannJ.MCCANNJ_LAPTOP\Local%20Settings\Temporary%20Internet%20Files\Content.IE5\JCI9JKOR\Priority%20Summary%20(4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cCannJ.MCCANNJ_LAPTOP\Local%20Settings\Temporary%20Internet%20Files\Content.IE5\JCI9JKOR\10Budget%20Request%20Forms%20Tracking%20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"/>
      <sheetName val="July(2)"/>
      <sheetName val="July Comb"/>
      <sheetName val="JulyRev"/>
      <sheetName val="JulyMedSum"/>
      <sheetName val="JulyAdmin"/>
      <sheetName val="JulyOSA"/>
      <sheetName val="JulyQOC"/>
      <sheetName val="JulyB&amp;C"/>
      <sheetName val="JulyHIFA"/>
      <sheetName val="JulyMedicaid Fund"/>
      <sheetName val="August"/>
      <sheetName val="August(2)"/>
      <sheetName val="AugustRev"/>
      <sheetName val="AugustComb"/>
      <sheetName val="AugMedSum"/>
      <sheetName val="AugustAdmin"/>
      <sheetName val="AugustOSA"/>
      <sheetName val="AugustQOC"/>
      <sheetName val="AugustB&amp;C"/>
      <sheetName val="AugustHIFA"/>
      <sheetName val="AugustMedicaid Fund"/>
      <sheetName val="September"/>
      <sheetName val="September(2)"/>
      <sheetName val="SeptRev"/>
      <sheetName val="SeptComb"/>
      <sheetName val="SeptAdmin"/>
      <sheetName val="SeptMedSum"/>
      <sheetName val="SeptOSA"/>
      <sheetName val="SeptQOC"/>
      <sheetName val="SeptB&amp;C"/>
      <sheetName val="SeptHIFA"/>
      <sheetName val="SeptMedicaid Fund"/>
      <sheetName val="October"/>
      <sheetName val="October(2)"/>
      <sheetName val="OctRev"/>
      <sheetName val="OctComb"/>
      <sheetName val="OctAdmin"/>
      <sheetName val="OctMedSum"/>
      <sheetName val="OctOSA"/>
      <sheetName val="OctQOC"/>
      <sheetName val="OctHIFA"/>
      <sheetName val="OctB&amp;C"/>
      <sheetName val="OctMedicaid Fund"/>
      <sheetName val="November"/>
      <sheetName val="November(2)"/>
      <sheetName val="NovComb"/>
      <sheetName val="NovAdmin"/>
      <sheetName val="NovRev"/>
      <sheetName val="NovMedSum"/>
      <sheetName val="NovOSA"/>
      <sheetName val="NovQOC"/>
      <sheetName val="NovHIFA"/>
      <sheetName val="NovB&amp;C"/>
      <sheetName val="NovMedicaid Fund"/>
      <sheetName val="December"/>
      <sheetName val="December(2)"/>
      <sheetName val="DecComb"/>
      <sheetName val="DecMedSum"/>
      <sheetName val="DecAdmin"/>
      <sheetName val="DecRev"/>
      <sheetName val="DecOSA"/>
      <sheetName val="DecQOC"/>
      <sheetName val="DecHIFA"/>
      <sheetName val="DecB&amp;C"/>
      <sheetName val="DecMedicaid Fund"/>
      <sheetName val="January"/>
      <sheetName val="January(2)"/>
      <sheetName val="JanComb"/>
      <sheetName val="JanRev"/>
      <sheetName val="JanMedSum"/>
      <sheetName val="JanAdmin"/>
      <sheetName val="JanOSA"/>
      <sheetName val="JanQOC"/>
      <sheetName val="JAnHIFA"/>
      <sheetName val="JanB&amp;C"/>
      <sheetName val="JanMedicaid Fund"/>
      <sheetName val="February"/>
      <sheetName val="February(2)"/>
      <sheetName val="FebComb"/>
      <sheetName val="FebRev"/>
      <sheetName val="FebMedSum"/>
      <sheetName val="FebAdmin"/>
      <sheetName val="FebOSA"/>
      <sheetName val="FebHIFA"/>
      <sheetName val="FebQOC"/>
      <sheetName val="FebMedicaid Fund"/>
      <sheetName val="FebB&amp;C"/>
      <sheetName val="March"/>
      <sheetName val="March(2)"/>
      <sheetName val="MarchComb"/>
      <sheetName val="MarchRev"/>
      <sheetName val="MarchMedSum"/>
      <sheetName val="MarchAdmin"/>
      <sheetName val="MarchOSA"/>
      <sheetName val="MarchHIFA"/>
      <sheetName val="MarchQOC"/>
      <sheetName val="MarchMedicaid Fund"/>
      <sheetName val="MarchB&amp;C"/>
      <sheetName val="April"/>
      <sheetName val="April(2)"/>
      <sheetName val="AprilComb"/>
      <sheetName val="AprilRev"/>
      <sheetName val="AprilMedSum"/>
      <sheetName val="AprilAdmin"/>
      <sheetName val="AprilOSA"/>
      <sheetName val="AprilHIFA"/>
      <sheetName val="AprilQOC"/>
      <sheetName val="AprilMedicaid Fund"/>
      <sheetName val="AprilB&amp;C"/>
      <sheetName val="May"/>
      <sheetName val="May(2)"/>
      <sheetName val="MayMedSum"/>
      <sheetName val="MayComb"/>
      <sheetName val="MayRev"/>
      <sheetName val="MayAdmin"/>
      <sheetName val="MayOSA"/>
      <sheetName val="MayHIFA"/>
      <sheetName val="MayQOC"/>
      <sheetName val="MayMedicaid Fund"/>
      <sheetName val="MayB&amp;C"/>
      <sheetName val="June"/>
      <sheetName val="June(2)"/>
      <sheetName val="JuneMedSum"/>
      <sheetName val="JuneRev"/>
      <sheetName val="JuneComb"/>
      <sheetName val="JuneAdmin"/>
      <sheetName val="JuneOSA"/>
      <sheetName val="JuneHIFA"/>
      <sheetName val="JuneQOC"/>
      <sheetName val="JuneMedicaid Fund"/>
      <sheetName val="JuneB&amp;C"/>
    </sheetNames>
    <sheetDataSet>
      <sheetData sheetId="122">
        <row r="33">
          <cell r="D33">
            <v>113172520</v>
          </cell>
        </row>
        <row r="43">
          <cell r="D43">
            <v>489707271</v>
          </cell>
        </row>
        <row r="44">
          <cell r="D44">
            <v>54509692</v>
          </cell>
        </row>
        <row r="45">
          <cell r="D45">
            <v>107753230</v>
          </cell>
        </row>
        <row r="46">
          <cell r="D46">
            <v>23540644</v>
          </cell>
        </row>
        <row r="48">
          <cell r="D48">
            <v>53193255</v>
          </cell>
        </row>
        <row r="50">
          <cell r="D50">
            <v>2651741844</v>
          </cell>
        </row>
      </sheetData>
      <sheetData sheetId="123">
        <row r="17">
          <cell r="I17">
            <v>235354954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ugust"/>
      <sheetName val="Augsut(2)"/>
      <sheetName val="AugustComb"/>
      <sheetName val="AugustRev"/>
      <sheetName val="AugustMedSum"/>
      <sheetName val="AugustAdmin"/>
      <sheetName val="AugustOSA"/>
      <sheetName val="AugustHIFA"/>
      <sheetName val="AugustQOC"/>
      <sheetName val="AugustB&amp;C"/>
      <sheetName val="AugustMedicaid Fund"/>
      <sheetName val="September"/>
      <sheetName val="September(2)"/>
      <sheetName val="SeptAdmin"/>
      <sheetName val="SeptemberComb"/>
      <sheetName val="SeptRev"/>
      <sheetName val="SeptMedSum"/>
      <sheetName val="SeptOSA"/>
      <sheetName val="SeptHIFA"/>
      <sheetName val="SeptQOC"/>
      <sheetName val="SeptB&amp;C"/>
      <sheetName val="SeptMedicaidFund"/>
      <sheetName val="October"/>
      <sheetName val="October(2)"/>
      <sheetName val="OctAdmin"/>
      <sheetName val="OctoberComb"/>
      <sheetName val="OctRev"/>
      <sheetName val="OctMedSum"/>
      <sheetName val="OctOSA"/>
      <sheetName val="OctHIFA"/>
      <sheetName val="OctQOC"/>
      <sheetName val="OctB&amp;C"/>
      <sheetName val="OctMedicaidFund"/>
      <sheetName val="November"/>
      <sheetName val="November(2)"/>
      <sheetName val="NovAdmin"/>
      <sheetName val="NovMedSum"/>
      <sheetName val="NovComb"/>
      <sheetName val="NovRev"/>
      <sheetName val="NovOSA"/>
      <sheetName val="NovHIFA"/>
      <sheetName val="NovQOC"/>
      <sheetName val="NovB&amp;C"/>
      <sheetName val="NovMedicaidFund"/>
      <sheetName val="December"/>
      <sheetName val="December(2)"/>
      <sheetName val="DecComb"/>
      <sheetName val="DecAdmin"/>
      <sheetName val="DecMedSum"/>
      <sheetName val="DecRev"/>
      <sheetName val="Chart1"/>
      <sheetName val="DecOSA"/>
      <sheetName val="DecHIFA"/>
      <sheetName val="DecQOC"/>
      <sheetName val="DecB&amp;C"/>
      <sheetName val="DecMedicaidFund"/>
      <sheetName val="January"/>
      <sheetName val="January(2)"/>
      <sheetName val="JanComb"/>
      <sheetName val="JanMedSum"/>
      <sheetName val="JanAdmin"/>
      <sheetName val="JanRev"/>
      <sheetName val="JanOSA"/>
      <sheetName val="Chart5"/>
      <sheetName val="Chart4"/>
      <sheetName val="JanHIFA"/>
      <sheetName val="JancQOC"/>
      <sheetName val="JanB&amp;C"/>
      <sheetName val="JanMedicaidFund"/>
      <sheetName val="February"/>
      <sheetName val="February(2)"/>
      <sheetName val="FebComb"/>
      <sheetName val="Chart2"/>
      <sheetName val="Chart3"/>
      <sheetName val="FebMedSum"/>
      <sheetName val="FebAdmin"/>
      <sheetName val="FebRev"/>
      <sheetName val="FebOSA"/>
      <sheetName val="FebHIFA"/>
      <sheetName val="FebQOC"/>
      <sheetName val="FebB&amp;C"/>
      <sheetName val="FebMedicaidFund"/>
      <sheetName val="March"/>
      <sheetName val="March(2)"/>
      <sheetName val="MarchComb"/>
      <sheetName val="MarchMedSum"/>
      <sheetName val="MarchAdmin"/>
      <sheetName val="MarchRev"/>
      <sheetName val="MarchOSA"/>
      <sheetName val="MarchHIFA"/>
      <sheetName val="MarchQOC"/>
      <sheetName val="MarchB&amp;C"/>
      <sheetName val="MarchMedicaidFund"/>
      <sheetName val="April"/>
      <sheetName val="April(2)"/>
      <sheetName val="AprilRev"/>
      <sheetName val="AprilAdmin"/>
      <sheetName val="AprilMedSum"/>
      <sheetName val="AprilComb"/>
      <sheetName val="AprilHIFA"/>
      <sheetName val="AprilQOC"/>
      <sheetName val="AprilOSA"/>
      <sheetName val="AprilB&amp;C"/>
      <sheetName val="AprilMedicaidFund"/>
      <sheetName val="May"/>
      <sheetName val="May (2)"/>
      <sheetName val="MayRev"/>
      <sheetName val="MayAdmin"/>
      <sheetName val="MayMedSum"/>
      <sheetName val="MayComb"/>
      <sheetName val="MayHIFA"/>
      <sheetName val="MayQOC"/>
      <sheetName val="MayOSA"/>
      <sheetName val="MayB&amp;C"/>
      <sheetName val="MayMedicaidFund"/>
      <sheetName val="June"/>
      <sheetName val="June(2)"/>
      <sheetName val="JuneRev"/>
      <sheetName val="JuneAdmin"/>
      <sheetName val="JuneMedSum"/>
      <sheetName val="JuneComb"/>
      <sheetName val="JuneHIFA"/>
      <sheetName val="JuneQOC"/>
      <sheetName val="JuneOSA"/>
      <sheetName val="JuneB&amp;C"/>
      <sheetName val="JUneMedicaidFund"/>
    </sheetNames>
    <sheetDataSet>
      <sheetData sheetId="115">
        <row r="51">
          <cell r="G51">
            <v>27922043</v>
          </cell>
        </row>
        <row r="52">
          <cell r="G52">
            <v>2574902</v>
          </cell>
        </row>
        <row r="57">
          <cell r="G57">
            <v>6154327</v>
          </cell>
        </row>
        <row r="58">
          <cell r="G58">
            <v>4669353</v>
          </cell>
        </row>
        <row r="59">
          <cell r="G59">
            <v>37690</v>
          </cell>
        </row>
      </sheetData>
      <sheetData sheetId="119">
        <row r="16">
          <cell r="I16">
            <v>651266242</v>
          </cell>
        </row>
        <row r="17">
          <cell r="I17">
            <v>216798297</v>
          </cell>
        </row>
        <row r="29">
          <cell r="I29">
            <v>125942198</v>
          </cell>
        </row>
        <row r="32">
          <cell r="I32">
            <v>16690971</v>
          </cell>
        </row>
        <row r="37">
          <cell r="I37">
            <v>518622543</v>
          </cell>
        </row>
        <row r="40">
          <cell r="I40">
            <v>113272212</v>
          </cell>
        </row>
      </sheetData>
      <sheetData sheetId="120">
        <row r="40">
          <cell r="C40">
            <v>5861141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by rev"/>
      <sheetName val="Summary by program"/>
      <sheetName val="FY compr exp &amp; rev"/>
      <sheetName val="09 Fund 340 summary"/>
      <sheetName val="Prog summary by month"/>
      <sheetName val="OSA"/>
      <sheetName val="Choice"/>
      <sheetName val="Hospitals"/>
      <sheetName val="Behavioral Health"/>
      <sheetName val="Nursing Homes"/>
      <sheetName val="Physicians"/>
      <sheetName val="Dentists"/>
      <sheetName val="Other Prac"/>
      <sheetName val="Home Health"/>
      <sheetName val="Lab &amp; Rad"/>
      <sheetName val="Med Supp"/>
      <sheetName val="Clinics"/>
      <sheetName val="Drugs"/>
      <sheetName val="Misc"/>
      <sheetName val="ICF MR"/>
      <sheetName val="Transportation"/>
      <sheetName val="CMS Payments"/>
      <sheetName val="09 analysis"/>
      <sheetName val="09 notes"/>
      <sheetName val="09 Revenue analysis"/>
      <sheetName val="HIFA"/>
      <sheetName val="adm summary"/>
    </sheetNames>
    <sheetDataSet>
      <sheetData sheetId="3">
        <row r="10">
          <cell r="P10">
            <v>622842060.4727737</v>
          </cell>
        </row>
        <row r="11">
          <cell r="P11">
            <v>49807685.44705771</v>
          </cell>
        </row>
        <row r="12">
          <cell r="P12">
            <v>221805435.87013006</v>
          </cell>
        </row>
        <row r="23">
          <cell r="P23">
            <v>520283521.1434001</v>
          </cell>
        </row>
        <row r="27">
          <cell r="P27">
            <v>133445974.65650187</v>
          </cell>
        </row>
        <row r="30">
          <cell r="P30">
            <v>17260163.273403358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ary"/>
      <sheetName val="Less 22 &amp; 10"/>
      <sheetName val="10"/>
      <sheetName val="01-xxxx"/>
      <sheetName val="02-xxxx"/>
      <sheetName val="03-xxxx"/>
      <sheetName val="04-xxxx"/>
      <sheetName val="06-xxxx"/>
      <sheetName val="07-xxxx"/>
      <sheetName val="08-xxxx"/>
      <sheetName val="09-xxxx"/>
      <sheetName val="10-xxxx"/>
      <sheetName val="10-1400"/>
      <sheetName val="10-1600 "/>
      <sheetName val="10-1800"/>
      <sheetName val="12-xxxx "/>
      <sheetName val="13-xxxx  "/>
      <sheetName val="14-xxxx   "/>
      <sheetName val="15-xxxx    "/>
      <sheetName val="22-xxxx"/>
      <sheetName val="88-xxxx"/>
      <sheetName val="40-xxxx"/>
    </sheetNames>
    <sheetDataSet>
      <sheetData sheetId="2">
        <row r="12">
          <cell r="D12">
            <v>3043629</v>
          </cell>
        </row>
        <row r="13">
          <cell r="D13">
            <v>152181</v>
          </cell>
        </row>
        <row r="14">
          <cell r="D14">
            <v>3750858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by rev"/>
      <sheetName val="Summary by program"/>
      <sheetName val="FY compr exp &amp; rev"/>
      <sheetName val="Prog summary by month"/>
      <sheetName val="08 Fund 340 summary"/>
      <sheetName val="OSA"/>
      <sheetName val="08 Revenue analysis"/>
      <sheetName val="08 analysis"/>
      <sheetName val="08 notes"/>
      <sheetName val="Choice"/>
      <sheetName val="Hospitals"/>
      <sheetName val="Behavioral Health"/>
      <sheetName val="Nursing Homes"/>
      <sheetName val="Physicians"/>
      <sheetName val="Dentists"/>
      <sheetName val="Other Prac"/>
      <sheetName val="Home Health"/>
      <sheetName val="Lab &amp; Rad"/>
      <sheetName val="Med Supp"/>
      <sheetName val="Clinics"/>
      <sheetName val="Drugs"/>
      <sheetName val="Misc"/>
      <sheetName val="ICF MR"/>
      <sheetName val="Transportation"/>
      <sheetName val="CMS Payments"/>
      <sheetName val="HIFA"/>
      <sheetName val="adm summary"/>
    </sheetNames>
    <sheetDataSet>
      <sheetData sheetId="2">
        <row r="9">
          <cell r="E9">
            <v>515154147.03350556</v>
          </cell>
        </row>
        <row r="11">
          <cell r="E11">
            <v>128902684.31150006</v>
          </cell>
        </row>
        <row r="19">
          <cell r="E19">
            <v>56595794.83890579</v>
          </cell>
        </row>
        <row r="20">
          <cell r="E20">
            <v>24111882.937913664</v>
          </cell>
        </row>
        <row r="21">
          <cell r="E21">
            <v>119213969.68809421</v>
          </cell>
        </row>
        <row r="22">
          <cell r="E22">
            <v>54254437.59989768</v>
          </cell>
        </row>
        <row r="26">
          <cell r="E26">
            <v>3008218342.6665754</v>
          </cell>
        </row>
      </sheetData>
      <sheetData sheetId="10">
        <row r="28">
          <cell r="P28">
            <v>261639509.50848967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Jauna"/>
      <sheetName val="Debra Sal +"/>
      <sheetName val="OT Bal per HR"/>
      <sheetName val="Summary"/>
      <sheetName val="Insurance"/>
      <sheetName val="Combo "/>
      <sheetName val="Exec-01"/>
      <sheetName val="Prog Integrity-02 (2)"/>
      <sheetName val="Medicaid03 (2)"/>
      <sheetName val="James-04"/>
      <sheetName val="Nico-06"/>
      <sheetName val="Legal07 (2)"/>
      <sheetName val="Finance09 (2)"/>
      <sheetName val="G -Mgmt10 (2)"/>
      <sheetName val="Provider Support - 12"/>
      <sheetName val="Provi Op-Bene-Care Mgmt"/>
      <sheetName val="Quality Assurance-14"/>
      <sheetName val="Opp Life-15"/>
      <sheetName val="QoC - 22"/>
      <sheetName val="DP88"/>
      <sheetName val="HIFA"/>
    </sheetNames>
    <sheetDataSet>
      <sheetData sheetId="4">
        <row r="18">
          <cell r="S18">
            <v>7756531.279132466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unding 10-11"/>
      <sheetName val="Funding 10-11 Kids"/>
      <sheetName val="agency goals"/>
      <sheetName val="Funding 09-10"/>
      <sheetName val="Funding 08-09"/>
      <sheetName val="Funding 07-08 revised"/>
    </sheetNames>
    <sheetDataSet>
      <sheetData sheetId="3">
        <row r="1">
          <cell r="G1">
            <v>0.662</v>
          </cell>
        </row>
      </sheetData>
      <sheetData sheetId="4">
        <row r="1">
          <cell r="G1">
            <v>0.6736000000000001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by expense"/>
      <sheetName val="summary by revenue"/>
      <sheetName val="BCC"/>
      <sheetName val="TEFRA"/>
      <sheetName val="ER rate"/>
      <sheetName val="Adult dental"/>
      <sheetName val="Hospital days"/>
      <sheetName val="Physician"/>
      <sheetName val="Nursing Facilities"/>
      <sheetName val="Crossovers"/>
      <sheetName val="drugs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IX contracts2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il Priority"/>
      <sheetName val="FY10 Priority "/>
      <sheetName val="FY10 Priority  (2)"/>
      <sheetName val="FY09 Priority"/>
      <sheetName val="agency goals"/>
    </sheetNames>
    <sheetDataSet>
      <sheetData sheetId="2">
        <row r="23">
          <cell r="E23">
            <v>3675000</v>
          </cell>
        </row>
        <row r="47">
          <cell r="F47">
            <v>201861</v>
          </cell>
        </row>
        <row r="48">
          <cell r="F48">
            <v>500000</v>
          </cell>
        </row>
        <row r="49">
          <cell r="F49">
            <v>187500</v>
          </cell>
        </row>
        <row r="55">
          <cell r="F55">
            <v>3352350</v>
          </cell>
        </row>
        <row r="59">
          <cell r="F59">
            <v>557000</v>
          </cell>
        </row>
        <row r="62">
          <cell r="F62">
            <v>1000000</v>
          </cell>
        </row>
        <row r="63">
          <cell r="F63">
            <v>173600</v>
          </cell>
        </row>
        <row r="65">
          <cell r="F65">
            <v>260000</v>
          </cell>
        </row>
        <row r="66">
          <cell r="F66">
            <v>240000</v>
          </cell>
        </row>
        <row r="68">
          <cell r="F68">
            <v>130000</v>
          </cell>
        </row>
        <row r="69">
          <cell r="F69">
            <v>200000</v>
          </cell>
        </row>
        <row r="144">
          <cell r="F144">
            <v>1263266</v>
          </cell>
        </row>
        <row r="145">
          <cell r="F145">
            <v>450000</v>
          </cell>
        </row>
        <row r="146">
          <cell r="F146">
            <v>5890968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Y10 BR list for MF"/>
      <sheetName val="FY10Initial BR "/>
      <sheetName val="agency goals"/>
      <sheetName val="FY09Initial BR"/>
      <sheetName val="FY08 Initial BR"/>
      <sheetName val="FY07 Initial BR"/>
    </sheetNames>
    <sheetDataSet>
      <sheetData sheetId="0">
        <row r="6">
          <cell r="E6">
            <v>2642834</v>
          </cell>
        </row>
        <row r="7">
          <cell r="E7">
            <v>176400</v>
          </cell>
        </row>
        <row r="9">
          <cell r="E9">
            <v>451584</v>
          </cell>
        </row>
        <row r="10">
          <cell r="E10">
            <v>1056000</v>
          </cell>
        </row>
        <row r="14">
          <cell r="E14">
            <v>17041392</v>
          </cell>
        </row>
      </sheetData>
      <sheetData sheetId="1">
        <row r="66">
          <cell r="G66">
            <v>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7"/>
  <sheetViews>
    <sheetView tabSelected="1" workbookViewId="0" topLeftCell="A1">
      <pane xSplit="1" topLeftCell="B1" activePane="topRight" state="frozen"/>
      <selection pane="topLeft" activeCell="H157" sqref="H157"/>
      <selection pane="topRight" activeCell="C99" sqref="C99"/>
    </sheetView>
  </sheetViews>
  <sheetFormatPr defaultColWidth="9.140625" defaultRowHeight="12.75"/>
  <cols>
    <col min="1" max="1" width="3.28125" style="216" bestFit="1" customWidth="1"/>
    <col min="2" max="2" width="2.8515625" style="28" customWidth="1"/>
    <col min="3" max="3" width="59.421875" style="28" customWidth="1"/>
    <col min="4" max="4" width="3.8515625" style="28" customWidth="1"/>
    <col min="5" max="5" width="10.00390625" style="207" customWidth="1"/>
    <col min="6" max="6" width="17.57421875" style="58" customWidth="1"/>
    <col min="7" max="7" width="19.00390625" style="58" customWidth="1"/>
    <col min="8" max="8" width="5.28125" style="27" customWidth="1"/>
    <col min="9" max="9" width="0.42578125" style="28" customWidth="1"/>
    <col min="10" max="10" width="16.00390625" style="28" hidden="1" customWidth="1"/>
    <col min="11" max="11" width="15.421875" style="28" hidden="1" customWidth="1"/>
    <col min="12" max="14" width="9.140625" style="28" customWidth="1"/>
    <col min="15" max="16384" width="9.140625" style="33" customWidth="1"/>
  </cols>
  <sheetData>
    <row r="1" spans="1:11" s="20" customFormat="1" ht="30" customHeight="1">
      <c r="A1" s="215"/>
      <c r="B1" s="12"/>
      <c r="C1" s="13" t="s">
        <v>19</v>
      </c>
      <c r="D1" s="14"/>
      <c r="E1" s="196" t="s">
        <v>0</v>
      </c>
      <c r="F1" s="15" t="s">
        <v>7</v>
      </c>
      <c r="G1" s="16" t="s">
        <v>20</v>
      </c>
      <c r="H1" s="19"/>
      <c r="J1" s="222" t="s">
        <v>29</v>
      </c>
      <c r="K1" s="222"/>
    </row>
    <row r="2" spans="1:11" s="28" customFormat="1" ht="18.75" customHeight="1">
      <c r="A2" s="21">
        <v>1</v>
      </c>
      <c r="B2" s="22" t="s">
        <v>23</v>
      </c>
      <c r="C2" s="23"/>
      <c r="D2" s="24"/>
      <c r="E2" s="197"/>
      <c r="F2" s="25"/>
      <c r="G2" s="26"/>
      <c r="H2" s="27"/>
      <c r="J2" s="28" t="s">
        <v>27</v>
      </c>
      <c r="K2" s="28" t="s">
        <v>28</v>
      </c>
    </row>
    <row r="3" spans="1:8" s="28" customFormat="1" ht="12.75">
      <c r="A3" s="29"/>
      <c r="B3" s="30"/>
      <c r="C3" s="212" t="s">
        <v>274</v>
      </c>
      <c r="D3" s="24"/>
      <c r="E3" s="198"/>
      <c r="F3" s="32">
        <f>'Funding 10-11'!N18</f>
        <v>41971446.70721769</v>
      </c>
      <c r="G3" s="43">
        <f>'Funding 10-11'!M18</f>
        <v>0</v>
      </c>
      <c r="H3" s="27"/>
    </row>
    <row r="4" spans="1:14" ht="12.75">
      <c r="A4" s="29"/>
      <c r="B4" s="30"/>
      <c r="C4" s="212" t="s">
        <v>294</v>
      </c>
      <c r="D4" s="24"/>
      <c r="E4" s="198"/>
      <c r="F4" s="32">
        <f>'Funding 10-11'!N19</f>
        <v>1412278.3386448214</v>
      </c>
      <c r="G4" s="43">
        <f>'Funding 10-11'!M19</f>
        <v>4088523.8145612557</v>
      </c>
      <c r="I4" s="33"/>
      <c r="J4" s="65">
        <f>+'[1]June(2)'!$D$45</f>
        <v>107753230</v>
      </c>
      <c r="K4" s="33">
        <f>+'[3]FY compr exp &amp; rev'!$E$21</f>
        <v>119213969.68809421</v>
      </c>
      <c r="L4" s="33"/>
      <c r="M4" s="33"/>
      <c r="N4" s="33"/>
    </row>
    <row r="5" spans="1:8" s="28" customFormat="1" ht="3" customHeight="1" thickBot="1">
      <c r="A5" s="29"/>
      <c r="B5" s="30"/>
      <c r="C5" s="31"/>
      <c r="D5" s="24"/>
      <c r="E5" s="199"/>
      <c r="F5" s="34"/>
      <c r="G5" s="35"/>
      <c r="H5" s="27"/>
    </row>
    <row r="6" spans="1:11" s="28" customFormat="1" ht="12.75">
      <c r="A6" s="29"/>
      <c r="B6" s="30"/>
      <c r="C6" s="36"/>
      <c r="D6" s="24"/>
      <c r="E6" s="200">
        <v>0</v>
      </c>
      <c r="F6" s="37">
        <f>SUM(F3:F5)</f>
        <v>43383725.04586252</v>
      </c>
      <c r="G6" s="38">
        <f>SUM(G3:G5)</f>
        <v>4088523.8145612557</v>
      </c>
      <c r="H6" s="27"/>
      <c r="J6" s="66">
        <f>SUM(J4:J5)</f>
        <v>107753230</v>
      </c>
      <c r="K6" s="66">
        <f>SUM(K4:K5)</f>
        <v>119213969.68809421</v>
      </c>
    </row>
    <row r="7" spans="1:11" s="28" customFormat="1" ht="12.75">
      <c r="A7" s="29"/>
      <c r="B7" s="30"/>
      <c r="C7" s="36"/>
      <c r="D7" s="24"/>
      <c r="E7" s="200"/>
      <c r="F7" s="37"/>
      <c r="G7" s="38"/>
      <c r="H7" s="27"/>
      <c r="J7" s="66"/>
      <c r="K7" s="66"/>
    </row>
    <row r="8" spans="1:8" s="28" customFormat="1" ht="12.75">
      <c r="A8" s="29">
        <v>2</v>
      </c>
      <c r="B8" s="24" t="s">
        <v>21</v>
      </c>
      <c r="C8" s="41"/>
      <c r="D8" s="24"/>
      <c r="E8" s="200"/>
      <c r="F8" s="39"/>
      <c r="G8" s="40"/>
      <c r="H8" s="27"/>
    </row>
    <row r="9" spans="1:11" ht="12.75">
      <c r="A9" s="29"/>
      <c r="B9" s="30"/>
      <c r="C9" s="212" t="s">
        <v>275</v>
      </c>
      <c r="D9" s="24"/>
      <c r="E9" s="200"/>
      <c r="F9" s="59">
        <f>'Funding 10-11'!N42</f>
        <v>36095770.858995445</v>
      </c>
      <c r="G9" s="43">
        <f>'Funding 10-11'!M42</f>
        <v>109698939.00242038</v>
      </c>
      <c r="J9" s="66">
        <f>+'[1]June(2)'!$D$50</f>
        <v>2651741844</v>
      </c>
      <c r="K9" s="28">
        <f>+'[3]FY compr exp &amp; rev'!$E$26</f>
        <v>3008218342.6665754</v>
      </c>
    </row>
    <row r="10" spans="1:11" ht="12.75">
      <c r="A10" s="29"/>
      <c r="B10" s="30"/>
      <c r="C10" s="212" t="s">
        <v>293</v>
      </c>
      <c r="D10" s="24"/>
      <c r="E10" s="200"/>
      <c r="F10" s="59">
        <f>'Funding 10-11'!N43</f>
        <v>1988251.1511585875</v>
      </c>
      <c r="G10" s="43">
        <f>'Funding 10-11'!M43</f>
        <v>5731482.130754072</v>
      </c>
      <c r="J10" s="66">
        <f>+J4</f>
        <v>107753230</v>
      </c>
      <c r="K10" s="28">
        <f>+K4</f>
        <v>119213969.68809421</v>
      </c>
    </row>
    <row r="11" spans="1:10" ht="12.75">
      <c r="A11" s="29"/>
      <c r="B11" s="30"/>
      <c r="C11" s="212" t="s">
        <v>30</v>
      </c>
      <c r="D11" s="24"/>
      <c r="E11" s="200"/>
      <c r="F11" s="59">
        <f>'Funding 10-11'!N44</f>
        <v>2537376.7791936174</v>
      </c>
      <c r="G11" s="43">
        <f>'Funding 10-11'!M44</f>
        <v>2537376.7791936174</v>
      </c>
      <c r="J11" s="66"/>
    </row>
    <row r="12" spans="1:10" ht="12.75">
      <c r="A12" s="29"/>
      <c r="B12" s="30"/>
      <c r="C12" s="212" t="s">
        <v>31</v>
      </c>
      <c r="D12" s="24"/>
      <c r="E12" s="200"/>
      <c r="F12" s="59">
        <f>'Funding 10-11'!N45</f>
        <v>15624696</v>
      </c>
      <c r="G12" s="43">
        <f>'Funding 10-11'!M45</f>
        <v>0</v>
      </c>
      <c r="J12" s="66"/>
    </row>
    <row r="13" spans="1:11" ht="12.75">
      <c r="A13" s="29"/>
      <c r="B13" s="30"/>
      <c r="C13" s="212" t="s">
        <v>32</v>
      </c>
      <c r="D13" s="24"/>
      <c r="E13" s="200"/>
      <c r="F13" s="59">
        <f>'Funding 10-11'!N46</f>
        <v>217345.5</v>
      </c>
      <c r="G13" s="43">
        <f>'Funding 10-11'!M46</f>
        <v>859691</v>
      </c>
      <c r="J13" s="66">
        <f>+'[1]June(2)'!$D$48</f>
        <v>53193255</v>
      </c>
      <c r="K13" s="28">
        <f>+'[3]FY compr exp &amp; rev'!$E$22</f>
        <v>54254437.59989768</v>
      </c>
    </row>
    <row r="14" spans="1:7" ht="12.75">
      <c r="A14" s="29"/>
      <c r="B14" s="30"/>
      <c r="C14" s="195" t="s">
        <v>84</v>
      </c>
      <c r="D14" s="24"/>
      <c r="E14" s="200"/>
      <c r="F14" s="59">
        <f>'Funding 10-11'!N47</f>
        <v>21500</v>
      </c>
      <c r="G14" s="43">
        <f>'Funding 10-11'!M47</f>
        <v>43000</v>
      </c>
    </row>
    <row r="15" spans="1:11" ht="12.75">
      <c r="A15" s="29"/>
      <c r="B15" s="30"/>
      <c r="C15" s="195" t="s">
        <v>85</v>
      </c>
      <c r="D15" s="24"/>
      <c r="E15" s="200"/>
      <c r="F15" s="59">
        <f>'Funding 10-11'!N48</f>
        <v>475302.3948749999</v>
      </c>
      <c r="G15" s="43">
        <f>'Funding 10-11'!M48</f>
        <v>1350195</v>
      </c>
      <c r="J15" s="66">
        <f>+'[1]June(2)'!$D$46</f>
        <v>23540644</v>
      </c>
      <c r="K15" s="28">
        <f>+'[3]FY compr exp &amp; rev'!$E$20</f>
        <v>24111882.937913664</v>
      </c>
    </row>
    <row r="16" spans="1:11" ht="12.75">
      <c r="A16" s="29"/>
      <c r="B16" s="30"/>
      <c r="C16" s="212" t="s">
        <v>33</v>
      </c>
      <c r="D16" s="24"/>
      <c r="E16" s="200"/>
      <c r="F16" s="59">
        <f>'Funding 10-11'!N49</f>
        <v>1232231.32</v>
      </c>
      <c r="G16" s="43">
        <f>'Funding 10-11'!M49</f>
        <v>2464462.64</v>
      </c>
      <c r="J16" s="66">
        <f>SUM('[2]10'!$D$12:$D$14)</f>
        <v>6946668</v>
      </c>
      <c r="K16" s="28">
        <f>+'[4]Summary'!$S$18</f>
        <v>7756531.279132466</v>
      </c>
    </row>
    <row r="17" spans="1:8" s="28" customFormat="1" ht="2.25" customHeight="1" thickBot="1">
      <c r="A17" s="29"/>
      <c r="B17" s="30"/>
      <c r="C17" s="41"/>
      <c r="D17" s="24"/>
      <c r="E17" s="201"/>
      <c r="F17" s="44"/>
      <c r="G17" s="45"/>
      <c r="H17" s="27"/>
    </row>
    <row r="18" spans="1:11" s="28" customFormat="1" ht="12.75">
      <c r="A18" s="29"/>
      <c r="B18" s="30"/>
      <c r="C18" s="36"/>
      <c r="D18" s="24"/>
      <c r="E18" s="200">
        <v>0</v>
      </c>
      <c r="F18" s="37">
        <f>SUM(F9:F17)</f>
        <v>58192474.00422265</v>
      </c>
      <c r="G18" s="38">
        <f>SUM(G9:G17)</f>
        <v>122685146.55236806</v>
      </c>
      <c r="H18" s="27"/>
      <c r="J18" s="66">
        <f>SUM(J9:J17)</f>
        <v>2843175641</v>
      </c>
      <c r="K18" s="66">
        <f>SUM(K9:K17)</f>
        <v>3213555164.1716137</v>
      </c>
    </row>
    <row r="19" spans="1:11" s="28" customFormat="1" ht="12.75">
      <c r="A19" s="29"/>
      <c r="B19" s="30"/>
      <c r="C19" s="36"/>
      <c r="D19" s="24"/>
      <c r="E19" s="200"/>
      <c r="F19" s="37"/>
      <c r="G19" s="38"/>
      <c r="H19" s="27"/>
      <c r="J19" s="66"/>
      <c r="K19" s="66"/>
    </row>
    <row r="20" spans="1:14" s="28" customFormat="1" ht="12.75">
      <c r="A20" s="29">
        <v>3</v>
      </c>
      <c r="B20" s="42" t="s">
        <v>25</v>
      </c>
      <c r="C20" s="31"/>
      <c r="D20" s="24"/>
      <c r="E20" s="200"/>
      <c r="F20" s="32"/>
      <c r="G20" s="38"/>
      <c r="H20" s="27"/>
      <c r="J20" s="66"/>
      <c r="K20" s="66"/>
      <c r="N20" s="36"/>
    </row>
    <row r="21" spans="1:14" s="28" customFormat="1" ht="12.75">
      <c r="A21" s="29"/>
      <c r="C21" s="195" t="s">
        <v>89</v>
      </c>
      <c r="D21" s="24"/>
      <c r="E21" s="198"/>
      <c r="F21" s="32">
        <v>108217090</v>
      </c>
      <c r="G21" s="43">
        <v>0</v>
      </c>
      <c r="H21" s="27"/>
      <c r="J21" s="50"/>
      <c r="K21" s="50"/>
      <c r="M21" s="30"/>
      <c r="N21" s="46" t="s">
        <v>34</v>
      </c>
    </row>
    <row r="22" spans="1:14" s="28" customFormat="1" ht="12.75">
      <c r="A22" s="29"/>
      <c r="C22" s="195" t="s">
        <v>276</v>
      </c>
      <c r="D22" s="24"/>
      <c r="E22" s="200"/>
      <c r="F22" s="32">
        <v>33438657</v>
      </c>
      <c r="G22" s="43">
        <v>0</v>
      </c>
      <c r="H22" s="27"/>
      <c r="J22" s="50"/>
      <c r="K22" s="50"/>
      <c r="M22" s="30"/>
      <c r="N22" s="46" t="s">
        <v>24</v>
      </c>
    </row>
    <row r="23" spans="1:8" s="28" customFormat="1" ht="1.5" customHeight="1" thickBot="1">
      <c r="A23" s="29"/>
      <c r="B23" s="30"/>
      <c r="C23" s="41"/>
      <c r="D23" s="24"/>
      <c r="E23" s="201"/>
      <c r="F23" s="44"/>
      <c r="G23" s="45"/>
      <c r="H23" s="27"/>
    </row>
    <row r="24" spans="1:14" ht="12.75">
      <c r="A24" s="29"/>
      <c r="B24" s="24"/>
      <c r="C24" s="41"/>
      <c r="D24" s="24"/>
      <c r="E24" s="200">
        <v>0</v>
      </c>
      <c r="F24" s="37">
        <f>SUM(F21:F23)</f>
        <v>141655747</v>
      </c>
      <c r="G24" s="38">
        <f>SUM(G21:G23)</f>
        <v>0</v>
      </c>
      <c r="I24" s="33"/>
      <c r="J24" s="33"/>
      <c r="K24" s="33"/>
      <c r="L24" s="33"/>
      <c r="M24" s="33"/>
      <c r="N24" s="33"/>
    </row>
    <row r="25" spans="1:14" ht="12.75">
      <c r="A25" s="29"/>
      <c r="B25" s="24"/>
      <c r="C25" s="41"/>
      <c r="D25" s="24"/>
      <c r="E25" s="200"/>
      <c r="F25" s="37"/>
      <c r="G25" s="38"/>
      <c r="I25" s="33"/>
      <c r="J25" s="33"/>
      <c r="K25" s="33"/>
      <c r="L25" s="33"/>
      <c r="M25" s="33"/>
      <c r="N25" s="33"/>
    </row>
    <row r="26" spans="1:14" ht="12.75">
      <c r="A26" s="29">
        <v>4</v>
      </c>
      <c r="B26" s="42" t="s">
        <v>22</v>
      </c>
      <c r="C26" s="195"/>
      <c r="D26" s="24"/>
      <c r="E26" s="202"/>
      <c r="F26" s="47"/>
      <c r="G26" s="48"/>
      <c r="I26" s="33"/>
      <c r="J26" s="67"/>
      <c r="K26" s="67"/>
      <c r="L26" s="33"/>
      <c r="M26" s="33"/>
      <c r="N26" s="33"/>
    </row>
    <row r="27" spans="1:14" ht="12.75">
      <c r="A27" s="49"/>
      <c r="B27" s="42"/>
      <c r="C27" s="31" t="s">
        <v>91</v>
      </c>
      <c r="D27" s="24"/>
      <c r="E27" s="202"/>
      <c r="F27" s="50">
        <v>37500</v>
      </c>
      <c r="G27" s="51">
        <f>'Funding 10-11'!M97</f>
        <v>75000</v>
      </c>
      <c r="I27" s="33"/>
      <c r="J27" s="33"/>
      <c r="K27" s="33"/>
      <c r="L27" s="33"/>
      <c r="M27" s="33"/>
      <c r="N27" s="33"/>
    </row>
    <row r="28" spans="1:14" ht="12.75">
      <c r="A28" s="49"/>
      <c r="B28" s="30"/>
      <c r="C28" s="31" t="s">
        <v>92</v>
      </c>
      <c r="D28" s="24"/>
      <c r="E28" s="202"/>
      <c r="F28" s="50">
        <v>3675000</v>
      </c>
      <c r="G28" s="51">
        <f>'Funding 10-11'!M98</f>
        <v>24500000</v>
      </c>
      <c r="I28" s="33"/>
      <c r="J28" s="33"/>
      <c r="K28" s="33"/>
      <c r="L28" s="33"/>
      <c r="M28" s="33"/>
      <c r="N28" s="33"/>
    </row>
    <row r="29" spans="1:14" ht="2.25" customHeight="1" thickBot="1">
      <c r="A29" s="29"/>
      <c r="B29" s="30"/>
      <c r="C29" s="41"/>
      <c r="D29" s="24"/>
      <c r="E29" s="203"/>
      <c r="F29" s="52"/>
      <c r="G29" s="53"/>
      <c r="I29" s="33"/>
      <c r="J29" s="33"/>
      <c r="K29" s="33"/>
      <c r="L29" s="33"/>
      <c r="M29" s="33"/>
      <c r="N29" s="33"/>
    </row>
    <row r="30" spans="1:14" ht="12.75" customHeight="1">
      <c r="A30" s="29"/>
      <c r="B30" s="30"/>
      <c r="C30" s="41"/>
      <c r="D30" s="24"/>
      <c r="E30" s="204">
        <v>0</v>
      </c>
      <c r="F30" s="47">
        <f>SUM(F27:F29)</f>
        <v>3712500</v>
      </c>
      <c r="G30" s="54">
        <f>SUM(G27:G29)</f>
        <v>24575000</v>
      </c>
      <c r="I30" s="33"/>
      <c r="J30" s="33"/>
      <c r="K30" s="33"/>
      <c r="L30" s="33"/>
      <c r="M30" s="33"/>
      <c r="N30" s="33"/>
    </row>
    <row r="31" spans="1:14" ht="12.75" customHeight="1">
      <c r="A31" s="29"/>
      <c r="B31" s="30"/>
      <c r="C31" s="41"/>
      <c r="D31" s="24"/>
      <c r="E31" s="217"/>
      <c r="F31" s="47"/>
      <c r="G31" s="48"/>
      <c r="I31" s="33"/>
      <c r="J31" s="33"/>
      <c r="K31" s="33"/>
      <c r="L31" s="33"/>
      <c r="M31" s="33"/>
      <c r="N31" s="33"/>
    </row>
    <row r="32" spans="1:14" ht="12.75" customHeight="1">
      <c r="A32" s="29">
        <v>5</v>
      </c>
      <c r="B32" s="42" t="s">
        <v>93</v>
      </c>
      <c r="C32" s="41"/>
      <c r="D32" s="24"/>
      <c r="E32" s="202"/>
      <c r="F32" s="47"/>
      <c r="G32" s="48"/>
      <c r="I32" s="33"/>
      <c r="J32" s="33"/>
      <c r="K32" s="33"/>
      <c r="L32" s="33"/>
      <c r="M32" s="33"/>
      <c r="N32" s="33"/>
    </row>
    <row r="33" spans="1:14" ht="12.75" customHeight="1">
      <c r="A33" s="29"/>
      <c r="B33" s="30"/>
      <c r="C33" s="31" t="s">
        <v>15</v>
      </c>
      <c r="D33" s="24"/>
      <c r="E33" s="202"/>
      <c r="F33" s="60"/>
      <c r="G33" s="61"/>
      <c r="I33" s="33"/>
      <c r="J33" s="33">
        <f>+'[1]JuneMedSum'!$I$17</f>
        <v>235354954</v>
      </c>
      <c r="K33" s="33">
        <f>+'[3]Hospitals'!$P$28</f>
        <v>261639509.50848967</v>
      </c>
      <c r="L33" s="33"/>
      <c r="M33" s="33"/>
      <c r="N33" s="33"/>
    </row>
    <row r="34" spans="1:14" ht="12.75" customHeight="1">
      <c r="A34" s="29"/>
      <c r="B34" s="30"/>
      <c r="C34" s="31" t="s">
        <v>94</v>
      </c>
      <c r="D34" s="24"/>
      <c r="E34" s="202"/>
      <c r="F34" s="60">
        <f>'Funding 10-11'!N114</f>
        <v>2528704.340934582</v>
      </c>
      <c r="G34" s="61">
        <f>'Funding 10-11'!M114</f>
        <v>7289433.095804503</v>
      </c>
      <c r="I34" s="33"/>
      <c r="J34" s="33" t="e">
        <f>+#REF!</f>
        <v>#REF!</v>
      </c>
      <c r="K34" s="33" t="e">
        <f>+#REF!</f>
        <v>#REF!</v>
      </c>
      <c r="L34" s="33"/>
      <c r="M34" s="33"/>
      <c r="N34" s="33"/>
    </row>
    <row r="35" spans="1:14" ht="12.75" customHeight="1">
      <c r="A35" s="29"/>
      <c r="B35" s="33"/>
      <c r="C35" s="195" t="s">
        <v>95</v>
      </c>
      <c r="D35" s="24"/>
      <c r="E35" s="202"/>
      <c r="F35" s="60">
        <f>'Funding 10-11'!N115</f>
        <v>6667949.594112383</v>
      </c>
      <c r="G35" s="61">
        <f>'Funding 10-11'!M115</f>
        <v>19221532.41312304</v>
      </c>
      <c r="I35" s="33"/>
      <c r="J35" s="65">
        <f>+'[1]June(2)'!$D$43+'[1]June(2)'!$D$44</f>
        <v>544216963</v>
      </c>
      <c r="K35" s="33">
        <f>+'[3]FY compr exp &amp; rev'!$E$9+'[3]FY compr exp &amp; rev'!$E$19</f>
        <v>571749941.8724114</v>
      </c>
      <c r="L35" s="33"/>
      <c r="M35" s="33"/>
      <c r="N35" s="33"/>
    </row>
    <row r="36" spans="1:14" ht="12.75" customHeight="1">
      <c r="A36" s="29"/>
      <c r="B36" s="30"/>
      <c r="C36" s="31" t="s">
        <v>277</v>
      </c>
      <c r="D36" s="24"/>
      <c r="E36" s="202"/>
      <c r="F36" s="60">
        <f>'Funding 10-11'!N116</f>
        <v>22477367.385598145</v>
      </c>
      <c r="G36" s="61">
        <f>'Funding 10-11'!M116</f>
        <v>63851622.429083586</v>
      </c>
      <c r="I36" s="33"/>
      <c r="J36" s="65"/>
      <c r="K36" s="33"/>
      <c r="L36" s="33"/>
      <c r="M36" s="33"/>
      <c r="N36" s="33"/>
    </row>
    <row r="37" spans="1:14" ht="12.75" customHeight="1">
      <c r="A37" s="29"/>
      <c r="B37" s="30"/>
      <c r="C37" s="31" t="s">
        <v>17</v>
      </c>
      <c r="D37" s="24"/>
      <c r="E37" s="202"/>
      <c r="F37" s="60">
        <f>'Funding 10-11'!N117</f>
        <v>2270335.2499499996</v>
      </c>
      <c r="G37" s="61">
        <f>'Funding 10-11'!M117</f>
        <v>6449358</v>
      </c>
      <c r="I37" s="33"/>
      <c r="J37" s="65"/>
      <c r="K37" s="33"/>
      <c r="L37" s="33"/>
      <c r="M37" s="33"/>
      <c r="N37" s="33"/>
    </row>
    <row r="38" spans="1:14" ht="12.75" customHeight="1">
      <c r="A38" s="29"/>
      <c r="B38" s="30"/>
      <c r="C38" s="31" t="s">
        <v>97</v>
      </c>
      <c r="D38" s="24"/>
      <c r="E38" s="202"/>
      <c r="F38" s="60">
        <f>'Funding 10-11'!N118</f>
        <v>602499.5186463816</v>
      </c>
      <c r="G38" s="61">
        <f>'Funding 10-11'!M118</f>
        <v>1711524.8026315793</v>
      </c>
      <c r="I38" s="33"/>
      <c r="J38" s="65"/>
      <c r="K38" s="33"/>
      <c r="L38" s="33"/>
      <c r="M38" s="33"/>
      <c r="N38" s="33"/>
    </row>
    <row r="39" spans="1:14" ht="12.75" customHeight="1">
      <c r="A39" s="29"/>
      <c r="B39" s="30"/>
      <c r="C39" s="31" t="s">
        <v>98</v>
      </c>
      <c r="D39" s="24"/>
      <c r="E39" s="202"/>
      <c r="F39" s="60">
        <f>'Funding 10-11'!N119</f>
        <v>1953793.6299177315</v>
      </c>
      <c r="G39" s="61">
        <f>'Funding 10-11'!M119</f>
        <v>5550155.897784907</v>
      </c>
      <c r="I39" s="33"/>
      <c r="J39" s="65"/>
      <c r="K39" s="33"/>
      <c r="L39" s="33"/>
      <c r="M39" s="33"/>
      <c r="N39" s="33"/>
    </row>
    <row r="40" spans="1:14" ht="12.75" customHeight="1">
      <c r="A40" s="29"/>
      <c r="B40" s="30"/>
      <c r="C40" s="31" t="s">
        <v>99</v>
      </c>
      <c r="D40" s="24"/>
      <c r="E40" s="202"/>
      <c r="F40" s="60">
        <f>'Funding 10-11'!N120</f>
        <v>713500.8151749999</v>
      </c>
      <c r="G40" s="61">
        <f>'Funding 10-11'!M120</f>
        <v>2026847</v>
      </c>
      <c r="I40" s="33"/>
      <c r="J40" s="65"/>
      <c r="K40" s="33"/>
      <c r="L40" s="33"/>
      <c r="M40" s="33"/>
      <c r="N40" s="33"/>
    </row>
    <row r="41" spans="1:14" ht="12.75" customHeight="1">
      <c r="A41" s="29"/>
      <c r="B41" s="30"/>
      <c r="C41" s="31" t="s">
        <v>100</v>
      </c>
      <c r="D41" s="24"/>
      <c r="E41" s="202"/>
      <c r="F41" s="60">
        <f>'Funding 10-11'!N121</f>
        <v>1510264.3751572496</v>
      </c>
      <c r="G41" s="61">
        <f>'Funding 10-11'!M121</f>
        <v>4290219.09</v>
      </c>
      <c r="I41" s="33"/>
      <c r="J41" s="65"/>
      <c r="K41" s="33"/>
      <c r="L41" s="33"/>
      <c r="M41" s="33"/>
      <c r="N41" s="33"/>
    </row>
    <row r="42" spans="1:14" ht="12.75" customHeight="1">
      <c r="A42" s="29"/>
      <c r="B42" s="30"/>
      <c r="C42" s="31" t="s">
        <v>101</v>
      </c>
      <c r="D42" s="24"/>
      <c r="E42" s="202"/>
      <c r="F42" s="60">
        <f>'Funding 10-11'!N122</f>
        <v>2816199.9999999995</v>
      </c>
      <c r="G42" s="61">
        <f>'Funding 10-11'!M122</f>
        <v>8000000</v>
      </c>
      <c r="I42" s="33"/>
      <c r="J42" s="65">
        <f>+'[1]June(2)'!$D$33</f>
        <v>113172520</v>
      </c>
      <c r="K42" s="33">
        <f>+'[3]FY compr exp &amp; rev'!$E$11</f>
        <v>128902684.31150006</v>
      </c>
      <c r="L42" s="33"/>
      <c r="M42" s="33"/>
      <c r="N42" s="33"/>
    </row>
    <row r="43" spans="1:14" ht="1.5" customHeight="1" thickBot="1">
      <c r="A43" s="29"/>
      <c r="B43" s="30"/>
      <c r="C43" s="31"/>
      <c r="D43" s="24"/>
      <c r="E43" s="203"/>
      <c r="F43" s="52"/>
      <c r="G43" s="53"/>
      <c r="I43" s="33"/>
      <c r="J43" s="33"/>
      <c r="K43" s="33"/>
      <c r="L43" s="33"/>
      <c r="M43" s="33"/>
      <c r="N43" s="33"/>
    </row>
    <row r="44" spans="1:14" ht="12.75" customHeight="1">
      <c r="A44" s="29"/>
      <c r="B44" s="30"/>
      <c r="C44" s="31"/>
      <c r="D44" s="24"/>
      <c r="E44" s="200">
        <v>0</v>
      </c>
      <c r="F44" s="64">
        <f>SUM(F33:F43)</f>
        <v>41540614.90949147</v>
      </c>
      <c r="G44" s="48">
        <f>SUM(G33:G43)</f>
        <v>118390692.72842763</v>
      </c>
      <c r="I44" s="33"/>
      <c r="J44" s="33" t="e">
        <f>SUM(J33:J43)</f>
        <v>#REF!</v>
      </c>
      <c r="K44" s="33" t="e">
        <f>SUM(K33:K43)</f>
        <v>#REF!</v>
      </c>
      <c r="L44" s="33"/>
      <c r="M44" s="33"/>
      <c r="N44" s="33"/>
    </row>
    <row r="45" spans="1:14" ht="12.75" customHeight="1">
      <c r="A45" s="29"/>
      <c r="B45" s="30"/>
      <c r="C45" s="31"/>
      <c r="D45" s="24"/>
      <c r="E45" s="202"/>
      <c r="F45" s="47"/>
      <c r="G45" s="48"/>
      <c r="I45" s="33"/>
      <c r="J45" s="33"/>
      <c r="K45" s="33"/>
      <c r="L45" s="33"/>
      <c r="M45" s="33"/>
      <c r="N45" s="33"/>
    </row>
    <row r="46" spans="1:14" ht="12.75" customHeight="1">
      <c r="A46" s="29">
        <v>6</v>
      </c>
      <c r="B46" s="42" t="s">
        <v>102</v>
      </c>
      <c r="C46" s="31"/>
      <c r="D46" s="24"/>
      <c r="E46" s="211">
        <v>9</v>
      </c>
      <c r="F46" s="208">
        <f>'Funding 10-11'!N143</f>
        <v>369484.5</v>
      </c>
      <c r="G46" s="209">
        <f>'Funding 10-11'!M143</f>
        <v>738969</v>
      </c>
      <c r="I46" s="33"/>
      <c r="J46" s="33"/>
      <c r="K46" s="33"/>
      <c r="L46" s="33"/>
      <c r="M46" s="33"/>
      <c r="N46" s="33"/>
    </row>
    <row r="47" spans="1:14" ht="12.75" customHeight="1">
      <c r="A47" s="29"/>
      <c r="B47" s="30"/>
      <c r="C47" s="31"/>
      <c r="D47" s="24"/>
      <c r="E47" s="202"/>
      <c r="F47" s="47"/>
      <c r="G47" s="48"/>
      <c r="I47" s="33"/>
      <c r="J47" s="33"/>
      <c r="K47" s="33"/>
      <c r="L47" s="33"/>
      <c r="M47" s="33"/>
      <c r="N47" s="33"/>
    </row>
    <row r="48" spans="1:14" ht="12.75" customHeight="1">
      <c r="A48" s="29">
        <v>7</v>
      </c>
      <c r="B48" s="42" t="s">
        <v>109</v>
      </c>
      <c r="C48" s="31"/>
      <c r="D48" s="24"/>
      <c r="E48" s="205">
        <v>16</v>
      </c>
      <c r="F48" s="47">
        <f>'Funding 10-11'!N167</f>
        <v>3912023</v>
      </c>
      <c r="G48" s="48">
        <f>'Funding 10-11'!M167</f>
        <v>8162796</v>
      </c>
      <c r="I48" s="33"/>
      <c r="J48" s="33"/>
      <c r="K48" s="33"/>
      <c r="L48" s="33"/>
      <c r="M48" s="33"/>
      <c r="N48" s="33"/>
    </row>
    <row r="49" spans="1:14" ht="12.75" customHeight="1">
      <c r="A49" s="29"/>
      <c r="B49" s="30"/>
      <c r="C49" s="31"/>
      <c r="D49" s="24"/>
      <c r="E49" s="202"/>
      <c r="F49" s="60"/>
      <c r="G49" s="61"/>
      <c r="I49" s="33"/>
      <c r="J49" s="33"/>
      <c r="K49" s="33"/>
      <c r="L49" s="33"/>
      <c r="M49" s="33"/>
      <c r="N49" s="33"/>
    </row>
    <row r="50" spans="1:14" ht="12.75" customHeight="1">
      <c r="A50" s="29">
        <v>8</v>
      </c>
      <c r="B50" s="42" t="s">
        <v>281</v>
      </c>
      <c r="C50" s="31"/>
      <c r="D50" s="24"/>
      <c r="E50" s="205">
        <v>17</v>
      </c>
      <c r="F50" s="47">
        <f>'Funding 10-11'!N189</f>
        <v>6308094.862774999</v>
      </c>
      <c r="G50" s="48">
        <f>'Funding 10-11'!M189</f>
        <v>16238038</v>
      </c>
      <c r="I50" s="33"/>
      <c r="J50" s="33"/>
      <c r="K50" s="33"/>
      <c r="L50" s="33"/>
      <c r="M50" s="33"/>
      <c r="N50" s="33"/>
    </row>
    <row r="51" spans="1:14" ht="12.75" customHeight="1">
      <c r="A51" s="29"/>
      <c r="B51" s="42"/>
      <c r="C51" s="41"/>
      <c r="D51" s="24"/>
      <c r="E51" s="205"/>
      <c r="F51" s="47"/>
      <c r="G51" s="48"/>
      <c r="I51" s="33"/>
      <c r="J51" s="33"/>
      <c r="K51" s="33"/>
      <c r="L51" s="33"/>
      <c r="M51" s="33"/>
      <c r="N51" s="33"/>
    </row>
    <row r="52" spans="1:14" ht="12.75" customHeight="1">
      <c r="A52" s="29">
        <v>9</v>
      </c>
      <c r="B52" s="42" t="s">
        <v>128</v>
      </c>
      <c r="C52" s="41"/>
      <c r="D52" s="24"/>
      <c r="E52" s="205">
        <v>1</v>
      </c>
      <c r="F52" s="47">
        <f>'Funding 10-11'!N205</f>
        <v>770766</v>
      </c>
      <c r="G52" s="48">
        <f>'Funding 10-11'!M205</f>
        <v>284914</v>
      </c>
      <c r="I52" s="33"/>
      <c r="J52" s="33"/>
      <c r="K52" s="33"/>
      <c r="L52" s="33"/>
      <c r="M52" s="33"/>
      <c r="N52" s="33"/>
    </row>
    <row r="53" spans="1:14" ht="12.75" customHeight="1">
      <c r="A53" s="29"/>
      <c r="B53" s="42"/>
      <c r="C53" s="41"/>
      <c r="D53" s="24"/>
      <c r="E53" s="205"/>
      <c r="F53" s="47"/>
      <c r="G53" s="48"/>
      <c r="I53" s="33"/>
      <c r="J53" s="33"/>
      <c r="K53" s="33"/>
      <c r="L53" s="33"/>
      <c r="M53" s="33"/>
      <c r="N53" s="33"/>
    </row>
    <row r="54" spans="1:14" ht="12.75" customHeight="1">
      <c r="A54" s="29">
        <v>10</v>
      </c>
      <c r="B54" s="42" t="s">
        <v>10</v>
      </c>
      <c r="C54" s="41"/>
      <c r="D54" s="24"/>
      <c r="E54" s="205"/>
      <c r="F54" s="47">
        <f>'Funding 10-11'!N220</f>
        <v>528037.4999999999</v>
      </c>
      <c r="G54" s="48">
        <f>'Funding 10-11'!M220</f>
        <v>1500000</v>
      </c>
      <c r="I54" s="33"/>
      <c r="J54" s="33"/>
      <c r="K54" s="33"/>
      <c r="L54" s="33"/>
      <c r="M54" s="33"/>
      <c r="N54" s="33"/>
    </row>
    <row r="55" spans="1:14" ht="12.75" customHeight="1">
      <c r="A55" s="29"/>
      <c r="B55" s="42"/>
      <c r="C55" s="41"/>
      <c r="D55" s="24"/>
      <c r="E55" s="205"/>
      <c r="F55" s="47"/>
      <c r="G55" s="48"/>
      <c r="I55" s="33"/>
      <c r="J55" s="33"/>
      <c r="K55" s="33"/>
      <c r="L55" s="33"/>
      <c r="M55" s="33"/>
      <c r="N55" s="33"/>
    </row>
    <row r="56" spans="1:14" ht="12.75" customHeight="1">
      <c r="A56" s="29">
        <v>11</v>
      </c>
      <c r="B56" s="42" t="s">
        <v>14</v>
      </c>
      <c r="C56" s="41"/>
      <c r="D56" s="24"/>
      <c r="E56" s="205"/>
      <c r="F56" s="47"/>
      <c r="G56" s="48"/>
      <c r="I56" s="33"/>
      <c r="J56" s="33"/>
      <c r="K56" s="33"/>
      <c r="L56" s="33"/>
      <c r="M56" s="33"/>
      <c r="N56" s="33"/>
    </row>
    <row r="57" spans="1:14" ht="12.75" customHeight="1">
      <c r="A57" s="29"/>
      <c r="B57" s="42"/>
      <c r="C57" s="31" t="s">
        <v>289</v>
      </c>
      <c r="D57" s="24"/>
      <c r="E57" s="205"/>
      <c r="F57" s="60">
        <f>'Funding 10-11'!N231</f>
        <v>317559.9923749999</v>
      </c>
      <c r="G57" s="61">
        <f>'Funding 10-11'!M231</f>
        <v>902095</v>
      </c>
      <c r="I57" s="33"/>
      <c r="J57" s="33"/>
      <c r="K57" s="33"/>
      <c r="L57" s="33"/>
      <c r="M57" s="33"/>
      <c r="N57" s="33"/>
    </row>
    <row r="58" spans="1:14" ht="12.75" customHeight="1">
      <c r="A58" s="29"/>
      <c r="B58" s="42"/>
      <c r="C58" s="31" t="s">
        <v>290</v>
      </c>
      <c r="D58" s="24"/>
      <c r="E58" s="205"/>
      <c r="F58" s="60">
        <f>'Funding 10-11'!N232</f>
        <v>592040.9253749999</v>
      </c>
      <c r="G58" s="61">
        <f>'Funding 10-11'!M232</f>
        <v>1681815</v>
      </c>
      <c r="I58" s="33"/>
      <c r="J58" s="33"/>
      <c r="K58" s="33"/>
      <c r="L58" s="33"/>
      <c r="M58" s="33"/>
      <c r="N58" s="33"/>
    </row>
    <row r="59" spans="1:14" ht="12.75" customHeight="1">
      <c r="A59" s="29"/>
      <c r="B59" s="42"/>
      <c r="C59" s="31" t="s">
        <v>291</v>
      </c>
      <c r="D59" s="24"/>
      <c r="E59" s="205"/>
      <c r="F59" s="60">
        <f>'Funding 10-11'!N233</f>
        <v>349822.73159999994</v>
      </c>
      <c r="G59" s="61">
        <f>'Funding 10-11'!M233</f>
        <v>993744</v>
      </c>
      <c r="I59" s="33"/>
      <c r="J59" s="33"/>
      <c r="K59" s="33"/>
      <c r="L59" s="33"/>
      <c r="M59" s="33"/>
      <c r="N59" s="33"/>
    </row>
    <row r="60" spans="1:14" ht="2.25" customHeight="1" thickBot="1">
      <c r="A60" s="29"/>
      <c r="B60" s="42"/>
      <c r="C60" s="31"/>
      <c r="D60" s="24"/>
      <c r="E60" s="210"/>
      <c r="F60" s="52"/>
      <c r="G60" s="53"/>
      <c r="I60" s="33"/>
      <c r="J60" s="33"/>
      <c r="K60" s="33"/>
      <c r="L60" s="33"/>
      <c r="M60" s="33"/>
      <c r="N60" s="33"/>
    </row>
    <row r="61" spans="1:14" ht="18.75" customHeight="1">
      <c r="A61" s="69"/>
      <c r="B61" s="68"/>
      <c r="C61" s="70"/>
      <c r="D61" s="214"/>
      <c r="E61" s="71">
        <f>SUM(E57:E59)</f>
        <v>0</v>
      </c>
      <c r="F61" s="71">
        <f>SUM(F57:F59)</f>
        <v>1259423.6493499996</v>
      </c>
      <c r="G61" s="72">
        <f>SUM(G57:G59)</f>
        <v>3577654</v>
      </c>
      <c r="I61" s="33"/>
      <c r="J61" s="33"/>
      <c r="K61" s="33"/>
      <c r="L61" s="33"/>
      <c r="M61" s="33"/>
      <c r="N61" s="33"/>
    </row>
    <row r="62" spans="1:14" ht="12.75" customHeight="1">
      <c r="A62" s="218"/>
      <c r="B62" s="68"/>
      <c r="C62" s="68"/>
      <c r="D62" s="24"/>
      <c r="E62" s="71"/>
      <c r="F62" s="71"/>
      <c r="G62" s="71"/>
      <c r="I62" s="33"/>
      <c r="J62" s="33"/>
      <c r="K62" s="33"/>
      <c r="L62" s="33"/>
      <c r="M62" s="33"/>
      <c r="N62" s="33"/>
    </row>
    <row r="63" spans="1:14" ht="18.75" customHeight="1">
      <c r="A63" s="29">
        <v>12</v>
      </c>
      <c r="B63" s="42" t="s">
        <v>282</v>
      </c>
      <c r="C63" s="41"/>
      <c r="D63" s="24"/>
      <c r="E63" s="205"/>
      <c r="F63" s="47"/>
      <c r="G63" s="48"/>
      <c r="I63" s="33"/>
      <c r="J63" s="33"/>
      <c r="K63" s="33"/>
      <c r="L63" s="33"/>
      <c r="M63" s="33"/>
      <c r="N63" s="33"/>
    </row>
    <row r="64" spans="1:14" ht="12.75" customHeight="1">
      <c r="A64" s="29"/>
      <c r="B64" s="30"/>
      <c r="C64" s="31" t="s">
        <v>138</v>
      </c>
      <c r="D64" s="24"/>
      <c r="E64" s="202"/>
      <c r="F64" s="60">
        <f>'Funding 10-11'!N246</f>
        <v>158968.85759999996</v>
      </c>
      <c r="G64" s="61">
        <f>'Funding 10-11'!M246</f>
        <v>451584</v>
      </c>
      <c r="I64" s="33"/>
      <c r="J64" s="33"/>
      <c r="K64" s="33"/>
      <c r="L64" s="33"/>
      <c r="M64" s="33"/>
      <c r="N64" s="33"/>
    </row>
    <row r="65" spans="2:14" ht="12.75" customHeight="1">
      <c r="B65" s="30"/>
      <c r="C65" s="31" t="s">
        <v>139</v>
      </c>
      <c r="D65" s="24"/>
      <c r="E65" s="202"/>
      <c r="F65" s="60">
        <f>'Funding 10-11'!N247</f>
        <v>930343.6388499998</v>
      </c>
      <c r="G65" s="61">
        <f>'Funding 10-11'!M247</f>
        <v>2642834</v>
      </c>
      <c r="I65" s="33"/>
      <c r="J65" s="33"/>
      <c r="K65" s="33"/>
      <c r="L65" s="33"/>
      <c r="M65" s="33"/>
      <c r="N65" s="33"/>
    </row>
    <row r="66" spans="2:14" ht="12.75" customHeight="1">
      <c r="B66" s="30"/>
      <c r="C66" s="31" t="s">
        <v>140</v>
      </c>
      <c r="D66" s="24"/>
      <c r="E66" s="202"/>
      <c r="F66" s="60">
        <f>'Funding 10-11'!N248</f>
        <v>371738.3999999999</v>
      </c>
      <c r="G66" s="61">
        <f>'Funding 10-11'!M248</f>
        <v>1056000</v>
      </c>
      <c r="I66" s="33"/>
      <c r="J66" s="33"/>
      <c r="K66" s="33"/>
      <c r="L66" s="33"/>
      <c r="M66" s="33"/>
      <c r="N66" s="33"/>
    </row>
    <row r="67" spans="2:14" ht="12.75" customHeight="1">
      <c r="B67" s="30"/>
      <c r="C67" s="31" t="s">
        <v>141</v>
      </c>
      <c r="D67" s="24"/>
      <c r="E67" s="202"/>
      <c r="F67" s="60">
        <f>'Funding 10-11'!N249</f>
        <v>981297.1454499998</v>
      </c>
      <c r="G67" s="61">
        <f>'Funding 10-11'!M249</f>
        <v>2787578</v>
      </c>
      <c r="I67" s="33"/>
      <c r="J67" s="33"/>
      <c r="K67" s="33"/>
      <c r="L67" s="33"/>
      <c r="M67" s="33"/>
      <c r="N67" s="33"/>
    </row>
    <row r="68" spans="2:14" ht="12.75" customHeight="1">
      <c r="B68" s="30"/>
      <c r="C68" s="31" t="s">
        <v>142</v>
      </c>
      <c r="D68" s="24"/>
      <c r="E68" s="202"/>
      <c r="F68" s="60">
        <f>'Funding 10-11'!N250</f>
        <v>62097.209999999985</v>
      </c>
      <c r="G68" s="61">
        <f>'Funding 10-11'!M250</f>
        <v>176400</v>
      </c>
      <c r="I68" s="33"/>
      <c r="J68" s="33"/>
      <c r="K68" s="33"/>
      <c r="L68" s="33"/>
      <c r="M68" s="33"/>
      <c r="N68" s="33"/>
    </row>
    <row r="69" spans="2:14" ht="12.75" customHeight="1">
      <c r="B69" s="30"/>
      <c r="C69" s="31" t="s">
        <v>143</v>
      </c>
      <c r="D69" s="24"/>
      <c r="E69" s="202"/>
      <c r="F69" s="60">
        <f>'Funding 10-11'!N251</f>
        <v>28161.999999999993</v>
      </c>
      <c r="G69" s="61">
        <f>'Funding 10-11'!M251</f>
        <v>80000</v>
      </c>
      <c r="I69" s="33"/>
      <c r="J69" s="33"/>
      <c r="K69" s="33"/>
      <c r="L69" s="33"/>
      <c r="M69" s="33"/>
      <c r="N69" s="33"/>
    </row>
    <row r="70" spans="2:14" ht="12.75" customHeight="1">
      <c r="B70" s="30"/>
      <c r="C70" s="31" t="s">
        <v>144</v>
      </c>
      <c r="D70" s="24"/>
      <c r="E70" s="202"/>
      <c r="F70" s="60">
        <f>'Funding 10-11'!N252</f>
        <v>5998996.018799999</v>
      </c>
      <c r="G70" s="61">
        <f>'Funding 10-11'!M252</f>
        <v>17041392</v>
      </c>
      <c r="I70" s="33"/>
      <c r="J70" s="33"/>
      <c r="K70" s="33"/>
      <c r="L70" s="33"/>
      <c r="M70" s="33"/>
      <c r="N70" s="33"/>
    </row>
    <row r="71" spans="1:14" ht="2.25" customHeight="1" thickBot="1">
      <c r="A71" s="29"/>
      <c r="B71" s="30"/>
      <c r="C71" s="31"/>
      <c r="D71" s="24"/>
      <c r="E71" s="203"/>
      <c r="F71" s="62"/>
      <c r="G71" s="63"/>
      <c r="I71" s="33"/>
      <c r="J71" s="33"/>
      <c r="K71" s="33"/>
      <c r="L71" s="33"/>
      <c r="M71" s="33"/>
      <c r="N71" s="33"/>
    </row>
    <row r="72" spans="1:14" ht="12.75" customHeight="1">
      <c r="A72" s="29"/>
      <c r="B72" s="30"/>
      <c r="C72" s="31"/>
      <c r="D72" s="214"/>
      <c r="E72" s="47">
        <f>SUM(E64:E71)</f>
        <v>0</v>
      </c>
      <c r="F72" s="47">
        <f>SUM(F64:F71)</f>
        <v>8531603.270699998</v>
      </c>
      <c r="G72" s="54">
        <f>SUM(G64:G71)</f>
        <v>24235788</v>
      </c>
      <c r="I72" s="33"/>
      <c r="J72" s="33"/>
      <c r="K72" s="33"/>
      <c r="L72" s="33"/>
      <c r="M72" s="33"/>
      <c r="N72" s="33"/>
    </row>
    <row r="73" spans="1:14" ht="12.75" customHeight="1">
      <c r="A73" s="29"/>
      <c r="B73" s="30"/>
      <c r="C73" s="31"/>
      <c r="D73" s="24"/>
      <c r="E73" s="200"/>
      <c r="F73" s="47"/>
      <c r="G73" s="48"/>
      <c r="I73" s="33"/>
      <c r="J73" s="33"/>
      <c r="K73" s="33"/>
      <c r="L73" s="33"/>
      <c r="M73" s="33"/>
      <c r="N73" s="33"/>
    </row>
    <row r="74" spans="1:14" ht="12.75" customHeight="1">
      <c r="A74" s="29">
        <v>13</v>
      </c>
      <c r="B74" s="42" t="s">
        <v>283</v>
      </c>
      <c r="C74" s="31"/>
      <c r="D74" s="24"/>
      <c r="E74" s="200"/>
      <c r="F74" s="47">
        <f>'Funding 10-11'!N267</f>
        <v>106508.68399999998</v>
      </c>
      <c r="G74" s="48">
        <f>'Funding 10-11'!M267</f>
        <v>302560</v>
      </c>
      <c r="I74" s="33"/>
      <c r="J74" s="33"/>
      <c r="K74" s="33"/>
      <c r="L74" s="33"/>
      <c r="M74" s="33"/>
      <c r="N74" s="33"/>
    </row>
    <row r="75" spans="1:14" ht="12.75" customHeight="1">
      <c r="A75" s="29"/>
      <c r="B75" s="30"/>
      <c r="C75" s="31"/>
      <c r="D75" s="24"/>
      <c r="E75" s="200"/>
      <c r="F75" s="47"/>
      <c r="G75" s="48"/>
      <c r="I75" s="33"/>
      <c r="J75" s="33"/>
      <c r="K75" s="33"/>
      <c r="L75" s="33"/>
      <c r="M75" s="33"/>
      <c r="N75" s="33"/>
    </row>
    <row r="76" spans="1:14" ht="12.75" customHeight="1">
      <c r="A76" s="29">
        <v>14</v>
      </c>
      <c r="B76" s="42" t="s">
        <v>146</v>
      </c>
      <c r="C76" s="31"/>
      <c r="D76" s="24"/>
      <c r="E76" s="200"/>
      <c r="F76" s="47">
        <f>'Funding 10-11'!N281</f>
        <v>350000</v>
      </c>
      <c r="G76" s="48">
        <f>'Funding 10-11'!M281</f>
        <v>700000</v>
      </c>
      <c r="I76" s="33"/>
      <c r="J76" s="33"/>
      <c r="K76" s="33"/>
      <c r="L76" s="33"/>
      <c r="M76" s="33"/>
      <c r="N76" s="33"/>
    </row>
    <row r="77" spans="1:14" ht="12.75" customHeight="1">
      <c r="A77" s="29"/>
      <c r="B77" s="30"/>
      <c r="C77" s="31"/>
      <c r="D77" s="24"/>
      <c r="E77" s="202"/>
      <c r="F77" s="47"/>
      <c r="G77" s="48"/>
      <c r="I77" s="33"/>
      <c r="J77" s="33"/>
      <c r="K77" s="33"/>
      <c r="L77" s="33"/>
      <c r="M77" s="33"/>
      <c r="N77" s="33"/>
    </row>
    <row r="78" spans="1:14" ht="12.75" customHeight="1">
      <c r="A78" s="29">
        <v>15</v>
      </c>
      <c r="B78" s="42" t="s">
        <v>278</v>
      </c>
      <c r="C78" s="31"/>
      <c r="D78" s="24"/>
      <c r="E78" s="205">
        <v>8</v>
      </c>
      <c r="F78" s="47">
        <f>'Funding 10-11'!N297</f>
        <v>320726</v>
      </c>
      <c r="G78" s="48">
        <f>'Funding 10-11'!M297</f>
        <v>641452</v>
      </c>
      <c r="I78" s="33"/>
      <c r="J78" s="33"/>
      <c r="K78" s="33"/>
      <c r="L78" s="33"/>
      <c r="M78" s="33"/>
      <c r="N78" s="33"/>
    </row>
    <row r="79" spans="1:14" ht="12.75" customHeight="1">
      <c r="A79" s="29"/>
      <c r="B79" s="42"/>
      <c r="C79" s="31"/>
      <c r="D79" s="24"/>
      <c r="E79" s="202"/>
      <c r="F79" s="47"/>
      <c r="G79" s="48"/>
      <c r="I79" s="33"/>
      <c r="J79" s="33"/>
      <c r="K79" s="33"/>
      <c r="L79" s="33"/>
      <c r="M79" s="33"/>
      <c r="N79" s="33"/>
    </row>
    <row r="80" spans="1:14" ht="12.75" customHeight="1">
      <c r="A80" s="29">
        <v>16</v>
      </c>
      <c r="B80" s="42" t="s">
        <v>284</v>
      </c>
      <c r="C80" s="31"/>
      <c r="D80" s="24"/>
      <c r="E80" s="202"/>
      <c r="F80" s="47">
        <f>'Funding 10-11'!N321</f>
        <v>100930.5</v>
      </c>
      <c r="G80" s="48">
        <f>'Funding 10-11'!M321</f>
        <v>201861</v>
      </c>
      <c r="I80" s="33"/>
      <c r="J80" s="33"/>
      <c r="K80" s="33"/>
      <c r="L80" s="33"/>
      <c r="M80" s="33"/>
      <c r="N80" s="33"/>
    </row>
    <row r="81" spans="1:14" ht="12.75" customHeight="1">
      <c r="A81" s="29"/>
      <c r="B81" s="42"/>
      <c r="C81" s="31"/>
      <c r="D81" s="24"/>
      <c r="E81" s="202"/>
      <c r="F81" s="47"/>
      <c r="G81" s="48"/>
      <c r="I81" s="33"/>
      <c r="J81" s="33"/>
      <c r="K81" s="33"/>
      <c r="L81" s="33"/>
      <c r="M81" s="33"/>
      <c r="N81" s="33"/>
    </row>
    <row r="82" spans="1:14" ht="12.75" customHeight="1">
      <c r="A82" s="29">
        <v>17</v>
      </c>
      <c r="B82" s="42" t="s">
        <v>213</v>
      </c>
      <c r="C82" s="31"/>
      <c r="D82" s="24"/>
      <c r="E82" s="202"/>
      <c r="F82" s="47">
        <f>'Funding 10-11'!N335</f>
        <v>176012.49999999997</v>
      </c>
      <c r="G82" s="48">
        <f>'Funding 10-11'!M335</f>
        <v>500000</v>
      </c>
      <c r="I82" s="33"/>
      <c r="J82" s="33"/>
      <c r="K82" s="33"/>
      <c r="L82" s="33"/>
      <c r="M82" s="33"/>
      <c r="N82" s="33"/>
    </row>
    <row r="83" spans="1:14" ht="12.75" customHeight="1">
      <c r="A83" s="29"/>
      <c r="B83" s="42"/>
      <c r="C83" s="31"/>
      <c r="D83" s="24"/>
      <c r="E83" s="202"/>
      <c r="F83" s="47"/>
      <c r="G83" s="48"/>
      <c r="I83" s="33"/>
      <c r="J83" s="33"/>
      <c r="K83" s="33"/>
      <c r="L83" s="33"/>
      <c r="M83" s="33"/>
      <c r="N83" s="33"/>
    </row>
    <row r="84" spans="1:14" ht="12.75" customHeight="1">
      <c r="A84" s="29">
        <v>18</v>
      </c>
      <c r="B84" s="42" t="s">
        <v>157</v>
      </c>
      <c r="C84" s="31"/>
      <c r="D84" s="24"/>
      <c r="E84" s="202"/>
      <c r="F84" s="47">
        <f>'Funding 10-11'!N349</f>
        <v>66004.68749999999</v>
      </c>
      <c r="G84" s="48">
        <f>'Funding 10-11'!M349</f>
        <v>187500</v>
      </c>
      <c r="I84" s="33"/>
      <c r="J84" s="33"/>
      <c r="K84" s="33"/>
      <c r="L84" s="33"/>
      <c r="M84" s="33"/>
      <c r="N84" s="33"/>
    </row>
    <row r="85" spans="1:14" ht="12.75" customHeight="1">
      <c r="A85" s="29"/>
      <c r="B85" s="42"/>
      <c r="C85" s="31"/>
      <c r="D85" s="24"/>
      <c r="E85" s="202"/>
      <c r="F85" s="47"/>
      <c r="G85" s="48"/>
      <c r="I85" s="33"/>
      <c r="J85" s="33"/>
      <c r="K85" s="33"/>
      <c r="L85" s="33"/>
      <c r="M85" s="33"/>
      <c r="N85" s="33"/>
    </row>
    <row r="86" spans="1:14" ht="12.75" customHeight="1">
      <c r="A86" s="29">
        <v>19</v>
      </c>
      <c r="B86" s="42" t="s">
        <v>285</v>
      </c>
      <c r="C86" s="31"/>
      <c r="D86" s="24"/>
      <c r="E86" s="202"/>
      <c r="F86" s="47"/>
      <c r="G86" s="48"/>
      <c r="I86" s="33"/>
      <c r="J86" s="33"/>
      <c r="K86" s="33"/>
      <c r="L86" s="33"/>
      <c r="M86" s="33"/>
      <c r="N86" s="33"/>
    </row>
    <row r="87" spans="1:14" ht="12.75" customHeight="1">
      <c r="A87" s="29"/>
      <c r="B87" s="42"/>
      <c r="C87" s="31" t="s">
        <v>279</v>
      </c>
      <c r="D87" s="24"/>
      <c r="E87" s="202"/>
      <c r="F87" s="60">
        <f>'Funding 10-11'!N361</f>
        <v>444701.2136499999</v>
      </c>
      <c r="G87" s="61">
        <f>'Funding 10-11'!M361</f>
        <v>1263266</v>
      </c>
      <c r="I87" s="33"/>
      <c r="J87" s="33"/>
      <c r="K87" s="33"/>
      <c r="L87" s="33"/>
      <c r="M87" s="33"/>
      <c r="N87" s="33"/>
    </row>
    <row r="88" spans="1:14" ht="12.75" customHeight="1">
      <c r="A88" s="29"/>
      <c r="B88" s="42"/>
      <c r="C88" s="31" t="s">
        <v>280</v>
      </c>
      <c r="D88" s="24"/>
      <c r="E88" s="202"/>
      <c r="F88" s="60">
        <f>'Funding 10-11'!N362</f>
        <v>158411.24999999997</v>
      </c>
      <c r="G88" s="61">
        <f>'Funding 10-11'!M362</f>
        <v>450000</v>
      </c>
      <c r="I88" s="33"/>
      <c r="J88" s="33"/>
      <c r="K88" s="33"/>
      <c r="L88" s="33"/>
      <c r="M88" s="33"/>
      <c r="N88" s="33"/>
    </row>
    <row r="89" spans="1:14" ht="12.75" customHeight="1">
      <c r="A89" s="29"/>
      <c r="B89" s="42"/>
      <c r="C89" s="31" t="s">
        <v>255</v>
      </c>
      <c r="D89" s="24"/>
      <c r="E89" s="202"/>
      <c r="F89" s="60">
        <f>'Funding 10-11'!N363</f>
        <v>2073768.0101999994</v>
      </c>
      <c r="G89" s="61">
        <f>'Funding 10-11'!M363</f>
        <v>5890968</v>
      </c>
      <c r="I89" s="33"/>
      <c r="J89" s="33"/>
      <c r="K89" s="33"/>
      <c r="L89" s="33"/>
      <c r="M89" s="33"/>
      <c r="N89" s="33"/>
    </row>
    <row r="90" spans="1:14" ht="3" customHeight="1" thickBot="1">
      <c r="A90" s="29"/>
      <c r="B90" s="42"/>
      <c r="C90" s="31"/>
      <c r="D90" s="24"/>
      <c r="E90" s="203"/>
      <c r="F90" s="52"/>
      <c r="G90" s="53"/>
      <c r="I90" s="33"/>
      <c r="J90" s="33"/>
      <c r="K90" s="33"/>
      <c r="L90" s="33"/>
      <c r="M90" s="33"/>
      <c r="N90" s="33"/>
    </row>
    <row r="91" spans="1:14" ht="12.75" customHeight="1">
      <c r="A91" s="29"/>
      <c r="B91" s="30"/>
      <c r="C91" s="31"/>
      <c r="D91" s="24"/>
      <c r="E91" s="200">
        <v>0</v>
      </c>
      <c r="F91" s="47">
        <f>SUM(F87:F89)</f>
        <v>2676880.4738499993</v>
      </c>
      <c r="G91" s="48">
        <f>SUM(G87:G90)</f>
        <v>7604234</v>
      </c>
      <c r="I91" s="33"/>
      <c r="J91" s="33"/>
      <c r="K91" s="33"/>
      <c r="L91" s="33"/>
      <c r="M91" s="33"/>
      <c r="N91" s="33"/>
    </row>
    <row r="92" spans="1:14" ht="12.75" customHeight="1">
      <c r="A92" s="29"/>
      <c r="B92" s="30"/>
      <c r="C92" s="31"/>
      <c r="D92" s="24"/>
      <c r="E92" s="202"/>
      <c r="F92" s="47"/>
      <c r="G92" s="48"/>
      <c r="I92" s="33"/>
      <c r="J92" s="33"/>
      <c r="K92" s="33"/>
      <c r="L92" s="33"/>
      <c r="M92" s="33"/>
      <c r="N92" s="33"/>
    </row>
    <row r="93" spans="1:14" ht="12.75" customHeight="1">
      <c r="A93" s="29">
        <v>20</v>
      </c>
      <c r="B93" s="42" t="s">
        <v>161</v>
      </c>
      <c r="C93" s="31"/>
      <c r="D93" s="24"/>
      <c r="E93" s="202"/>
      <c r="F93" s="47">
        <f>'Funding 10-11'!N378</f>
        <v>481256</v>
      </c>
      <c r="G93" s="48">
        <f>'Funding 10-11'!M378</f>
        <v>962512</v>
      </c>
      <c r="I93" s="33"/>
      <c r="J93" s="33"/>
      <c r="K93" s="33"/>
      <c r="L93" s="33"/>
      <c r="M93" s="33"/>
      <c r="N93" s="33"/>
    </row>
    <row r="94" spans="1:14" ht="12.75" customHeight="1">
      <c r="A94" s="29"/>
      <c r="B94" s="30"/>
      <c r="C94" s="31"/>
      <c r="D94" s="24"/>
      <c r="E94" s="202"/>
      <c r="F94" s="47"/>
      <c r="G94" s="48"/>
      <c r="I94" s="33"/>
      <c r="J94" s="33"/>
      <c r="K94" s="33"/>
      <c r="L94" s="33"/>
      <c r="M94" s="33"/>
      <c r="N94" s="33"/>
    </row>
    <row r="95" spans="1:14" ht="12.75" customHeight="1">
      <c r="A95" s="29">
        <v>21</v>
      </c>
      <c r="B95" s="42" t="s">
        <v>286</v>
      </c>
      <c r="C95" s="31"/>
      <c r="D95" s="24"/>
      <c r="E95" s="202"/>
      <c r="F95" s="47">
        <f>'Funding 10-11'!N396</f>
        <v>2000000</v>
      </c>
      <c r="G95" s="48">
        <f>'Funding 10-11'!M392</f>
        <v>8000000</v>
      </c>
      <c r="I95" s="33"/>
      <c r="J95" s="33"/>
      <c r="K95" s="33"/>
      <c r="L95" s="33"/>
      <c r="M95" s="33"/>
      <c r="N95" s="33"/>
    </row>
    <row r="96" spans="1:14" ht="12.75" customHeight="1">
      <c r="A96" s="29"/>
      <c r="B96" s="42"/>
      <c r="C96" s="31"/>
      <c r="D96" s="24"/>
      <c r="E96" s="202"/>
      <c r="F96" s="47"/>
      <c r="G96" s="48"/>
      <c r="I96" s="33"/>
      <c r="J96" s="33"/>
      <c r="K96" s="33"/>
      <c r="L96" s="33"/>
      <c r="M96" s="33"/>
      <c r="N96" s="33"/>
    </row>
    <row r="97" spans="1:14" ht="12.75" customHeight="1">
      <c r="A97" s="29">
        <v>22</v>
      </c>
      <c r="B97" s="42" t="s">
        <v>165</v>
      </c>
      <c r="C97" s="31"/>
      <c r="D97" s="24"/>
      <c r="E97" s="205">
        <v>1</v>
      </c>
      <c r="F97" s="47">
        <f>'Funding 10-11'!N406</f>
        <v>1207431.8012499998</v>
      </c>
      <c r="G97" s="48">
        <f>'Funding 10-11'!M406</f>
        <v>3399800</v>
      </c>
      <c r="I97" s="33"/>
      <c r="J97" s="33"/>
      <c r="K97" s="33"/>
      <c r="L97" s="33"/>
      <c r="M97" s="33"/>
      <c r="N97" s="33"/>
    </row>
    <row r="98" spans="1:14" ht="12.75" customHeight="1">
      <c r="A98" s="29"/>
      <c r="B98" s="42"/>
      <c r="C98" s="31"/>
      <c r="D98" s="24"/>
      <c r="E98" s="202"/>
      <c r="F98" s="47"/>
      <c r="G98" s="48"/>
      <c r="I98" s="33"/>
      <c r="J98" s="33"/>
      <c r="K98" s="33"/>
      <c r="L98" s="33"/>
      <c r="M98" s="33"/>
      <c r="N98" s="33"/>
    </row>
    <row r="99" spans="1:14" ht="12.75" customHeight="1">
      <c r="A99" s="29">
        <v>23</v>
      </c>
      <c r="B99" s="42" t="s">
        <v>168</v>
      </c>
      <c r="C99" s="31"/>
      <c r="D99" s="24"/>
      <c r="E99" s="205">
        <v>1</v>
      </c>
      <c r="F99" s="47">
        <f>'Funding 10-11'!N420</f>
        <v>57811.5</v>
      </c>
      <c r="G99" s="48">
        <f>'Funding 10-11'!M420</f>
        <v>115623</v>
      </c>
      <c r="I99" s="33"/>
      <c r="J99" s="33"/>
      <c r="K99" s="33"/>
      <c r="L99" s="33"/>
      <c r="M99" s="33"/>
      <c r="N99" s="33"/>
    </row>
    <row r="100" spans="1:14" ht="12.75" customHeight="1">
      <c r="A100" s="29"/>
      <c r="B100" s="42"/>
      <c r="C100" s="31"/>
      <c r="D100" s="24"/>
      <c r="E100" s="202"/>
      <c r="F100" s="47"/>
      <c r="G100" s="48"/>
      <c r="I100" s="33"/>
      <c r="J100" s="33"/>
      <c r="K100" s="33"/>
      <c r="L100" s="33"/>
      <c r="M100" s="33"/>
      <c r="N100" s="33"/>
    </row>
    <row r="101" spans="1:14" ht="12.75" customHeight="1">
      <c r="A101" s="29">
        <v>24</v>
      </c>
      <c r="B101" s="42" t="s">
        <v>170</v>
      </c>
      <c r="C101" s="31"/>
      <c r="D101" s="24"/>
      <c r="E101" s="205">
        <v>1</v>
      </c>
      <c r="F101" s="47">
        <f>'Funding 10-11'!N433</f>
        <v>108765.5</v>
      </c>
      <c r="G101" s="48">
        <f>'Funding 10-11'!M433</f>
        <v>217531</v>
      </c>
      <c r="I101" s="33"/>
      <c r="J101" s="33"/>
      <c r="K101" s="33"/>
      <c r="L101" s="33"/>
      <c r="M101" s="33"/>
      <c r="N101" s="33"/>
    </row>
    <row r="102" spans="1:14" ht="12.75" customHeight="1">
      <c r="A102" s="29"/>
      <c r="B102" s="42"/>
      <c r="C102" s="31"/>
      <c r="D102" s="24"/>
      <c r="E102" s="202"/>
      <c r="F102" s="47"/>
      <c r="G102" s="48"/>
      <c r="I102" s="33"/>
      <c r="J102" s="33"/>
      <c r="K102" s="33"/>
      <c r="L102" s="33"/>
      <c r="M102" s="33"/>
      <c r="N102" s="33"/>
    </row>
    <row r="103" spans="1:14" ht="12.75" customHeight="1">
      <c r="A103" s="29">
        <v>25</v>
      </c>
      <c r="B103" s="42" t="s">
        <v>172</v>
      </c>
      <c r="C103" s="31"/>
      <c r="D103" s="24"/>
      <c r="E103" s="205">
        <v>6</v>
      </c>
      <c r="F103" s="47">
        <f>'Funding 10-11'!N451</f>
        <v>240179.5</v>
      </c>
      <c r="G103" s="48">
        <f>'Funding 10-11'!M447</f>
        <v>480359</v>
      </c>
      <c r="I103" s="33"/>
      <c r="J103" s="33"/>
      <c r="K103" s="33"/>
      <c r="L103" s="33"/>
      <c r="M103" s="33"/>
      <c r="N103" s="33"/>
    </row>
    <row r="104" spans="1:14" ht="12.75" customHeight="1">
      <c r="A104" s="29"/>
      <c r="B104" s="42"/>
      <c r="C104" s="31"/>
      <c r="D104" s="24"/>
      <c r="E104" s="205"/>
      <c r="F104" s="47"/>
      <c r="G104" s="48"/>
      <c r="I104" s="33"/>
      <c r="J104" s="33"/>
      <c r="K104" s="33"/>
      <c r="L104" s="33"/>
      <c r="M104" s="33"/>
      <c r="N104" s="33"/>
    </row>
    <row r="105" spans="1:14" ht="12.75" customHeight="1">
      <c r="A105" s="29">
        <v>26</v>
      </c>
      <c r="B105" s="42" t="s">
        <v>287</v>
      </c>
      <c r="C105" s="31"/>
      <c r="D105" s="24"/>
      <c r="E105" s="205"/>
      <c r="F105" s="47">
        <f>'Funding 10-11'!N468</f>
        <v>196077.92499999996</v>
      </c>
      <c r="G105" s="48">
        <f>'Funding 10-11'!M468</f>
        <v>557000</v>
      </c>
      <c r="I105" s="33"/>
      <c r="J105" s="33"/>
      <c r="K105" s="33"/>
      <c r="L105" s="33"/>
      <c r="M105" s="33"/>
      <c r="N105" s="33"/>
    </row>
    <row r="106" spans="1:14" ht="12.75" customHeight="1">
      <c r="A106" s="29"/>
      <c r="B106" s="42"/>
      <c r="C106" s="31"/>
      <c r="D106" s="24"/>
      <c r="E106" s="205"/>
      <c r="F106" s="47"/>
      <c r="G106" s="48"/>
      <c r="I106" s="33"/>
      <c r="J106" s="33"/>
      <c r="K106" s="33"/>
      <c r="L106" s="33"/>
      <c r="M106" s="33"/>
      <c r="N106" s="33"/>
    </row>
    <row r="107" spans="1:14" ht="12.75" customHeight="1">
      <c r="A107" s="29">
        <v>27</v>
      </c>
      <c r="B107" s="42" t="s">
        <v>221</v>
      </c>
      <c r="C107" s="31"/>
      <c r="D107" s="24"/>
      <c r="E107" s="205"/>
      <c r="F107" s="47">
        <f>'Funding 10-11'!N482</f>
        <v>500000</v>
      </c>
      <c r="G107" s="48">
        <f>'Funding 10-11'!M482</f>
        <v>1000000</v>
      </c>
      <c r="I107" s="33"/>
      <c r="J107" s="33"/>
      <c r="K107" s="33"/>
      <c r="L107" s="33"/>
      <c r="M107" s="33"/>
      <c r="N107" s="33"/>
    </row>
    <row r="108" spans="1:14" ht="12.75" customHeight="1">
      <c r="A108" s="29"/>
      <c r="B108" s="42"/>
      <c r="C108" s="31"/>
      <c r="D108" s="24"/>
      <c r="E108" s="205"/>
      <c r="F108" s="47"/>
      <c r="G108" s="48"/>
      <c r="I108" s="33"/>
      <c r="J108" s="33"/>
      <c r="K108" s="33"/>
      <c r="L108" s="33"/>
      <c r="M108" s="33"/>
      <c r="N108" s="33"/>
    </row>
    <row r="109" spans="1:14" ht="12.75" customHeight="1">
      <c r="A109" s="29">
        <v>28</v>
      </c>
      <c r="B109" s="42" t="s">
        <v>179</v>
      </c>
      <c r="C109" s="31"/>
      <c r="D109" s="24"/>
      <c r="E109" s="205"/>
      <c r="F109" s="47">
        <f>'Funding 10-11'!N496</f>
        <v>61111.539999999986</v>
      </c>
      <c r="G109" s="48">
        <f>'Funding 10-11'!L496</f>
        <v>173600</v>
      </c>
      <c r="I109" s="33"/>
      <c r="J109" s="33"/>
      <c r="K109" s="33"/>
      <c r="L109" s="33"/>
      <c r="M109" s="33"/>
      <c r="N109" s="33"/>
    </row>
    <row r="110" spans="1:14" ht="12.75" customHeight="1">
      <c r="A110" s="29"/>
      <c r="B110" s="42"/>
      <c r="C110" s="31"/>
      <c r="D110" s="24"/>
      <c r="E110" s="205"/>
      <c r="F110" s="47"/>
      <c r="G110" s="48"/>
      <c r="I110" s="33"/>
      <c r="J110" s="33"/>
      <c r="K110" s="33"/>
      <c r="L110" s="33"/>
      <c r="M110" s="33"/>
      <c r="N110" s="33"/>
    </row>
    <row r="111" spans="1:14" ht="12.75" customHeight="1">
      <c r="A111" s="29">
        <v>29</v>
      </c>
      <c r="B111" s="42" t="s">
        <v>288</v>
      </c>
      <c r="C111" s="31"/>
      <c r="D111" s="24"/>
      <c r="E111" s="205"/>
      <c r="F111" s="47">
        <f>'Funding 10-11'!N510</f>
        <v>75000</v>
      </c>
      <c r="G111" s="48">
        <f>'Funding 10-11'!M510</f>
        <v>150000</v>
      </c>
      <c r="I111" s="33"/>
      <c r="J111" s="33"/>
      <c r="K111" s="33"/>
      <c r="L111" s="33"/>
      <c r="M111" s="33"/>
      <c r="N111" s="33"/>
    </row>
    <row r="112" spans="1:14" ht="12.75" customHeight="1">
      <c r="A112" s="29"/>
      <c r="B112" s="42"/>
      <c r="C112" s="31"/>
      <c r="D112" s="24"/>
      <c r="E112" s="205"/>
      <c r="F112" s="47"/>
      <c r="G112" s="48"/>
      <c r="I112" s="33"/>
      <c r="J112" s="33"/>
      <c r="K112" s="33"/>
      <c r="L112" s="33"/>
      <c r="M112" s="33"/>
      <c r="N112" s="33"/>
    </row>
    <row r="113" spans="1:14" ht="12.75" customHeight="1">
      <c r="A113" s="29">
        <v>30</v>
      </c>
      <c r="B113" s="42" t="s">
        <v>181</v>
      </c>
      <c r="C113" s="31"/>
      <c r="D113" s="24"/>
      <c r="E113" s="205"/>
      <c r="F113" s="47">
        <f>'Funding 10-11'!N525</f>
        <v>91526.49999999999</v>
      </c>
      <c r="G113" s="48">
        <f>'Funding 10-11'!M525</f>
        <v>260000</v>
      </c>
      <c r="I113" s="33"/>
      <c r="J113" s="33"/>
      <c r="K113" s="33"/>
      <c r="L113" s="33"/>
      <c r="M113" s="33"/>
      <c r="N113" s="33"/>
    </row>
    <row r="114" spans="1:14" ht="12.75" customHeight="1">
      <c r="A114" s="29"/>
      <c r="B114" s="42"/>
      <c r="C114" s="31"/>
      <c r="D114" s="24"/>
      <c r="E114" s="205"/>
      <c r="F114" s="47"/>
      <c r="G114" s="48"/>
      <c r="I114" s="33"/>
      <c r="J114" s="33"/>
      <c r="K114" s="33"/>
      <c r="L114" s="33"/>
      <c r="M114" s="33"/>
      <c r="N114" s="33"/>
    </row>
    <row r="115" spans="1:14" ht="12.75" customHeight="1">
      <c r="A115" s="29">
        <v>31</v>
      </c>
      <c r="B115" s="42" t="s">
        <v>9</v>
      </c>
      <c r="C115" s="31"/>
      <c r="D115" s="24"/>
      <c r="E115" s="205"/>
      <c r="F115" s="47">
        <f>'Funding 10-11'!N539</f>
        <v>120000</v>
      </c>
      <c r="G115" s="48">
        <f>'Funding 10-11'!M539</f>
        <v>240000</v>
      </c>
      <c r="I115" s="33"/>
      <c r="J115" s="33"/>
      <c r="K115" s="33"/>
      <c r="L115" s="33"/>
      <c r="M115" s="33"/>
      <c r="N115" s="33"/>
    </row>
    <row r="116" spans="1:14" ht="12.75" customHeight="1">
      <c r="A116" s="29"/>
      <c r="B116" s="42"/>
      <c r="C116" s="31"/>
      <c r="D116" s="24"/>
      <c r="E116" s="205"/>
      <c r="F116" s="47"/>
      <c r="G116" s="48"/>
      <c r="I116" s="33"/>
      <c r="J116" s="33"/>
      <c r="K116" s="33"/>
      <c r="L116" s="33"/>
      <c r="M116" s="33"/>
      <c r="N116" s="33"/>
    </row>
    <row r="117" spans="1:14" ht="12.75" customHeight="1">
      <c r="A117" s="29">
        <v>32</v>
      </c>
      <c r="B117" s="42" t="s">
        <v>292</v>
      </c>
      <c r="C117" s="31"/>
      <c r="D117" s="24"/>
      <c r="E117" s="205">
        <v>4</v>
      </c>
      <c r="F117" s="47">
        <f>'Funding 10-11'!N553</f>
        <v>250000</v>
      </c>
      <c r="G117" s="48">
        <f>'Funding 10-11'!M553</f>
        <v>500000</v>
      </c>
      <c r="I117" s="33"/>
      <c r="J117" s="33"/>
      <c r="K117" s="33"/>
      <c r="L117" s="33"/>
      <c r="M117" s="33"/>
      <c r="N117" s="33"/>
    </row>
    <row r="118" spans="1:14" ht="12.75" customHeight="1">
      <c r="A118" s="29"/>
      <c r="B118" s="42"/>
      <c r="C118" s="31"/>
      <c r="D118" s="24"/>
      <c r="E118" s="205"/>
      <c r="F118" s="47"/>
      <c r="G118" s="48"/>
      <c r="I118" s="33"/>
      <c r="J118" s="33"/>
      <c r="K118" s="33"/>
      <c r="L118" s="33"/>
      <c r="M118" s="33"/>
      <c r="N118" s="33"/>
    </row>
    <row r="119" spans="1:14" ht="12.75" customHeight="1">
      <c r="A119" s="29">
        <v>33</v>
      </c>
      <c r="B119" s="42" t="s">
        <v>186</v>
      </c>
      <c r="C119" s="31"/>
      <c r="D119" s="24"/>
      <c r="E119" s="205"/>
      <c r="F119" s="47">
        <f>'Funding 10-11'!N567</f>
        <v>130000</v>
      </c>
      <c r="G119" s="48">
        <f>'Funding 10-11'!M567</f>
        <v>130000</v>
      </c>
      <c r="I119" s="33"/>
      <c r="J119" s="33"/>
      <c r="K119" s="33"/>
      <c r="L119" s="33"/>
      <c r="M119" s="33"/>
      <c r="N119" s="33"/>
    </row>
    <row r="120" spans="1:14" ht="12.75" customHeight="1">
      <c r="A120" s="29"/>
      <c r="B120" s="42"/>
      <c r="C120" s="31"/>
      <c r="D120" s="24"/>
      <c r="E120" s="205"/>
      <c r="F120" s="47"/>
      <c r="G120" s="48"/>
      <c r="I120" s="33"/>
      <c r="J120" s="33"/>
      <c r="K120" s="33"/>
      <c r="L120" s="33"/>
      <c r="M120" s="33"/>
      <c r="N120" s="33"/>
    </row>
    <row r="121" spans="1:14" ht="12.75" customHeight="1">
      <c r="A121" s="29">
        <v>34</v>
      </c>
      <c r="B121" s="42" t="s">
        <v>187</v>
      </c>
      <c r="C121" s="31"/>
      <c r="D121" s="24"/>
      <c r="E121" s="205"/>
      <c r="F121" s="47">
        <f>'Funding 10-11'!N580</f>
        <v>200000</v>
      </c>
      <c r="G121" s="48">
        <f>'Funding 10-11'!M580</f>
        <v>200000</v>
      </c>
      <c r="I121" s="33"/>
      <c r="J121" s="33"/>
      <c r="K121" s="33"/>
      <c r="L121" s="33"/>
      <c r="M121" s="33"/>
      <c r="N121" s="33"/>
    </row>
    <row r="122" spans="1:14" ht="13.5" thickBot="1">
      <c r="A122" s="29"/>
      <c r="B122" s="30"/>
      <c r="C122" s="213"/>
      <c r="D122" s="24"/>
      <c r="E122" s="200"/>
      <c r="F122" s="47"/>
      <c r="G122" s="48"/>
      <c r="I122" s="33"/>
      <c r="J122" s="33"/>
      <c r="K122" s="33"/>
      <c r="L122" s="33"/>
      <c r="M122" s="33"/>
      <c r="N122" s="33"/>
    </row>
    <row r="123" spans="1:8" s="17" customFormat="1" ht="26.25" customHeight="1" thickBot="1">
      <c r="A123" s="219" t="s">
        <v>26</v>
      </c>
      <c r="B123" s="220"/>
      <c r="C123" s="221"/>
      <c r="D123" s="55"/>
      <c r="E123" s="206">
        <f>E46+E48+E50+E52+E78+E97+E99+E101+E103+E117</f>
        <v>64</v>
      </c>
      <c r="F123" s="56">
        <f>SUM(F91:F121)+F84+F82+F80+F78+F76+F74+F72+F61+F54+F52+F50+F48+F46+F44+F30+F24+F18+F6</f>
        <v>319680716.8540016</v>
      </c>
      <c r="G123" s="57">
        <f>SUM(G91:G121)+G84+G82+G80+G78+G76+G74+G72+G61+G54+G52+G50+G48+G46+G44+G30+G24+G18+G6</f>
        <v>351001554.09535694</v>
      </c>
      <c r="H123" s="18"/>
    </row>
    <row r="124" spans="9:14" ht="12.75">
      <c r="I124" s="33"/>
      <c r="J124" s="33"/>
      <c r="K124" s="33"/>
      <c r="L124" s="33"/>
      <c r="M124" s="33"/>
      <c r="N124" s="33"/>
    </row>
    <row r="125" spans="9:14" ht="12.75">
      <c r="I125" s="33"/>
      <c r="J125" s="33"/>
      <c r="K125" s="33"/>
      <c r="L125" s="33"/>
      <c r="M125" s="33"/>
      <c r="N125" s="33"/>
    </row>
    <row r="126" spans="9:14" ht="12.75">
      <c r="I126" s="33"/>
      <c r="J126" s="33"/>
      <c r="K126" s="33"/>
      <c r="L126" s="33"/>
      <c r="M126" s="33"/>
      <c r="N126" s="33"/>
    </row>
    <row r="127" spans="9:14" ht="12.75">
      <c r="I127" s="33"/>
      <c r="J127" s="33"/>
      <c r="K127" s="33"/>
      <c r="L127" s="33"/>
      <c r="M127" s="33"/>
      <c r="N127" s="33"/>
    </row>
    <row r="128" spans="9:14" ht="12.75">
      <c r="I128" s="33"/>
      <c r="J128" s="33"/>
      <c r="K128" s="33"/>
      <c r="L128" s="33"/>
      <c r="M128" s="33"/>
      <c r="N128" s="33"/>
    </row>
    <row r="129" spans="9:14" ht="12.75">
      <c r="I129" s="33"/>
      <c r="J129" s="33"/>
      <c r="K129" s="33"/>
      <c r="L129" s="33"/>
      <c r="M129" s="33"/>
      <c r="N129" s="33"/>
    </row>
    <row r="130" spans="9:14" ht="12.75">
      <c r="I130" s="33"/>
      <c r="J130" s="33"/>
      <c r="K130" s="33"/>
      <c r="L130" s="33"/>
      <c r="M130" s="33"/>
      <c r="N130" s="33"/>
    </row>
    <row r="131" spans="9:14" ht="12.75">
      <c r="I131" s="33"/>
      <c r="J131" s="33"/>
      <c r="K131" s="33"/>
      <c r="L131" s="33"/>
      <c r="M131" s="33"/>
      <c r="N131" s="33"/>
    </row>
    <row r="132" spans="9:14" ht="12.75">
      <c r="I132" s="33"/>
      <c r="J132" s="33"/>
      <c r="K132" s="33"/>
      <c r="L132" s="33"/>
      <c r="M132" s="33"/>
      <c r="N132" s="33"/>
    </row>
    <row r="133" spans="9:14" ht="12.75">
      <c r="I133" s="33"/>
      <c r="J133" s="33"/>
      <c r="K133" s="33"/>
      <c r="L133" s="33"/>
      <c r="M133" s="33"/>
      <c r="N133" s="33"/>
    </row>
    <row r="134" spans="9:14" ht="12.75">
      <c r="I134" s="33"/>
      <c r="J134" s="33"/>
      <c r="K134" s="33"/>
      <c r="L134" s="33"/>
      <c r="M134" s="33"/>
      <c r="N134" s="33"/>
    </row>
    <row r="135" spans="9:14" ht="12.75">
      <c r="I135" s="33"/>
      <c r="J135" s="33"/>
      <c r="K135" s="33"/>
      <c r="L135" s="33"/>
      <c r="M135" s="33"/>
      <c r="N135" s="33"/>
    </row>
    <row r="136" spans="9:14" ht="12.75">
      <c r="I136" s="33"/>
      <c r="J136" s="33"/>
      <c r="K136" s="33"/>
      <c r="L136" s="33"/>
      <c r="M136" s="33"/>
      <c r="N136" s="33"/>
    </row>
    <row r="137" spans="9:14" ht="12.75">
      <c r="I137" s="33"/>
      <c r="J137" s="33"/>
      <c r="K137" s="33"/>
      <c r="L137" s="33"/>
      <c r="M137" s="33"/>
      <c r="N137" s="33"/>
    </row>
    <row r="138" spans="9:14" ht="12.75">
      <c r="I138" s="33"/>
      <c r="J138" s="33"/>
      <c r="K138" s="33"/>
      <c r="L138" s="33"/>
      <c r="M138" s="33"/>
      <c r="N138" s="33"/>
    </row>
    <row r="139" spans="9:14" ht="12.75">
      <c r="I139" s="33"/>
      <c r="J139" s="33"/>
      <c r="K139" s="33"/>
      <c r="L139" s="33"/>
      <c r="M139" s="33"/>
      <c r="N139" s="33"/>
    </row>
    <row r="140" spans="9:14" ht="12.75">
      <c r="I140" s="33"/>
      <c r="J140" s="33"/>
      <c r="K140" s="33"/>
      <c r="L140" s="33"/>
      <c r="M140" s="33"/>
      <c r="N140" s="33"/>
    </row>
    <row r="141" spans="9:14" ht="12.75">
      <c r="I141" s="33"/>
      <c r="J141" s="33"/>
      <c r="K141" s="33"/>
      <c r="L141" s="33"/>
      <c r="M141" s="33"/>
      <c r="N141" s="33"/>
    </row>
    <row r="142" spans="9:14" ht="12.75">
      <c r="I142" s="33"/>
      <c r="J142" s="33"/>
      <c r="K142" s="33"/>
      <c r="L142" s="33"/>
      <c r="M142" s="33"/>
      <c r="N142" s="33"/>
    </row>
    <row r="143" spans="9:14" ht="12.75">
      <c r="I143" s="33"/>
      <c r="J143" s="33"/>
      <c r="K143" s="33"/>
      <c r="L143" s="33"/>
      <c r="M143" s="33"/>
      <c r="N143" s="33"/>
    </row>
    <row r="144" spans="9:14" ht="12.75">
      <c r="I144" s="33"/>
      <c r="J144" s="33"/>
      <c r="K144" s="33"/>
      <c r="L144" s="33"/>
      <c r="M144" s="33"/>
      <c r="N144" s="33"/>
    </row>
    <row r="145" spans="9:14" ht="12.75">
      <c r="I145" s="33"/>
      <c r="J145" s="33"/>
      <c r="K145" s="33"/>
      <c r="L145" s="33"/>
      <c r="M145" s="33"/>
      <c r="N145" s="33"/>
    </row>
    <row r="146" spans="9:14" ht="12.75">
      <c r="I146" s="33"/>
      <c r="J146" s="33"/>
      <c r="K146" s="33"/>
      <c r="L146" s="33"/>
      <c r="M146" s="33"/>
      <c r="N146" s="33"/>
    </row>
    <row r="147" spans="9:14" ht="12.75">
      <c r="I147" s="33"/>
      <c r="J147" s="33"/>
      <c r="K147" s="33"/>
      <c r="L147" s="33"/>
      <c r="M147" s="33"/>
      <c r="N147" s="33"/>
    </row>
    <row r="148" spans="9:14" ht="12.75">
      <c r="I148" s="33"/>
      <c r="J148" s="33"/>
      <c r="K148" s="33"/>
      <c r="L148" s="33"/>
      <c r="M148" s="33"/>
      <c r="N148" s="33"/>
    </row>
    <row r="149" spans="9:14" ht="12.75">
      <c r="I149" s="33"/>
      <c r="J149" s="33"/>
      <c r="K149" s="33"/>
      <c r="L149" s="33"/>
      <c r="M149" s="33"/>
      <c r="N149" s="33"/>
    </row>
    <row r="150" spans="9:14" ht="12.75">
      <c r="I150" s="33"/>
      <c r="J150" s="33"/>
      <c r="K150" s="33"/>
      <c r="L150" s="33"/>
      <c r="M150" s="33"/>
      <c r="N150" s="33"/>
    </row>
    <row r="151" spans="9:14" ht="12.75">
      <c r="I151" s="33"/>
      <c r="J151" s="33"/>
      <c r="K151" s="33"/>
      <c r="L151" s="33"/>
      <c r="M151" s="33"/>
      <c r="N151" s="33"/>
    </row>
    <row r="152" spans="9:14" ht="12.75">
      <c r="I152" s="33"/>
      <c r="J152" s="33"/>
      <c r="K152" s="33"/>
      <c r="L152" s="33"/>
      <c r="M152" s="33"/>
      <c r="N152" s="33"/>
    </row>
    <row r="153" spans="9:14" ht="12.75">
      <c r="I153" s="33"/>
      <c r="J153" s="33"/>
      <c r="K153" s="33"/>
      <c r="L153" s="33"/>
      <c r="M153" s="33"/>
      <c r="N153" s="33"/>
    </row>
    <row r="154" spans="9:14" ht="12.75">
      <c r="I154" s="33"/>
      <c r="J154" s="33"/>
      <c r="K154" s="33"/>
      <c r="L154" s="33"/>
      <c r="M154" s="33"/>
      <c r="N154" s="33"/>
    </row>
    <row r="155" spans="9:14" ht="12.75">
      <c r="I155" s="33"/>
      <c r="J155" s="33"/>
      <c r="K155" s="33"/>
      <c r="L155" s="33"/>
      <c r="M155" s="33"/>
      <c r="N155" s="33"/>
    </row>
    <row r="156" spans="9:14" ht="12.75">
      <c r="I156" s="33"/>
      <c r="J156" s="33"/>
      <c r="K156" s="33"/>
      <c r="L156" s="33"/>
      <c r="M156" s="33"/>
      <c r="N156" s="33"/>
    </row>
    <row r="157" spans="9:14" ht="12.75">
      <c r="I157" s="33"/>
      <c r="J157" s="33"/>
      <c r="K157" s="33"/>
      <c r="L157" s="33"/>
      <c r="M157" s="33"/>
      <c r="N157" s="33"/>
    </row>
    <row r="158" spans="9:14" ht="12.75">
      <c r="I158" s="33"/>
      <c r="J158" s="33"/>
      <c r="K158" s="33"/>
      <c r="L158" s="33"/>
      <c r="M158" s="33"/>
      <c r="N158" s="33"/>
    </row>
    <row r="159" spans="9:14" ht="12.75">
      <c r="I159" s="33"/>
      <c r="J159" s="33"/>
      <c r="K159" s="33"/>
      <c r="L159" s="33"/>
      <c r="M159" s="33"/>
      <c r="N159" s="33"/>
    </row>
    <row r="160" spans="9:14" ht="12.75">
      <c r="I160" s="33"/>
      <c r="J160" s="33"/>
      <c r="K160" s="33"/>
      <c r="L160" s="33"/>
      <c r="M160" s="33"/>
      <c r="N160" s="33"/>
    </row>
    <row r="161" spans="9:14" ht="12.75">
      <c r="I161" s="33"/>
      <c r="J161" s="33"/>
      <c r="K161" s="33"/>
      <c r="L161" s="33"/>
      <c r="M161" s="33"/>
      <c r="N161" s="33"/>
    </row>
    <row r="162" spans="9:14" ht="12.75">
      <c r="I162" s="33"/>
      <c r="J162" s="33"/>
      <c r="K162" s="33"/>
      <c r="L162" s="33"/>
      <c r="M162" s="33"/>
      <c r="N162" s="33"/>
    </row>
    <row r="163" spans="9:14" ht="12.75">
      <c r="I163" s="33"/>
      <c r="J163" s="33"/>
      <c r="K163" s="33"/>
      <c r="L163" s="33"/>
      <c r="M163" s="33"/>
      <c r="N163" s="33"/>
    </row>
    <row r="164" spans="9:14" ht="12.75">
      <c r="I164" s="33"/>
      <c r="J164" s="33"/>
      <c r="K164" s="33"/>
      <c r="L164" s="33"/>
      <c r="M164" s="33"/>
      <c r="N164" s="33"/>
    </row>
    <row r="165" spans="9:14" ht="12.75">
      <c r="I165" s="33"/>
      <c r="J165" s="33"/>
      <c r="K165" s="33"/>
      <c r="L165" s="33"/>
      <c r="M165" s="33"/>
      <c r="N165" s="33"/>
    </row>
    <row r="166" spans="9:14" ht="12.75">
      <c r="I166" s="33"/>
      <c r="J166" s="33"/>
      <c r="K166" s="33"/>
      <c r="L166" s="33"/>
      <c r="M166" s="33"/>
      <c r="N166" s="33"/>
    </row>
    <row r="167" spans="9:14" ht="12.75">
      <c r="I167" s="33"/>
      <c r="J167" s="33"/>
      <c r="K167" s="33"/>
      <c r="L167" s="33"/>
      <c r="M167" s="33"/>
      <c r="N167" s="33"/>
    </row>
    <row r="168" spans="9:14" ht="12.75">
      <c r="I168" s="33"/>
      <c r="J168" s="33"/>
      <c r="K168" s="33"/>
      <c r="L168" s="33"/>
      <c r="M168" s="33"/>
      <c r="N168" s="33"/>
    </row>
    <row r="169" spans="9:14" ht="12.75">
      <c r="I169" s="33"/>
      <c r="J169" s="33"/>
      <c r="K169" s="33"/>
      <c r="L169" s="33"/>
      <c r="M169" s="33"/>
      <c r="N169" s="33"/>
    </row>
    <row r="170" spans="9:14" ht="12.75">
      <c r="I170" s="33"/>
      <c r="J170" s="33"/>
      <c r="K170" s="33"/>
      <c r="L170" s="33"/>
      <c r="M170" s="33"/>
      <c r="N170" s="33"/>
    </row>
    <row r="171" spans="9:14" ht="12.75">
      <c r="I171" s="33"/>
      <c r="J171" s="33"/>
      <c r="K171" s="33"/>
      <c r="L171" s="33"/>
      <c r="M171" s="33"/>
      <c r="N171" s="33"/>
    </row>
    <row r="172" spans="9:14" ht="12.75">
      <c r="I172" s="33"/>
      <c r="J172" s="33"/>
      <c r="K172" s="33"/>
      <c r="L172" s="33"/>
      <c r="M172" s="33"/>
      <c r="N172" s="33"/>
    </row>
    <row r="173" spans="9:14" ht="12.75">
      <c r="I173" s="33"/>
      <c r="J173" s="33"/>
      <c r="K173" s="33"/>
      <c r="L173" s="33"/>
      <c r="M173" s="33"/>
      <c r="N173" s="33"/>
    </row>
    <row r="174" spans="9:14" ht="12.75">
      <c r="I174" s="33"/>
      <c r="J174" s="33"/>
      <c r="K174" s="33"/>
      <c r="L174" s="33"/>
      <c r="M174" s="33"/>
      <c r="N174" s="33"/>
    </row>
    <row r="175" spans="9:14" ht="12.75">
      <c r="I175" s="33"/>
      <c r="J175" s="33"/>
      <c r="K175" s="33"/>
      <c r="L175" s="33"/>
      <c r="M175" s="33"/>
      <c r="N175" s="33"/>
    </row>
    <row r="176" spans="9:14" ht="12.75">
      <c r="I176" s="33"/>
      <c r="J176" s="33"/>
      <c r="K176" s="33"/>
      <c r="L176" s="33"/>
      <c r="M176" s="33"/>
      <c r="N176" s="33"/>
    </row>
    <row r="177" spans="9:14" ht="12.75">
      <c r="I177" s="33"/>
      <c r="J177" s="33"/>
      <c r="K177" s="33"/>
      <c r="L177" s="33"/>
      <c r="M177" s="33"/>
      <c r="N177" s="33"/>
    </row>
    <row r="178" spans="9:14" ht="12.75">
      <c r="I178" s="33"/>
      <c r="J178" s="33"/>
      <c r="K178" s="33"/>
      <c r="L178" s="33"/>
      <c r="M178" s="33"/>
      <c r="N178" s="33"/>
    </row>
    <row r="179" spans="9:14" ht="12.75">
      <c r="I179" s="33"/>
      <c r="J179" s="33"/>
      <c r="K179" s="33"/>
      <c r="L179" s="33"/>
      <c r="M179" s="33"/>
      <c r="N179" s="33"/>
    </row>
    <row r="180" spans="9:14" ht="12.75">
      <c r="I180" s="33"/>
      <c r="J180" s="33"/>
      <c r="K180" s="33"/>
      <c r="L180" s="33"/>
      <c r="M180" s="33"/>
      <c r="N180" s="33"/>
    </row>
    <row r="181" spans="9:14" ht="12.75">
      <c r="I181" s="33"/>
      <c r="J181" s="33"/>
      <c r="K181" s="33"/>
      <c r="L181" s="33"/>
      <c r="M181" s="33"/>
      <c r="N181" s="33"/>
    </row>
    <row r="182" spans="9:14" ht="12.75">
      <c r="I182" s="33"/>
      <c r="J182" s="33"/>
      <c r="K182" s="33"/>
      <c r="L182" s="33"/>
      <c r="M182" s="33"/>
      <c r="N182" s="33"/>
    </row>
    <row r="183" spans="9:14" ht="12.75">
      <c r="I183" s="33"/>
      <c r="J183" s="33"/>
      <c r="K183" s="33"/>
      <c r="L183" s="33"/>
      <c r="M183" s="33"/>
      <c r="N183" s="33"/>
    </row>
    <row r="184" spans="9:14" ht="12.75">
      <c r="I184" s="33"/>
      <c r="J184" s="33"/>
      <c r="K184" s="33"/>
      <c r="L184" s="33"/>
      <c r="M184" s="33"/>
      <c r="N184" s="33"/>
    </row>
    <row r="185" spans="9:14" ht="12.75">
      <c r="I185" s="33"/>
      <c r="J185" s="33"/>
      <c r="K185" s="33"/>
      <c r="L185" s="33"/>
      <c r="M185" s="33"/>
      <c r="N185" s="33"/>
    </row>
    <row r="186" spans="9:14" ht="12.75">
      <c r="I186" s="33"/>
      <c r="J186" s="33"/>
      <c r="K186" s="33"/>
      <c r="L186" s="33"/>
      <c r="M186" s="33"/>
      <c r="N186" s="33"/>
    </row>
    <row r="187" spans="9:14" ht="12.75">
      <c r="I187" s="33"/>
      <c r="J187" s="33"/>
      <c r="K187" s="33"/>
      <c r="L187" s="33"/>
      <c r="M187" s="33"/>
      <c r="N187" s="33"/>
    </row>
    <row r="188" spans="9:14" ht="12.75">
      <c r="I188" s="33"/>
      <c r="J188" s="33"/>
      <c r="K188" s="33"/>
      <c r="L188" s="33"/>
      <c r="M188" s="33"/>
      <c r="N188" s="33"/>
    </row>
    <row r="189" spans="9:14" ht="12.75">
      <c r="I189" s="33"/>
      <c r="J189" s="33"/>
      <c r="K189" s="33"/>
      <c r="L189" s="33"/>
      <c r="M189" s="33"/>
      <c r="N189" s="33"/>
    </row>
    <row r="190" spans="9:14" ht="12.75">
      <c r="I190" s="33"/>
      <c r="J190" s="33"/>
      <c r="K190" s="33"/>
      <c r="L190" s="33"/>
      <c r="M190" s="33"/>
      <c r="N190" s="33"/>
    </row>
    <row r="191" spans="9:14" ht="12.75">
      <c r="I191" s="33"/>
      <c r="J191" s="33"/>
      <c r="K191" s="33"/>
      <c r="L191" s="33"/>
      <c r="M191" s="33"/>
      <c r="N191" s="33"/>
    </row>
    <row r="192" spans="9:14" ht="12.75">
      <c r="I192" s="33"/>
      <c r="J192" s="33"/>
      <c r="K192" s="33"/>
      <c r="L192" s="33"/>
      <c r="M192" s="33"/>
      <c r="N192" s="33"/>
    </row>
    <row r="193" spans="9:14" ht="12.75">
      <c r="I193" s="33"/>
      <c r="J193" s="33"/>
      <c r="K193" s="33"/>
      <c r="L193" s="33"/>
      <c r="M193" s="33"/>
      <c r="N193" s="33"/>
    </row>
    <row r="194" spans="9:14" ht="12.75">
      <c r="I194" s="33"/>
      <c r="J194" s="33"/>
      <c r="K194" s="33"/>
      <c r="L194" s="33"/>
      <c r="M194" s="33"/>
      <c r="N194" s="33"/>
    </row>
    <row r="195" spans="9:14" ht="12.75">
      <c r="I195" s="33"/>
      <c r="J195" s="33"/>
      <c r="K195" s="33"/>
      <c r="L195" s="33"/>
      <c r="M195" s="33"/>
      <c r="N195" s="33"/>
    </row>
    <row r="196" spans="9:14" ht="12.75">
      <c r="I196" s="33"/>
      <c r="J196" s="33"/>
      <c r="K196" s="33"/>
      <c r="L196" s="33"/>
      <c r="M196" s="33"/>
      <c r="N196" s="33"/>
    </row>
    <row r="197" spans="9:14" ht="12.75">
      <c r="I197" s="33"/>
      <c r="J197" s="33"/>
      <c r="K197" s="33"/>
      <c r="L197" s="33"/>
      <c r="M197" s="33"/>
      <c r="N197" s="33"/>
    </row>
    <row r="198" spans="9:14" ht="12.75">
      <c r="I198" s="33"/>
      <c r="J198" s="33"/>
      <c r="K198" s="33"/>
      <c r="L198" s="33"/>
      <c r="M198" s="33"/>
      <c r="N198" s="33"/>
    </row>
    <row r="199" spans="9:14" ht="12.75">
      <c r="I199" s="33"/>
      <c r="J199" s="33"/>
      <c r="K199" s="33"/>
      <c r="L199" s="33"/>
      <c r="M199" s="33"/>
      <c r="N199" s="33"/>
    </row>
    <row r="200" spans="9:14" ht="12.75">
      <c r="I200" s="33"/>
      <c r="J200" s="33"/>
      <c r="K200" s="33"/>
      <c r="L200" s="33"/>
      <c r="M200" s="33"/>
      <c r="N200" s="33"/>
    </row>
    <row r="201" spans="9:14" ht="12.75">
      <c r="I201" s="33"/>
      <c r="J201" s="33"/>
      <c r="K201" s="33"/>
      <c r="L201" s="33"/>
      <c r="M201" s="33"/>
      <c r="N201" s="33"/>
    </row>
    <row r="202" spans="9:14" ht="12.75">
      <c r="I202" s="33"/>
      <c r="J202" s="33"/>
      <c r="K202" s="33"/>
      <c r="L202" s="33"/>
      <c r="M202" s="33"/>
      <c r="N202" s="33"/>
    </row>
    <row r="203" spans="9:14" ht="12.75">
      <c r="I203" s="33"/>
      <c r="J203" s="33"/>
      <c r="K203" s="33"/>
      <c r="L203" s="33"/>
      <c r="M203" s="33"/>
      <c r="N203" s="33"/>
    </row>
    <row r="204" spans="9:14" ht="12.75">
      <c r="I204" s="33"/>
      <c r="J204" s="33"/>
      <c r="K204" s="33"/>
      <c r="L204" s="33"/>
      <c r="M204" s="33"/>
      <c r="N204" s="33"/>
    </row>
    <row r="205" spans="9:14" ht="12.75">
      <c r="I205" s="33"/>
      <c r="J205" s="33"/>
      <c r="K205" s="33"/>
      <c r="L205" s="33"/>
      <c r="M205" s="33"/>
      <c r="N205" s="33"/>
    </row>
    <row r="206" spans="9:14" ht="12.75">
      <c r="I206" s="33"/>
      <c r="J206" s="33"/>
      <c r="K206" s="33"/>
      <c r="L206" s="33"/>
      <c r="M206" s="33"/>
      <c r="N206" s="33"/>
    </row>
    <row r="207" spans="9:14" ht="12.75">
      <c r="I207" s="33"/>
      <c r="J207" s="33"/>
      <c r="K207" s="33"/>
      <c r="L207" s="33"/>
      <c r="M207" s="33"/>
      <c r="N207" s="33"/>
    </row>
    <row r="208" spans="9:14" ht="12.75">
      <c r="I208" s="33"/>
      <c r="J208" s="33"/>
      <c r="K208" s="33"/>
      <c r="L208" s="33"/>
      <c r="M208" s="33"/>
      <c r="N208" s="33"/>
    </row>
    <row r="209" spans="9:14" ht="12.75">
      <c r="I209" s="33"/>
      <c r="J209" s="33"/>
      <c r="K209" s="33"/>
      <c r="L209" s="33"/>
      <c r="M209" s="33"/>
      <c r="N209" s="33"/>
    </row>
    <row r="210" spans="9:14" ht="12.75">
      <c r="I210" s="33"/>
      <c r="J210" s="33"/>
      <c r="K210" s="33"/>
      <c r="L210" s="33"/>
      <c r="M210" s="33"/>
      <c r="N210" s="33"/>
    </row>
    <row r="211" spans="9:14" ht="12.75">
      <c r="I211" s="33"/>
      <c r="J211" s="33"/>
      <c r="K211" s="33"/>
      <c r="L211" s="33"/>
      <c r="M211" s="33"/>
      <c r="N211" s="33"/>
    </row>
    <row r="212" spans="9:14" ht="12.75">
      <c r="I212" s="33"/>
      <c r="J212" s="33"/>
      <c r="K212" s="33"/>
      <c r="L212" s="33"/>
      <c r="M212" s="33"/>
      <c r="N212" s="33"/>
    </row>
    <row r="213" spans="9:14" ht="12.75">
      <c r="I213" s="33"/>
      <c r="J213" s="33"/>
      <c r="K213" s="33"/>
      <c r="L213" s="33"/>
      <c r="M213" s="33"/>
      <c r="N213" s="33"/>
    </row>
    <row r="214" spans="9:14" ht="12.75">
      <c r="I214" s="33"/>
      <c r="J214" s="33"/>
      <c r="K214" s="33"/>
      <c r="L214" s="33"/>
      <c r="M214" s="33"/>
      <c r="N214" s="33"/>
    </row>
    <row r="215" spans="9:14" ht="12.75">
      <c r="I215" s="33"/>
      <c r="J215" s="33"/>
      <c r="K215" s="33"/>
      <c r="L215" s="33"/>
      <c r="M215" s="33"/>
      <c r="N215" s="33"/>
    </row>
    <row r="216" spans="9:14" ht="12.75">
      <c r="I216" s="33"/>
      <c r="J216" s="33"/>
      <c r="K216" s="33"/>
      <c r="L216" s="33"/>
      <c r="M216" s="33"/>
      <c r="N216" s="33"/>
    </row>
    <row r="217" spans="9:14" ht="12.75">
      <c r="I217" s="33"/>
      <c r="J217" s="33"/>
      <c r="K217" s="33"/>
      <c r="L217" s="33"/>
      <c r="M217" s="33"/>
      <c r="N217" s="33"/>
    </row>
    <row r="218" spans="9:14" ht="12.75">
      <c r="I218" s="33"/>
      <c r="J218" s="33"/>
      <c r="K218" s="33"/>
      <c r="L218" s="33"/>
      <c r="M218" s="33"/>
      <c r="N218" s="33"/>
    </row>
    <row r="219" spans="9:14" ht="12.75">
      <c r="I219" s="33"/>
      <c r="J219" s="33"/>
      <c r="K219" s="33"/>
      <c r="L219" s="33"/>
      <c r="M219" s="33"/>
      <c r="N219" s="33"/>
    </row>
    <row r="220" spans="9:14" ht="12.75">
      <c r="I220" s="33"/>
      <c r="J220" s="33"/>
      <c r="K220" s="33"/>
      <c r="L220" s="33"/>
      <c r="M220" s="33"/>
      <c r="N220" s="33"/>
    </row>
    <row r="221" spans="9:14" ht="12.75">
      <c r="I221" s="33"/>
      <c r="J221" s="33"/>
      <c r="K221" s="33"/>
      <c r="L221" s="33"/>
      <c r="M221" s="33"/>
      <c r="N221" s="33"/>
    </row>
    <row r="222" spans="9:14" ht="12.75">
      <c r="I222" s="33"/>
      <c r="J222" s="33"/>
      <c r="K222" s="33"/>
      <c r="L222" s="33"/>
      <c r="M222" s="33"/>
      <c r="N222" s="33"/>
    </row>
    <row r="223" spans="9:14" ht="12.75">
      <c r="I223" s="33"/>
      <c r="J223" s="33"/>
      <c r="K223" s="33"/>
      <c r="L223" s="33"/>
      <c r="M223" s="33"/>
      <c r="N223" s="33"/>
    </row>
    <row r="224" spans="9:14" ht="12.75">
      <c r="I224" s="33"/>
      <c r="J224" s="33"/>
      <c r="K224" s="33"/>
      <c r="L224" s="33"/>
      <c r="M224" s="33"/>
      <c r="N224" s="33"/>
    </row>
    <row r="225" spans="9:14" ht="12.75">
      <c r="I225" s="33"/>
      <c r="J225" s="33"/>
      <c r="K225" s="33"/>
      <c r="L225" s="33"/>
      <c r="M225" s="33"/>
      <c r="N225" s="33"/>
    </row>
    <row r="226" spans="9:14" ht="12.75">
      <c r="I226" s="33"/>
      <c r="J226" s="33"/>
      <c r="K226" s="33"/>
      <c r="L226" s="33"/>
      <c r="M226" s="33"/>
      <c r="N226" s="33"/>
    </row>
    <row r="227" spans="9:14" ht="12.75">
      <c r="I227" s="33"/>
      <c r="J227" s="33"/>
      <c r="K227" s="33"/>
      <c r="L227" s="33"/>
      <c r="M227" s="33"/>
      <c r="N227" s="33"/>
    </row>
    <row r="228" spans="9:14" ht="12.75">
      <c r="I228" s="33"/>
      <c r="J228" s="33"/>
      <c r="K228" s="33"/>
      <c r="L228" s="33"/>
      <c r="M228" s="33"/>
      <c r="N228" s="33"/>
    </row>
    <row r="229" spans="9:14" ht="12.75">
      <c r="I229" s="33"/>
      <c r="J229" s="33"/>
      <c r="K229" s="33"/>
      <c r="L229" s="33"/>
      <c r="M229" s="33"/>
      <c r="N229" s="33"/>
    </row>
    <row r="230" spans="9:14" ht="12.75">
      <c r="I230" s="33"/>
      <c r="J230" s="33"/>
      <c r="K230" s="33"/>
      <c r="L230" s="33"/>
      <c r="M230" s="33"/>
      <c r="N230" s="33"/>
    </row>
    <row r="231" spans="9:14" ht="12.75">
      <c r="I231" s="33"/>
      <c r="J231" s="33"/>
      <c r="K231" s="33"/>
      <c r="L231" s="33"/>
      <c r="M231" s="33"/>
      <c r="N231" s="33"/>
    </row>
    <row r="232" spans="9:14" ht="12.75">
      <c r="I232" s="33"/>
      <c r="J232" s="33"/>
      <c r="K232" s="33"/>
      <c r="L232" s="33"/>
      <c r="M232" s="33"/>
      <c r="N232" s="33"/>
    </row>
    <row r="233" spans="9:14" ht="12.75">
      <c r="I233" s="33"/>
      <c r="J233" s="33"/>
      <c r="K233" s="33"/>
      <c r="L233" s="33"/>
      <c r="M233" s="33"/>
      <c r="N233" s="33"/>
    </row>
    <row r="234" spans="9:14" ht="12.75">
      <c r="I234" s="33"/>
      <c r="J234" s="33"/>
      <c r="K234" s="33"/>
      <c r="L234" s="33"/>
      <c r="M234" s="33"/>
      <c r="N234" s="33"/>
    </row>
    <row r="235" spans="9:14" ht="12.75">
      <c r="I235" s="33"/>
      <c r="J235" s="33"/>
      <c r="K235" s="33"/>
      <c r="L235" s="33"/>
      <c r="M235" s="33"/>
      <c r="N235" s="33"/>
    </row>
    <row r="236" spans="9:14" ht="12.75">
      <c r="I236" s="33"/>
      <c r="J236" s="33"/>
      <c r="K236" s="33"/>
      <c r="L236" s="33"/>
      <c r="M236" s="33"/>
      <c r="N236" s="33"/>
    </row>
    <row r="237" spans="9:14" ht="12.75">
      <c r="I237" s="33"/>
      <c r="J237" s="33"/>
      <c r="K237" s="33"/>
      <c r="L237" s="33"/>
      <c r="M237" s="33"/>
      <c r="N237" s="33"/>
    </row>
    <row r="238" spans="9:14" ht="12.75">
      <c r="I238" s="33"/>
      <c r="J238" s="33"/>
      <c r="K238" s="33"/>
      <c r="L238" s="33"/>
      <c r="M238" s="33"/>
      <c r="N238" s="33"/>
    </row>
    <row r="239" spans="9:14" ht="12.75">
      <c r="I239" s="33"/>
      <c r="J239" s="33"/>
      <c r="K239" s="33"/>
      <c r="L239" s="33"/>
      <c r="M239" s="33"/>
      <c r="N239" s="33"/>
    </row>
    <row r="240" spans="9:14" ht="12.75">
      <c r="I240" s="33"/>
      <c r="J240" s="33"/>
      <c r="K240" s="33"/>
      <c r="L240" s="33"/>
      <c r="M240" s="33"/>
      <c r="N240" s="33"/>
    </row>
    <row r="241" spans="9:14" ht="12.75">
      <c r="I241" s="33"/>
      <c r="J241" s="33"/>
      <c r="K241" s="33"/>
      <c r="L241" s="33"/>
      <c r="M241" s="33"/>
      <c r="N241" s="33"/>
    </row>
    <row r="242" spans="9:14" ht="12.75">
      <c r="I242" s="33"/>
      <c r="J242" s="33"/>
      <c r="K242" s="33"/>
      <c r="L242" s="33"/>
      <c r="M242" s="33"/>
      <c r="N242" s="33"/>
    </row>
    <row r="243" spans="9:14" ht="12.75">
      <c r="I243" s="33"/>
      <c r="J243" s="33"/>
      <c r="K243" s="33"/>
      <c r="L243" s="33"/>
      <c r="M243" s="33"/>
      <c r="N243" s="33"/>
    </row>
    <row r="244" spans="9:14" ht="12.75">
      <c r="I244" s="33"/>
      <c r="J244" s="33"/>
      <c r="K244" s="33"/>
      <c r="L244" s="33"/>
      <c r="M244" s="33"/>
      <c r="N244" s="33"/>
    </row>
    <row r="245" spans="9:14" ht="12.75">
      <c r="I245" s="33"/>
      <c r="J245" s="33"/>
      <c r="K245" s="33"/>
      <c r="L245" s="33"/>
      <c r="M245" s="33"/>
      <c r="N245" s="33"/>
    </row>
    <row r="246" spans="9:14" ht="12.75">
      <c r="I246" s="33"/>
      <c r="J246" s="33"/>
      <c r="K246" s="33"/>
      <c r="L246" s="33"/>
      <c r="M246" s="33"/>
      <c r="N246" s="33"/>
    </row>
    <row r="247" spans="9:14" ht="12.75">
      <c r="I247" s="33"/>
      <c r="J247" s="33"/>
      <c r="K247" s="33"/>
      <c r="L247" s="33"/>
      <c r="M247" s="33"/>
      <c r="N247" s="33"/>
    </row>
    <row r="248" spans="9:14" ht="12.75">
      <c r="I248" s="33"/>
      <c r="J248" s="33"/>
      <c r="K248" s="33"/>
      <c r="L248" s="33"/>
      <c r="M248" s="33"/>
      <c r="N248" s="33"/>
    </row>
    <row r="249" spans="9:14" ht="12.75">
      <c r="I249" s="33"/>
      <c r="J249" s="33"/>
      <c r="K249" s="33"/>
      <c r="L249" s="33"/>
      <c r="M249" s="33"/>
      <c r="N249" s="33"/>
    </row>
    <row r="250" spans="9:14" ht="12.75">
      <c r="I250" s="33"/>
      <c r="J250" s="33"/>
      <c r="K250" s="33"/>
      <c r="L250" s="33"/>
      <c r="M250" s="33"/>
      <c r="N250" s="33"/>
    </row>
    <row r="251" spans="9:14" ht="12.75">
      <c r="I251" s="33"/>
      <c r="J251" s="33"/>
      <c r="K251" s="33"/>
      <c r="L251" s="33"/>
      <c r="M251" s="33"/>
      <c r="N251" s="33"/>
    </row>
    <row r="252" spans="9:14" ht="12.75">
      <c r="I252" s="33"/>
      <c r="J252" s="33"/>
      <c r="K252" s="33"/>
      <c r="L252" s="33"/>
      <c r="M252" s="33"/>
      <c r="N252" s="33"/>
    </row>
    <row r="253" spans="9:14" ht="12.75">
      <c r="I253" s="33"/>
      <c r="J253" s="33"/>
      <c r="K253" s="33"/>
      <c r="L253" s="33"/>
      <c r="M253" s="33"/>
      <c r="N253" s="33"/>
    </row>
    <row r="254" spans="9:14" ht="12.75">
      <c r="I254" s="33"/>
      <c r="J254" s="33"/>
      <c r="K254" s="33"/>
      <c r="L254" s="33"/>
      <c r="M254" s="33"/>
      <c r="N254" s="33"/>
    </row>
    <row r="255" spans="9:14" ht="12.75">
      <c r="I255" s="33"/>
      <c r="J255" s="33"/>
      <c r="K255" s="33"/>
      <c r="L255" s="33"/>
      <c r="M255" s="33"/>
      <c r="N255" s="33"/>
    </row>
    <row r="256" spans="9:14" ht="12.75">
      <c r="I256" s="33"/>
      <c r="J256" s="33"/>
      <c r="K256" s="33"/>
      <c r="L256" s="33"/>
      <c r="M256" s="33"/>
      <c r="N256" s="33"/>
    </row>
    <row r="257" spans="9:14" ht="12.75">
      <c r="I257" s="33"/>
      <c r="J257" s="33"/>
      <c r="K257" s="33"/>
      <c r="L257" s="33"/>
      <c r="M257" s="33"/>
      <c r="N257" s="33"/>
    </row>
  </sheetData>
  <mergeCells count="2">
    <mergeCell ref="A123:C123"/>
    <mergeCell ref="J1:K1"/>
  </mergeCells>
  <printOptions horizontalCentered="1"/>
  <pageMargins left="0.45" right="0.45" top="1.09" bottom="0.25" header="0.3" footer="0.25"/>
  <pageSetup fitToHeight="0" fitToWidth="1" horizontalDpi="600" verticalDpi="600" orientation="portrait" scale="85" r:id="rId1"/>
  <headerFooter alignWithMargins="0">
    <oddHeader>&amp;C&amp;"Arial,Bold"&amp;16OKLAHOMA HEALTH CARE AUTHORITY&amp;12
&amp;14SFY10
 Budget Request Detail
</oddHeader>
    <oddFooter>&amp;L&amp;7&amp;A&amp;C&amp;7page &amp;P of &amp;N&amp;R&amp;7printed &amp;D</oddFooter>
  </headerFooter>
  <rowBreaks count="1" manualBreakCount="1"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91"/>
  <sheetViews>
    <sheetView workbookViewId="0" topLeftCell="A1">
      <pane xSplit="3" ySplit="9" topLeftCell="J64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662" sqref="M662"/>
    </sheetView>
  </sheetViews>
  <sheetFormatPr defaultColWidth="9.140625" defaultRowHeight="12.75" customHeight="1"/>
  <cols>
    <col min="1" max="1" width="4.421875" style="117" customWidth="1"/>
    <col min="2" max="2" width="20.140625" style="120" customWidth="1"/>
    <col min="3" max="3" width="6.7109375" style="93" customWidth="1"/>
    <col min="4" max="4" width="5.57421875" style="112" customWidth="1"/>
    <col min="5" max="5" width="6.7109375" style="82" customWidth="1"/>
    <col min="6" max="16" width="11.7109375" style="119" customWidth="1"/>
    <col min="17" max="17" width="5.57421875" style="120" customWidth="1"/>
    <col min="18" max="21" width="11.7109375" style="119" customWidth="1"/>
    <col min="22" max="22" width="5.7109375" style="120" customWidth="1"/>
    <col min="23" max="26" width="11.7109375" style="120" customWidth="1"/>
    <col min="27" max="27" width="3.7109375" style="120" customWidth="1"/>
    <col min="28" max="30" width="9.140625" style="120" customWidth="1"/>
    <col min="31" max="16384" width="9.140625" style="33" customWidth="1"/>
  </cols>
  <sheetData>
    <row r="1" spans="1:30" s="86" customFormat="1" ht="12.75" customHeight="1">
      <c r="A1" s="73"/>
      <c r="B1" s="74" t="s">
        <v>35</v>
      </c>
      <c r="C1" s="75">
        <f>1-G1</f>
        <v>0.3520249999999999</v>
      </c>
      <c r="D1" s="76" t="s">
        <v>36</v>
      </c>
      <c r="E1" s="77"/>
      <c r="F1" s="78"/>
      <c r="G1" s="79">
        <f>((0.659*3)+(0.6443*9))/12</f>
        <v>0.6479750000000001</v>
      </c>
      <c r="H1" s="80" t="s">
        <v>37</v>
      </c>
      <c r="I1" s="80" t="s">
        <v>38</v>
      </c>
      <c r="J1" s="80" t="s">
        <v>39</v>
      </c>
      <c r="K1" s="81" t="s">
        <v>40</v>
      </c>
      <c r="L1" s="82"/>
      <c r="M1" s="82"/>
      <c r="N1" s="82"/>
      <c r="O1" s="82"/>
      <c r="P1" s="82"/>
      <c r="Q1" s="83"/>
      <c r="R1" s="82" t="s">
        <v>41</v>
      </c>
      <c r="S1" s="84">
        <f>1-'[5]Funding 08-09'!G1</f>
        <v>0.3263999999999999</v>
      </c>
      <c r="T1" s="82"/>
      <c r="U1" s="82"/>
      <c r="V1" s="83"/>
      <c r="W1" s="82" t="s">
        <v>42</v>
      </c>
      <c r="X1" s="85">
        <f>1-'[5]Funding 09-10'!G1</f>
        <v>0.33799999999999997</v>
      </c>
      <c r="Y1"/>
      <c r="Z1"/>
      <c r="AA1"/>
      <c r="AC1" s="83"/>
      <c r="AD1" s="83"/>
    </row>
    <row r="2" spans="1:30" s="86" customFormat="1" ht="12.75" customHeight="1">
      <c r="A2" s="73"/>
      <c r="B2" s="87" t="s">
        <v>43</v>
      </c>
      <c r="C2" s="88">
        <v>0.5</v>
      </c>
      <c r="D2" s="89"/>
      <c r="E2" s="90"/>
      <c r="F2" s="90"/>
      <c r="G2" s="91"/>
      <c r="H2" s="80" t="s">
        <v>44</v>
      </c>
      <c r="I2" s="80" t="s">
        <v>45</v>
      </c>
      <c r="J2" s="80" t="s">
        <v>46</v>
      </c>
      <c r="K2" s="81" t="s">
        <v>47</v>
      </c>
      <c r="L2" s="82"/>
      <c r="M2" s="82"/>
      <c r="N2" s="82"/>
      <c r="O2" s="82"/>
      <c r="P2" s="82"/>
      <c r="Q2" s="83"/>
      <c r="R2" s="82"/>
      <c r="S2" s="84">
        <f>C2</f>
        <v>0.5</v>
      </c>
      <c r="T2" s="82"/>
      <c r="U2" s="82"/>
      <c r="V2" s="83"/>
      <c r="W2"/>
      <c r="X2" s="85">
        <f>C2</f>
        <v>0.5</v>
      </c>
      <c r="Y2"/>
      <c r="Z2"/>
      <c r="AA2"/>
      <c r="AC2" s="83"/>
      <c r="AD2" s="83"/>
    </row>
    <row r="3" spans="1:30" s="86" customFormat="1" ht="12.75" customHeight="1">
      <c r="A3" s="73"/>
      <c r="B3" s="87" t="s">
        <v>48</v>
      </c>
      <c r="C3" s="88">
        <f>1-0.6531</f>
        <v>0.3469</v>
      </c>
      <c r="D3" s="89" t="s">
        <v>49</v>
      </c>
      <c r="E3" s="90"/>
      <c r="F3" s="90"/>
      <c r="G3" s="92">
        <f>0.6531</f>
        <v>0.6531</v>
      </c>
      <c r="H3" s="80" t="s">
        <v>50</v>
      </c>
      <c r="I3" s="80" t="s">
        <v>51</v>
      </c>
      <c r="J3" s="80" t="s">
        <v>52</v>
      </c>
      <c r="K3" s="81" t="s">
        <v>53</v>
      </c>
      <c r="L3" s="82"/>
      <c r="M3" s="82"/>
      <c r="N3" s="82"/>
      <c r="O3" s="82"/>
      <c r="P3" s="82"/>
      <c r="Q3" s="83"/>
      <c r="V3" s="83"/>
      <c r="W3"/>
      <c r="X3"/>
      <c r="Y3"/>
      <c r="Z3"/>
      <c r="AA3"/>
      <c r="AC3" s="83"/>
      <c r="AD3" s="83"/>
    </row>
    <row r="4" spans="1:30" s="86" customFormat="1" ht="12.75" customHeight="1">
      <c r="A4" s="93"/>
      <c r="B4" s="87" t="s">
        <v>54</v>
      </c>
      <c r="C4" s="88">
        <v>0.46</v>
      </c>
      <c r="D4" s="89"/>
      <c r="E4" s="90"/>
      <c r="F4" s="90"/>
      <c r="G4" s="91"/>
      <c r="H4" s="80" t="s">
        <v>55</v>
      </c>
      <c r="I4" s="80" t="s">
        <v>56</v>
      </c>
      <c r="J4" s="80" t="s">
        <v>57</v>
      </c>
      <c r="K4" s="81" t="s">
        <v>58</v>
      </c>
      <c r="L4" s="82"/>
      <c r="M4" s="82"/>
      <c r="N4" s="82"/>
      <c r="O4" s="82"/>
      <c r="P4" s="82"/>
      <c r="Q4" s="83"/>
      <c r="R4" s="82"/>
      <c r="S4" s="82"/>
      <c r="T4" s="82"/>
      <c r="U4" s="82"/>
      <c r="V4" s="83"/>
      <c r="W4"/>
      <c r="X4"/>
      <c r="Y4"/>
      <c r="Z4"/>
      <c r="AA4"/>
      <c r="AC4" s="83"/>
      <c r="AD4" s="83"/>
    </row>
    <row r="5" spans="1:30" s="86" customFormat="1" ht="12.75" customHeight="1">
      <c r="A5" s="93"/>
      <c r="B5" s="87" t="s">
        <v>59</v>
      </c>
      <c r="C5" s="94">
        <v>5500</v>
      </c>
      <c r="D5" s="89"/>
      <c r="E5" s="90"/>
      <c r="F5" s="90"/>
      <c r="G5" s="91"/>
      <c r="H5" s="80" t="s">
        <v>60</v>
      </c>
      <c r="I5" s="80" t="s">
        <v>61</v>
      </c>
      <c r="J5" s="80" t="s">
        <v>62</v>
      </c>
      <c r="K5" s="80" t="s">
        <v>63</v>
      </c>
      <c r="L5" s="82"/>
      <c r="M5" s="82"/>
      <c r="N5" s="82">
        <f>246944446/C1</f>
        <v>701496899.3679428</v>
      </c>
      <c r="O5" s="82"/>
      <c r="P5" s="82"/>
      <c r="Q5" s="83"/>
      <c r="V5" s="83"/>
      <c r="W5"/>
      <c r="X5"/>
      <c r="Y5"/>
      <c r="Z5"/>
      <c r="AA5"/>
      <c r="AC5" s="83"/>
      <c r="AD5" s="83"/>
    </row>
    <row r="6" spans="1:30" s="86" customFormat="1" ht="12.75" customHeight="1">
      <c r="A6" s="73"/>
      <c r="B6" s="87" t="s">
        <v>18</v>
      </c>
      <c r="C6" s="94">
        <v>1700</v>
      </c>
      <c r="D6" s="89"/>
      <c r="E6" s="90"/>
      <c r="F6" s="90"/>
      <c r="G6" s="91"/>
      <c r="H6" s="80" t="s">
        <v>64</v>
      </c>
      <c r="I6" s="80" t="s">
        <v>65</v>
      </c>
      <c r="J6" s="95"/>
      <c r="L6" s="82"/>
      <c r="M6" s="82"/>
      <c r="N6" s="82">
        <f>284000000/C1</f>
        <v>806760883.4599817</v>
      </c>
      <c r="O6" s="82"/>
      <c r="P6" s="82"/>
      <c r="Q6" s="83"/>
      <c r="R6" s="82"/>
      <c r="S6" s="82"/>
      <c r="T6" s="82"/>
      <c r="U6" s="82"/>
      <c r="V6" s="83"/>
      <c r="W6"/>
      <c r="X6"/>
      <c r="Y6"/>
      <c r="Z6"/>
      <c r="AA6"/>
      <c r="AC6" s="83"/>
      <c r="AD6" s="83"/>
    </row>
    <row r="7" spans="1:30" s="86" customFormat="1" ht="12.75" customHeight="1">
      <c r="A7" s="73"/>
      <c r="B7" s="96" t="s">
        <v>66</v>
      </c>
      <c r="C7" s="97">
        <v>2500</v>
      </c>
      <c r="D7" s="98"/>
      <c r="E7" s="99"/>
      <c r="F7" s="100"/>
      <c r="G7" s="101"/>
      <c r="H7" s="82"/>
      <c r="I7" s="82"/>
      <c r="J7" s="82"/>
      <c r="K7" s="82"/>
      <c r="L7" s="82"/>
      <c r="Q7" s="83"/>
      <c r="AA7"/>
      <c r="AC7" s="83"/>
      <c r="AD7" s="83"/>
    </row>
    <row r="8" spans="1:30" s="86" customFormat="1" ht="12.75" customHeight="1">
      <c r="A8" s="73"/>
      <c r="B8" s="102"/>
      <c r="C8" s="97"/>
      <c r="D8" s="98"/>
      <c r="E8" s="99"/>
      <c r="F8" s="100"/>
      <c r="G8" s="99"/>
      <c r="H8" s="82"/>
      <c r="I8" s="82"/>
      <c r="J8" s="82"/>
      <c r="K8" s="82"/>
      <c r="L8" s="82"/>
      <c r="M8" s="103" t="s">
        <v>67</v>
      </c>
      <c r="N8" s="104"/>
      <c r="O8" s="104"/>
      <c r="P8" s="105"/>
      <c r="Q8" s="83"/>
      <c r="R8" s="103" t="s">
        <v>68</v>
      </c>
      <c r="S8" s="104"/>
      <c r="T8" s="104"/>
      <c r="U8" s="105"/>
      <c r="V8" s="83"/>
      <c r="W8" s="103" t="s">
        <v>69</v>
      </c>
      <c r="X8" s="104"/>
      <c r="Y8" s="104"/>
      <c r="Z8" s="105"/>
      <c r="AA8"/>
      <c r="AC8" s="83"/>
      <c r="AD8" s="83"/>
    </row>
    <row r="9" spans="1:30" s="107" customFormat="1" ht="12.75" customHeight="1">
      <c r="A9" s="106"/>
      <c r="C9" s="108" t="s">
        <v>70</v>
      </c>
      <c r="D9" s="109" t="s">
        <v>71</v>
      </c>
      <c r="E9" s="97" t="s">
        <v>72</v>
      </c>
      <c r="F9" s="97" t="s">
        <v>72</v>
      </c>
      <c r="G9" s="97" t="s">
        <v>73</v>
      </c>
      <c r="H9" s="97" t="s">
        <v>1</v>
      </c>
      <c r="I9" s="97" t="s">
        <v>74</v>
      </c>
      <c r="J9" s="97" t="s">
        <v>66</v>
      </c>
      <c r="K9" s="97" t="s">
        <v>59</v>
      </c>
      <c r="L9" s="97" t="s">
        <v>18</v>
      </c>
      <c r="M9" s="110" t="s">
        <v>1</v>
      </c>
      <c r="N9" s="110" t="s">
        <v>7</v>
      </c>
      <c r="O9" s="110" t="s">
        <v>75</v>
      </c>
      <c r="P9" s="110" t="s">
        <v>76</v>
      </c>
      <c r="Q9" s="83"/>
      <c r="R9" s="110" t="s">
        <v>1</v>
      </c>
      <c r="S9" s="110" t="s">
        <v>7</v>
      </c>
      <c r="T9" s="110" t="s">
        <v>75</v>
      </c>
      <c r="U9" s="110" t="s">
        <v>76</v>
      </c>
      <c r="V9" s="111"/>
      <c r="W9" s="110" t="s">
        <v>1</v>
      </c>
      <c r="X9" s="110" t="s">
        <v>7</v>
      </c>
      <c r="Y9" s="110" t="s">
        <v>75</v>
      </c>
      <c r="Z9" s="110" t="s">
        <v>76</v>
      </c>
      <c r="AA9"/>
      <c r="AC9" s="111"/>
      <c r="AD9" s="111"/>
    </row>
    <row r="10" spans="1:30" s="86" customFormat="1" ht="12.75" customHeight="1">
      <c r="A10" s="73"/>
      <c r="B10" s="83"/>
      <c r="C10" s="93"/>
      <c r="D10" s="11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  <c r="V10" s="83"/>
      <c r="W10" s="82"/>
      <c r="X10" s="82"/>
      <c r="Y10" s="82"/>
      <c r="Z10" s="82"/>
      <c r="AA10"/>
      <c r="AC10" s="83"/>
      <c r="AD10" s="83"/>
    </row>
    <row r="11" spans="1:30" s="86" customFormat="1" ht="12.75" customHeight="1">
      <c r="A11" s="113"/>
      <c r="B11" s="84"/>
      <c r="C11" s="114"/>
      <c r="D11" s="83"/>
      <c r="E11" s="82"/>
      <c r="F11" s="115"/>
      <c r="G11" s="82"/>
      <c r="H11" s="82"/>
      <c r="I11" s="82"/>
      <c r="J11" s="82"/>
      <c r="K11" s="82"/>
      <c r="L11" s="82"/>
      <c r="M11" s="116"/>
      <c r="N11" s="116"/>
      <c r="O11" s="116"/>
      <c r="P11" s="116"/>
      <c r="Q11" s="102"/>
      <c r="R11" s="116"/>
      <c r="S11" s="116"/>
      <c r="T11" s="116"/>
      <c r="U11" s="116"/>
      <c r="V11" s="102"/>
      <c r="W11" s="116"/>
      <c r="X11" s="116"/>
      <c r="Y11" s="116">
        <f>Y18-377865950</f>
        <v>6411812</v>
      </c>
      <c r="Z11" s="116"/>
      <c r="AA11"/>
      <c r="AC11" s="83"/>
      <c r="AD11" s="83"/>
    </row>
    <row r="12" spans="1:27" ht="12.75" customHeight="1" thickBot="1">
      <c r="A12" s="117">
        <v>1</v>
      </c>
      <c r="B12" s="118" t="s">
        <v>23</v>
      </c>
      <c r="L12" s="82"/>
      <c r="M12" s="120"/>
      <c r="N12" s="120"/>
      <c r="O12" s="120"/>
      <c r="P12" s="120"/>
      <c r="R12" s="120"/>
      <c r="S12" s="120"/>
      <c r="T12" s="120"/>
      <c r="U12" s="120"/>
      <c r="AA12"/>
    </row>
    <row r="13" spans="1:30" s="107" customFormat="1" ht="1.5" customHeight="1">
      <c r="A13" s="106"/>
      <c r="B13" s="121" t="s">
        <v>77</v>
      </c>
      <c r="C13" s="93"/>
      <c r="D13" s="109" t="s">
        <v>71</v>
      </c>
      <c r="E13" s="97" t="s">
        <v>72</v>
      </c>
      <c r="F13" s="97" t="s">
        <v>72</v>
      </c>
      <c r="G13" s="97" t="s">
        <v>73</v>
      </c>
      <c r="H13" s="97" t="s">
        <v>1</v>
      </c>
      <c r="I13" s="97" t="s">
        <v>74</v>
      </c>
      <c r="J13" s="97" t="s">
        <v>66</v>
      </c>
      <c r="K13" s="97" t="s">
        <v>59</v>
      </c>
      <c r="L13" s="97" t="s">
        <v>18</v>
      </c>
      <c r="M13" s="97" t="s">
        <v>1</v>
      </c>
      <c r="N13" s="97" t="s">
        <v>7</v>
      </c>
      <c r="O13" s="97" t="s">
        <v>75</v>
      </c>
      <c r="P13" s="97" t="s">
        <v>76</v>
      </c>
      <c r="Q13" s="108"/>
      <c r="R13" s="97" t="s">
        <v>1</v>
      </c>
      <c r="S13" s="97" t="s">
        <v>7</v>
      </c>
      <c r="T13" s="97" t="s">
        <v>75</v>
      </c>
      <c r="U13" s="97" t="s">
        <v>76</v>
      </c>
      <c r="V13" s="83"/>
      <c r="W13" s="97" t="s">
        <v>1</v>
      </c>
      <c r="X13" s="97" t="s">
        <v>7</v>
      </c>
      <c r="Y13" s="97" t="s">
        <v>75</v>
      </c>
      <c r="Z13" s="97" t="s">
        <v>76</v>
      </c>
      <c r="AA13"/>
      <c r="AC13" s="111"/>
      <c r="AD13" s="111"/>
    </row>
    <row r="14" spans="1:30" s="86" customFormat="1" ht="12.75" customHeight="1" hidden="1">
      <c r="A14" s="122"/>
      <c r="B14" s="83"/>
      <c r="C14" s="93"/>
      <c r="D14" s="112"/>
      <c r="E14" s="82"/>
      <c r="F14" s="82">
        <f>+E14*D14</f>
        <v>0</v>
      </c>
      <c r="G14" s="82">
        <f>+F14*$C$4</f>
        <v>0</v>
      </c>
      <c r="H14" s="82">
        <f>+G14+F14</f>
        <v>0</v>
      </c>
      <c r="I14" s="82"/>
      <c r="J14" s="82">
        <f>+$C$7*D14</f>
        <v>0</v>
      </c>
      <c r="K14" s="82">
        <f>$C$5*D14</f>
        <v>0</v>
      </c>
      <c r="L14" s="82">
        <f>+$C$6*D14</f>
        <v>0</v>
      </c>
      <c r="M14" s="82">
        <f>SUM(H14:L14)</f>
        <v>0</v>
      </c>
      <c r="N14" s="82">
        <f>+M14*$C$2</f>
        <v>0</v>
      </c>
      <c r="O14" s="82"/>
      <c r="P14" s="82">
        <f>+M14-N14-O14</f>
        <v>0</v>
      </c>
      <c r="Q14" s="83"/>
      <c r="R14" s="82"/>
      <c r="S14" s="82"/>
      <c r="T14" s="82"/>
      <c r="U14" s="82"/>
      <c r="V14" s="83"/>
      <c r="W14" s="82"/>
      <c r="X14" s="82"/>
      <c r="Y14" s="82"/>
      <c r="Z14" s="82"/>
      <c r="AA14"/>
      <c r="AC14" s="83"/>
      <c r="AD14" s="83"/>
    </row>
    <row r="15" spans="1:30" s="86" customFormat="1" ht="12.75" customHeight="1" hidden="1">
      <c r="A15" s="73"/>
      <c r="B15" s="83"/>
      <c r="C15" s="93"/>
      <c r="D15" s="112"/>
      <c r="E15" s="82"/>
      <c r="F15" s="82">
        <f>+E15*D15</f>
        <v>0</v>
      </c>
      <c r="G15" s="82">
        <f>+F15*$C$4</f>
        <v>0</v>
      </c>
      <c r="H15" s="82">
        <f>+G15+F15</f>
        <v>0</v>
      </c>
      <c r="I15" s="82"/>
      <c r="J15" s="82">
        <f>+$C$7*D15</f>
        <v>0</v>
      </c>
      <c r="K15" s="82">
        <f>$C$5*D15</f>
        <v>0</v>
      </c>
      <c r="L15" s="82">
        <f>+$C$6*D15</f>
        <v>0</v>
      </c>
      <c r="M15" s="82">
        <f>SUM(H15:L15)</f>
        <v>0</v>
      </c>
      <c r="N15" s="82">
        <f>+M15*$C$2</f>
        <v>0</v>
      </c>
      <c r="O15" s="82"/>
      <c r="P15" s="82">
        <f>+M15-N15-O15</f>
        <v>0</v>
      </c>
      <c r="Q15" s="83"/>
      <c r="R15" s="82"/>
      <c r="S15" s="82"/>
      <c r="T15" s="82"/>
      <c r="U15" s="82"/>
      <c r="V15" s="83"/>
      <c r="W15" s="82"/>
      <c r="X15" s="82"/>
      <c r="Y15" s="82"/>
      <c r="Z15" s="82"/>
      <c r="AA15"/>
      <c r="AC15" s="83"/>
      <c r="AD15" s="83"/>
    </row>
    <row r="16" spans="1:30" s="86" customFormat="1" ht="12.75" customHeight="1" hidden="1" thickBot="1">
      <c r="A16" s="73"/>
      <c r="B16" s="83"/>
      <c r="C16" s="93"/>
      <c r="D16" s="112"/>
      <c r="E16" s="8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83"/>
      <c r="R16" s="123"/>
      <c r="S16" s="123"/>
      <c r="T16" s="123"/>
      <c r="U16" s="123"/>
      <c r="V16" s="83"/>
      <c r="W16" s="123"/>
      <c r="X16" s="123"/>
      <c r="Y16" s="123"/>
      <c r="Z16" s="123"/>
      <c r="AA16"/>
      <c r="AC16" s="83"/>
      <c r="AD16" s="83"/>
    </row>
    <row r="17" spans="1:30" s="86" customFormat="1" ht="12.75" customHeight="1">
      <c r="A17" s="73"/>
      <c r="B17" s="83"/>
      <c r="C17" s="93"/>
      <c r="D17" s="112"/>
      <c r="E17" s="82"/>
      <c r="F17" s="82">
        <f>SUM(F14:F15)</f>
        <v>0</v>
      </c>
      <c r="G17" s="82">
        <f>SUM(G14:G15)</f>
        <v>0</v>
      </c>
      <c r="H17" s="82">
        <f>SUM(H14:H15)</f>
        <v>0</v>
      </c>
      <c r="I17" s="82">
        <f>SUM(I14:I15)</f>
        <v>0</v>
      </c>
      <c r="J17" s="82">
        <f>SUM(J14:J15)</f>
        <v>0</v>
      </c>
      <c r="K17" s="82"/>
      <c r="L17" s="82"/>
      <c r="M17" s="82"/>
      <c r="N17" s="82"/>
      <c r="O17" s="82"/>
      <c r="P17" s="82"/>
      <c r="Q17" s="83"/>
      <c r="R17" s="82"/>
      <c r="S17" s="82"/>
      <c r="T17" s="82"/>
      <c r="U17" s="82"/>
      <c r="V17" s="83"/>
      <c r="W17" s="82"/>
      <c r="X17" s="82"/>
      <c r="Y17" s="82"/>
      <c r="Z17" s="82"/>
      <c r="AA17"/>
      <c r="AC17" s="83"/>
      <c r="AD17" s="83"/>
    </row>
    <row r="18" spans="1:30" s="86" customFormat="1" ht="12.75" customHeight="1">
      <c r="A18" s="124">
        <v>1</v>
      </c>
      <c r="B18" s="125" t="s">
        <v>78</v>
      </c>
      <c r="C18" s="93"/>
      <c r="D18" s="112"/>
      <c r="E18" s="82"/>
      <c r="F18" s="82"/>
      <c r="G18" s="82"/>
      <c r="H18" s="82">
        <f>+G18+F18</f>
        <v>0</v>
      </c>
      <c r="I18" s="82"/>
      <c r="J18" s="82"/>
      <c r="K18" s="82"/>
      <c r="L18" s="82">
        <v>0</v>
      </c>
      <c r="M18" s="90">
        <f>SUM(H18:L18)</f>
        <v>0</v>
      </c>
      <c r="N18" s="82">
        <v>41971446.70721769</v>
      </c>
      <c r="O18" s="82">
        <v>0</v>
      </c>
      <c r="P18" s="82">
        <v>-41971446.70721769</v>
      </c>
      <c r="Q18" s="83"/>
      <c r="R18" s="90">
        <f>3716348098-R19</f>
        <v>3603075886</v>
      </c>
      <c r="S18" s="90">
        <f>771709298-S19-37513969+273531154</f>
        <v>970754433.0032</v>
      </c>
      <c r="T18" s="90">
        <f>R21-S21-U21</f>
        <v>272375330</v>
      </c>
      <c r="U18" s="90">
        <f>2436246285-U19</f>
        <v>2359946122.9968</v>
      </c>
      <c r="V18" s="83"/>
      <c r="W18" s="90">
        <f>3795585296-W19</f>
        <v>3795585296</v>
      </c>
      <c r="X18" s="90">
        <f>984191781</f>
        <v>984191781</v>
      </c>
      <c r="Y18" s="90">
        <f>W18-X18-Z18</f>
        <v>384277762</v>
      </c>
      <c r="Z18" s="90">
        <f>2427115753</f>
        <v>2427115753</v>
      </c>
      <c r="AA18"/>
      <c r="AC18" s="83"/>
      <c r="AD18" s="83"/>
    </row>
    <row r="19" spans="1:30" s="86" customFormat="1" ht="12.75" customHeight="1">
      <c r="A19" s="124">
        <v>2</v>
      </c>
      <c r="B19" s="125" t="s">
        <v>13</v>
      </c>
      <c r="C19" s="93"/>
      <c r="D19" s="112"/>
      <c r="E19" s="82"/>
      <c r="F19" s="82"/>
      <c r="G19" s="82"/>
      <c r="H19" s="82"/>
      <c r="I19" s="82"/>
      <c r="J19" s="82"/>
      <c r="K19" s="82"/>
      <c r="L19" s="82">
        <v>4088523.8145612557</v>
      </c>
      <c r="M19" s="90">
        <f>SUM(H19:L19)</f>
        <v>4088523.8145612557</v>
      </c>
      <c r="N19" s="82">
        <v>1412278.3386448214</v>
      </c>
      <c r="O19" s="82">
        <v>0</v>
      </c>
      <c r="P19" s="82">
        <v>2676245.475916434</v>
      </c>
      <c r="Q19" s="83"/>
      <c r="R19" s="90">
        <f>'[10]JuneMedSum'!$I$40</f>
        <v>113272212</v>
      </c>
      <c r="S19" s="90">
        <f>R19*$S$1</f>
        <v>36972049.99679999</v>
      </c>
      <c r="T19" s="90"/>
      <c r="U19" s="90">
        <f>R19-S19-T19</f>
        <v>76300162.00320001</v>
      </c>
      <c r="V19" s="83"/>
      <c r="W19" s="90"/>
      <c r="X19" s="90"/>
      <c r="Y19" s="90"/>
      <c r="Z19" s="90"/>
      <c r="AA19"/>
      <c r="AC19" s="83"/>
      <c r="AD19" s="83"/>
    </row>
    <row r="20" spans="1:30" s="86" customFormat="1" ht="12.75" customHeight="1">
      <c r="A20" s="73"/>
      <c r="B20" s="83"/>
      <c r="C20" s="93"/>
      <c r="D20" s="112"/>
      <c r="E20" s="82"/>
      <c r="F20" s="82"/>
      <c r="G20" s="82"/>
      <c r="H20" s="82"/>
      <c r="I20" s="82"/>
      <c r="J20" s="82"/>
      <c r="K20" s="82"/>
      <c r="L20" s="82"/>
      <c r="M20" s="90"/>
      <c r="N20" s="82"/>
      <c r="O20" s="82"/>
      <c r="P20" s="82"/>
      <c r="Q20" s="83"/>
      <c r="R20" s="90"/>
      <c r="S20" s="90"/>
      <c r="T20" s="90"/>
      <c r="U20" s="82"/>
      <c r="V20" s="83"/>
      <c r="W20" s="90"/>
      <c r="X20" s="90"/>
      <c r="Y20" s="90"/>
      <c r="Z20" s="82"/>
      <c r="AA20"/>
      <c r="AB20" s="83"/>
      <c r="AC20" s="83"/>
      <c r="AD20" s="83"/>
    </row>
    <row r="21" spans="1:30" s="86" customFormat="1" ht="12.75" customHeight="1" thickBot="1">
      <c r="A21" s="73"/>
      <c r="B21" s="83" t="s">
        <v>79</v>
      </c>
      <c r="C21" s="93"/>
      <c r="D21" s="112"/>
      <c r="E21" s="82"/>
      <c r="F21" s="126">
        <f aca="true" t="shared" si="0" ref="F21:P21">SUM(F17:F20)</f>
        <v>0</v>
      </c>
      <c r="G21" s="126">
        <f t="shared" si="0"/>
        <v>0</v>
      </c>
      <c r="H21" s="126">
        <f t="shared" si="0"/>
        <v>0</v>
      </c>
      <c r="I21" s="126">
        <f t="shared" si="0"/>
        <v>0</v>
      </c>
      <c r="J21" s="126">
        <f t="shared" si="0"/>
        <v>0</v>
      </c>
      <c r="K21" s="126">
        <f t="shared" si="0"/>
        <v>0</v>
      </c>
      <c r="L21" s="126">
        <f t="shared" si="0"/>
        <v>4088523.8145612557</v>
      </c>
      <c r="M21" s="126">
        <f t="shared" si="0"/>
        <v>4088523.8145612557</v>
      </c>
      <c r="N21" s="126">
        <f t="shared" si="0"/>
        <v>43383725.04586252</v>
      </c>
      <c r="O21" s="126">
        <f t="shared" si="0"/>
        <v>0</v>
      </c>
      <c r="P21" s="126">
        <f t="shared" si="0"/>
        <v>-39295201.23130126</v>
      </c>
      <c r="Q21" s="83"/>
      <c r="R21" s="126">
        <f>SUM(R17:R20)</f>
        <v>3716348098</v>
      </c>
      <c r="S21" s="126">
        <f>SUM(S17:S20)</f>
        <v>1007726483</v>
      </c>
      <c r="T21" s="126">
        <f>SUM(T17:T20)</f>
        <v>272375330</v>
      </c>
      <c r="U21" s="126">
        <f>SUM(U17:U20)</f>
        <v>2436246285</v>
      </c>
      <c r="V21" s="83"/>
      <c r="W21" s="126">
        <f>SUM(W17:W20)</f>
        <v>3795585296</v>
      </c>
      <c r="X21" s="126">
        <f>SUM(X17:X20)</f>
        <v>984191781</v>
      </c>
      <c r="Y21" s="126">
        <f>SUM(Y17:Y20)</f>
        <v>384277762</v>
      </c>
      <c r="Z21" s="126">
        <f>SUM(Z17:Z20)</f>
        <v>2427115753</v>
      </c>
      <c r="AA21"/>
      <c r="AB21" s="83"/>
      <c r="AC21" s="83"/>
      <c r="AD21" s="83"/>
    </row>
    <row r="22" spans="3:29" ht="12.75" customHeight="1" thickTop="1">
      <c r="C22" s="127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  <c r="R22" s="82"/>
      <c r="S22" s="82"/>
      <c r="T22" s="82"/>
      <c r="U22" s="82"/>
      <c r="V22" s="83"/>
      <c r="W22" s="82"/>
      <c r="X22" s="82"/>
      <c r="Y22" s="82"/>
      <c r="Z22" s="82"/>
      <c r="AA22"/>
      <c r="AB22" s="83"/>
      <c r="AC22" s="83"/>
    </row>
    <row r="23" spans="1:30" s="107" customFormat="1" ht="12.75" customHeight="1">
      <c r="A23" s="106"/>
      <c r="B23" s="128" t="s">
        <v>80</v>
      </c>
      <c r="C23" s="93"/>
      <c r="D23" s="11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82"/>
      <c r="S23" s="82"/>
      <c r="T23" s="82"/>
      <c r="U23" s="82"/>
      <c r="V23" s="83"/>
      <c r="W23" s="82"/>
      <c r="X23" s="82"/>
      <c r="Y23" s="82"/>
      <c r="Z23" s="82"/>
      <c r="AA23"/>
      <c r="AB23" s="83"/>
      <c r="AC23" s="83"/>
      <c r="AD23" s="111"/>
    </row>
    <row r="24" spans="1:30" s="86" customFormat="1" ht="12.75" customHeight="1">
      <c r="A24" s="73"/>
      <c r="B24" s="83"/>
      <c r="C24" s="93"/>
      <c r="D24" s="112"/>
      <c r="E24" s="82"/>
      <c r="F24" s="82">
        <f>F21</f>
        <v>0</v>
      </c>
      <c r="G24" s="82">
        <f>G21</f>
        <v>0</v>
      </c>
      <c r="H24" s="90">
        <f>+G24+F24</f>
        <v>0</v>
      </c>
      <c r="I24" s="82"/>
      <c r="J24" s="82"/>
      <c r="K24" s="82"/>
      <c r="L24" s="82"/>
      <c r="M24" s="82"/>
      <c r="N24" s="82"/>
      <c r="O24" s="82">
        <v>0</v>
      </c>
      <c r="P24" s="82"/>
      <c r="Q24" s="83"/>
      <c r="R24" s="90"/>
      <c r="S24" s="90"/>
      <c r="T24" s="90"/>
      <c r="U24" s="82"/>
      <c r="V24" s="83"/>
      <c r="W24" s="90"/>
      <c r="X24" s="90"/>
      <c r="Y24" s="90"/>
      <c r="Z24" s="82"/>
      <c r="AA24"/>
      <c r="AB24" s="83"/>
      <c r="AC24" s="83"/>
      <c r="AD24" s="83"/>
    </row>
    <row r="25" spans="1:30" s="86" customFormat="1" ht="12.75" customHeight="1">
      <c r="A25" s="73"/>
      <c r="B25" s="129" t="str">
        <f>$B$653</f>
        <v>340-1020-01</v>
      </c>
      <c r="C25" s="93"/>
      <c r="D25" s="112"/>
      <c r="E25" s="82"/>
      <c r="F25" s="82"/>
      <c r="G25" s="82"/>
      <c r="H25" s="90"/>
      <c r="I25" s="82"/>
      <c r="J25" s="82"/>
      <c r="K25" s="82"/>
      <c r="L25" s="82">
        <f>L21</f>
        <v>4088523.8145612557</v>
      </c>
      <c r="M25" s="82">
        <f>SUM(H25:L25)</f>
        <v>4088523.8145612557</v>
      </c>
      <c r="N25" s="82">
        <f>N21</f>
        <v>43383725.04586252</v>
      </c>
      <c r="O25" s="82">
        <f>O21</f>
        <v>0</v>
      </c>
      <c r="P25" s="82">
        <f>P21</f>
        <v>-39295201.23130126</v>
      </c>
      <c r="Q25" s="83"/>
      <c r="R25" s="90">
        <f>R21</f>
        <v>3716348098</v>
      </c>
      <c r="S25" s="90">
        <f>S21</f>
        <v>1007726483</v>
      </c>
      <c r="T25" s="90">
        <f>T21</f>
        <v>272375330</v>
      </c>
      <c r="U25" s="90">
        <f>R25-S25-T25</f>
        <v>2436246285</v>
      </c>
      <c r="V25" s="83"/>
      <c r="W25" s="90">
        <f>W21</f>
        <v>3795585296</v>
      </c>
      <c r="X25" s="90">
        <f>X21</f>
        <v>984191781</v>
      </c>
      <c r="Y25" s="90">
        <f>Y21</f>
        <v>384277762</v>
      </c>
      <c r="Z25" s="90">
        <f>Z21</f>
        <v>2427115753</v>
      </c>
      <c r="AA25"/>
      <c r="AB25" s="83"/>
      <c r="AC25" s="83"/>
      <c r="AD25" s="83"/>
    </row>
    <row r="26" spans="1:30" s="86" customFormat="1" ht="12.75" customHeight="1" thickBot="1">
      <c r="A26" s="73"/>
      <c r="B26" s="83"/>
      <c r="C26" s="93"/>
      <c r="D26" s="112"/>
      <c r="E26" s="82"/>
      <c r="F26" s="126">
        <f aca="true" t="shared" si="1" ref="F26:P26">SUM(F24:F25)</f>
        <v>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4088523.8145612557</v>
      </c>
      <c r="M26" s="126">
        <f t="shared" si="1"/>
        <v>4088523.8145612557</v>
      </c>
      <c r="N26" s="126">
        <f t="shared" si="1"/>
        <v>43383725.04586252</v>
      </c>
      <c r="O26" s="126">
        <f t="shared" si="1"/>
        <v>0</v>
      </c>
      <c r="P26" s="126">
        <f t="shared" si="1"/>
        <v>-39295201.23130126</v>
      </c>
      <c r="Q26" s="130"/>
      <c r="R26" s="126">
        <f>SUM(R24:R25)</f>
        <v>3716348098</v>
      </c>
      <c r="S26" s="126">
        <f>SUM(S24:S25)</f>
        <v>1007726483</v>
      </c>
      <c r="T26" s="126">
        <f>SUM(T24:T25)</f>
        <v>272375330</v>
      </c>
      <c r="U26" s="126">
        <f>SUM(U24:U25)</f>
        <v>2436246285</v>
      </c>
      <c r="V26" s="83"/>
      <c r="W26" s="126">
        <f>SUM(W24:W25)</f>
        <v>3795585296</v>
      </c>
      <c r="X26" s="126">
        <f>SUM(X24:X25)</f>
        <v>984191781</v>
      </c>
      <c r="Y26" s="126">
        <f>SUM(Y24:Y25)</f>
        <v>384277762</v>
      </c>
      <c r="Z26" s="126">
        <f>SUM(Z24:Z25)</f>
        <v>2427115753</v>
      </c>
      <c r="AA26"/>
      <c r="AB26" s="83"/>
      <c r="AC26" s="83"/>
      <c r="AD26" s="83"/>
    </row>
    <row r="27" spans="6:29" ht="12.75" customHeight="1" thickTop="1"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  <c r="R27" s="82"/>
      <c r="S27" s="82"/>
      <c r="T27" s="82"/>
      <c r="U27" s="82"/>
      <c r="V27" s="83"/>
      <c r="W27" s="82"/>
      <c r="X27" s="82"/>
      <c r="Y27" s="82"/>
      <c r="Z27" s="82"/>
      <c r="AA27"/>
      <c r="AB27" s="83"/>
      <c r="AC27" s="83"/>
    </row>
    <row r="28" spans="1:29" ht="12" customHeight="1" thickBot="1">
      <c r="A28" s="117">
        <v>2</v>
      </c>
      <c r="B28" s="118" t="s">
        <v>21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82"/>
      <c r="S28" s="82"/>
      <c r="T28" s="82"/>
      <c r="U28" s="82"/>
      <c r="V28" s="83"/>
      <c r="W28" s="82"/>
      <c r="X28" s="82"/>
      <c r="Y28" s="82"/>
      <c r="Z28" s="82"/>
      <c r="AA28"/>
      <c r="AB28" s="83"/>
      <c r="AC28" s="83"/>
    </row>
    <row r="29" spans="1:30" s="107" customFormat="1" ht="1.5" customHeight="1">
      <c r="A29" s="106"/>
      <c r="B29" s="121" t="s">
        <v>77</v>
      </c>
      <c r="C29" s="93"/>
      <c r="D29" s="109" t="s">
        <v>71</v>
      </c>
      <c r="E29" s="97" t="s">
        <v>72</v>
      </c>
      <c r="F29" s="97" t="s">
        <v>72</v>
      </c>
      <c r="G29" s="97" t="s">
        <v>73</v>
      </c>
      <c r="H29" s="97" t="s">
        <v>1</v>
      </c>
      <c r="I29" s="97" t="s">
        <v>74</v>
      </c>
      <c r="J29" s="97" t="s">
        <v>66</v>
      </c>
      <c r="K29" s="97" t="s">
        <v>59</v>
      </c>
      <c r="L29" s="97" t="s">
        <v>18</v>
      </c>
      <c r="M29" s="97" t="s">
        <v>1</v>
      </c>
      <c r="N29" s="97" t="s">
        <v>7</v>
      </c>
      <c r="O29" s="97" t="s">
        <v>75</v>
      </c>
      <c r="P29" s="97" t="s">
        <v>76</v>
      </c>
      <c r="Q29" s="108"/>
      <c r="R29" s="97" t="s">
        <v>1</v>
      </c>
      <c r="S29" s="97" t="s">
        <v>7</v>
      </c>
      <c r="T29" s="97" t="s">
        <v>75</v>
      </c>
      <c r="U29" s="97" t="s">
        <v>76</v>
      </c>
      <c r="V29" s="83"/>
      <c r="W29" s="97" t="s">
        <v>1</v>
      </c>
      <c r="X29" s="97" t="s">
        <v>7</v>
      </c>
      <c r="Y29" s="97" t="s">
        <v>75</v>
      </c>
      <c r="Z29" s="97" t="s">
        <v>76</v>
      </c>
      <c r="AA29"/>
      <c r="AB29" s="83"/>
      <c r="AC29" s="83"/>
      <c r="AD29" s="111"/>
    </row>
    <row r="30" spans="1:30" s="86" customFormat="1" ht="12.75" customHeight="1" hidden="1">
      <c r="A30" s="122"/>
      <c r="B30" s="102"/>
      <c r="C30" s="93"/>
      <c r="D30" s="131"/>
      <c r="E30" s="94"/>
      <c r="F30" s="82">
        <f aca="true" t="shared" si="2" ref="F30:F38">+E30*D30</f>
        <v>0</v>
      </c>
      <c r="G30" s="82">
        <f aca="true" t="shared" si="3" ref="G30:G38">+F30*$C$4</f>
        <v>0</v>
      </c>
      <c r="H30" s="82">
        <f aca="true" t="shared" si="4" ref="H30:H38">+G30+F30</f>
        <v>0</v>
      </c>
      <c r="I30" s="82"/>
      <c r="J30" s="82">
        <f aca="true" t="shared" si="5" ref="J30:J38">+$C$7*D30</f>
        <v>0</v>
      </c>
      <c r="K30" s="82">
        <f aca="true" t="shared" si="6" ref="K30:K38">$C$5*D30</f>
        <v>0</v>
      </c>
      <c r="L30" s="82">
        <f aca="true" t="shared" si="7" ref="L30:L38">+$C$6*D30</f>
        <v>0</v>
      </c>
      <c r="M30" s="82">
        <f aca="true" t="shared" si="8" ref="M30:M38">SUM(H30:L30)</f>
        <v>0</v>
      </c>
      <c r="N30" s="82">
        <f aca="true" t="shared" si="9" ref="N30:N38">+M30*$C$2</f>
        <v>0</v>
      </c>
      <c r="O30" s="82"/>
      <c r="P30" s="82">
        <f aca="true" t="shared" si="10" ref="P30:P38">+M30-N30-O30</f>
        <v>0</v>
      </c>
      <c r="Q30" s="83"/>
      <c r="R30" s="82"/>
      <c r="S30" s="82"/>
      <c r="T30" s="82"/>
      <c r="U30" s="82"/>
      <c r="V30" s="83"/>
      <c r="W30" s="82"/>
      <c r="X30" s="82"/>
      <c r="Y30" s="82"/>
      <c r="Z30" s="82"/>
      <c r="AA30"/>
      <c r="AB30" s="83"/>
      <c r="AC30" s="83"/>
      <c r="AD30" s="83"/>
    </row>
    <row r="31" spans="1:30" s="86" customFormat="1" ht="12.75" customHeight="1" hidden="1">
      <c r="A31" s="122"/>
      <c r="B31" s="102"/>
      <c r="C31" s="93"/>
      <c r="D31" s="131"/>
      <c r="E31" s="94"/>
      <c r="F31" s="82">
        <f t="shared" si="2"/>
        <v>0</v>
      </c>
      <c r="G31" s="82">
        <f t="shared" si="3"/>
        <v>0</v>
      </c>
      <c r="H31" s="82">
        <f t="shared" si="4"/>
        <v>0</v>
      </c>
      <c r="I31" s="82"/>
      <c r="J31" s="82">
        <f t="shared" si="5"/>
        <v>0</v>
      </c>
      <c r="K31" s="82">
        <f t="shared" si="6"/>
        <v>0</v>
      </c>
      <c r="L31" s="82">
        <f t="shared" si="7"/>
        <v>0</v>
      </c>
      <c r="M31" s="82">
        <f t="shared" si="8"/>
        <v>0</v>
      </c>
      <c r="N31" s="82">
        <f t="shared" si="9"/>
        <v>0</v>
      </c>
      <c r="O31" s="82"/>
      <c r="P31" s="82">
        <f t="shared" si="10"/>
        <v>0</v>
      </c>
      <c r="Q31" s="83"/>
      <c r="R31" s="82"/>
      <c r="S31" s="82"/>
      <c r="T31" s="82"/>
      <c r="U31" s="82"/>
      <c r="V31" s="83"/>
      <c r="W31" s="82"/>
      <c r="X31" s="82"/>
      <c r="Y31" s="82"/>
      <c r="Z31" s="82"/>
      <c r="AA31"/>
      <c r="AB31" s="83"/>
      <c r="AC31" s="83"/>
      <c r="AD31" s="83"/>
    </row>
    <row r="32" spans="1:30" s="86" customFormat="1" ht="12.75" customHeight="1" hidden="1">
      <c r="A32" s="122"/>
      <c r="B32" s="102"/>
      <c r="C32" s="93"/>
      <c r="D32" s="131"/>
      <c r="E32" s="94"/>
      <c r="F32" s="82">
        <f t="shared" si="2"/>
        <v>0</v>
      </c>
      <c r="G32" s="82">
        <f t="shared" si="3"/>
        <v>0</v>
      </c>
      <c r="H32" s="82">
        <f t="shared" si="4"/>
        <v>0</v>
      </c>
      <c r="I32" s="82"/>
      <c r="J32" s="82">
        <f t="shared" si="5"/>
        <v>0</v>
      </c>
      <c r="K32" s="82">
        <f t="shared" si="6"/>
        <v>0</v>
      </c>
      <c r="L32" s="82">
        <f t="shared" si="7"/>
        <v>0</v>
      </c>
      <c r="M32" s="82">
        <f t="shared" si="8"/>
        <v>0</v>
      </c>
      <c r="N32" s="82">
        <f t="shared" si="9"/>
        <v>0</v>
      </c>
      <c r="O32" s="82"/>
      <c r="P32" s="82">
        <f t="shared" si="10"/>
        <v>0</v>
      </c>
      <c r="Q32" s="83"/>
      <c r="R32" s="82"/>
      <c r="S32" s="82"/>
      <c r="T32" s="82"/>
      <c r="U32" s="82"/>
      <c r="V32" s="83"/>
      <c r="W32" s="82"/>
      <c r="X32" s="82"/>
      <c r="Y32" s="82"/>
      <c r="Z32" s="82"/>
      <c r="AA32"/>
      <c r="AB32" s="83"/>
      <c r="AC32" s="83"/>
      <c r="AD32" s="83"/>
    </row>
    <row r="33" spans="1:30" s="86" customFormat="1" ht="12.75" customHeight="1" hidden="1">
      <c r="A33" s="122"/>
      <c r="B33" s="102"/>
      <c r="C33" s="93"/>
      <c r="D33" s="131"/>
      <c r="E33" s="94"/>
      <c r="F33" s="82">
        <f t="shared" si="2"/>
        <v>0</v>
      </c>
      <c r="G33" s="82">
        <f t="shared" si="3"/>
        <v>0</v>
      </c>
      <c r="H33" s="82">
        <f t="shared" si="4"/>
        <v>0</v>
      </c>
      <c r="I33" s="82"/>
      <c r="J33" s="82">
        <f t="shared" si="5"/>
        <v>0</v>
      </c>
      <c r="K33" s="82">
        <f t="shared" si="6"/>
        <v>0</v>
      </c>
      <c r="L33" s="82">
        <f t="shared" si="7"/>
        <v>0</v>
      </c>
      <c r="M33" s="82">
        <f t="shared" si="8"/>
        <v>0</v>
      </c>
      <c r="N33" s="82">
        <f t="shared" si="9"/>
        <v>0</v>
      </c>
      <c r="O33" s="82"/>
      <c r="P33" s="82">
        <f t="shared" si="10"/>
        <v>0</v>
      </c>
      <c r="Q33" s="83"/>
      <c r="R33" s="82"/>
      <c r="S33" s="82"/>
      <c r="T33" s="82"/>
      <c r="U33" s="82"/>
      <c r="V33" s="83"/>
      <c r="W33" s="82"/>
      <c r="X33" s="82"/>
      <c r="Y33" s="82"/>
      <c r="Z33" s="82"/>
      <c r="AA33"/>
      <c r="AB33" s="83"/>
      <c r="AC33" s="83"/>
      <c r="AD33" s="83"/>
    </row>
    <row r="34" spans="1:30" s="86" customFormat="1" ht="12.75" customHeight="1" hidden="1">
      <c r="A34" s="122"/>
      <c r="B34" s="102"/>
      <c r="C34" s="93"/>
      <c r="D34" s="131"/>
      <c r="E34" s="94"/>
      <c r="F34" s="82">
        <f t="shared" si="2"/>
        <v>0</v>
      </c>
      <c r="G34" s="82">
        <f t="shared" si="3"/>
        <v>0</v>
      </c>
      <c r="H34" s="82">
        <f t="shared" si="4"/>
        <v>0</v>
      </c>
      <c r="I34" s="82"/>
      <c r="J34" s="82">
        <f t="shared" si="5"/>
        <v>0</v>
      </c>
      <c r="K34" s="82">
        <f t="shared" si="6"/>
        <v>0</v>
      </c>
      <c r="L34" s="82">
        <f t="shared" si="7"/>
        <v>0</v>
      </c>
      <c r="M34" s="82">
        <f t="shared" si="8"/>
        <v>0</v>
      </c>
      <c r="N34" s="82">
        <f t="shared" si="9"/>
        <v>0</v>
      </c>
      <c r="O34" s="82"/>
      <c r="P34" s="82">
        <f t="shared" si="10"/>
        <v>0</v>
      </c>
      <c r="Q34" s="83"/>
      <c r="R34" s="82"/>
      <c r="S34" s="82"/>
      <c r="T34" s="82"/>
      <c r="U34" s="82"/>
      <c r="V34" s="83"/>
      <c r="W34" s="82"/>
      <c r="X34" s="82"/>
      <c r="Y34" s="82"/>
      <c r="Z34" s="82"/>
      <c r="AA34"/>
      <c r="AB34" s="83"/>
      <c r="AC34" s="83"/>
      <c r="AD34" s="83"/>
    </row>
    <row r="35" spans="1:30" s="86" customFormat="1" ht="12.75" customHeight="1" hidden="1">
      <c r="A35" s="122"/>
      <c r="B35" s="132"/>
      <c r="C35" s="93"/>
      <c r="D35" s="131"/>
      <c r="E35" s="94"/>
      <c r="F35" s="82">
        <f t="shared" si="2"/>
        <v>0</v>
      </c>
      <c r="G35" s="82">
        <f t="shared" si="3"/>
        <v>0</v>
      </c>
      <c r="H35" s="82">
        <f t="shared" si="4"/>
        <v>0</v>
      </c>
      <c r="I35" s="82"/>
      <c r="J35" s="82">
        <f t="shared" si="5"/>
        <v>0</v>
      </c>
      <c r="K35" s="82">
        <f t="shared" si="6"/>
        <v>0</v>
      </c>
      <c r="L35" s="82">
        <f t="shared" si="7"/>
        <v>0</v>
      </c>
      <c r="M35" s="82">
        <f t="shared" si="8"/>
        <v>0</v>
      </c>
      <c r="N35" s="82">
        <f t="shared" si="9"/>
        <v>0</v>
      </c>
      <c r="O35" s="82"/>
      <c r="P35" s="82">
        <f t="shared" si="10"/>
        <v>0</v>
      </c>
      <c r="Q35" s="83"/>
      <c r="R35" s="82"/>
      <c r="S35" s="82"/>
      <c r="T35" s="82"/>
      <c r="U35" s="82"/>
      <c r="V35" s="83"/>
      <c r="W35" s="82"/>
      <c r="X35" s="82"/>
      <c r="Y35" s="82"/>
      <c r="Z35" s="82"/>
      <c r="AA35"/>
      <c r="AB35" s="83"/>
      <c r="AC35" s="83"/>
      <c r="AD35" s="83"/>
    </row>
    <row r="36" spans="1:30" s="86" customFormat="1" ht="12.75" customHeight="1" hidden="1">
      <c r="A36" s="122"/>
      <c r="B36" s="132"/>
      <c r="C36" s="93"/>
      <c r="D36" s="131"/>
      <c r="E36" s="94"/>
      <c r="F36" s="82">
        <f t="shared" si="2"/>
        <v>0</v>
      </c>
      <c r="G36" s="82">
        <f t="shared" si="3"/>
        <v>0</v>
      </c>
      <c r="H36" s="82">
        <f t="shared" si="4"/>
        <v>0</v>
      </c>
      <c r="I36" s="82"/>
      <c r="J36" s="82">
        <f t="shared" si="5"/>
        <v>0</v>
      </c>
      <c r="K36" s="82">
        <f t="shared" si="6"/>
        <v>0</v>
      </c>
      <c r="L36" s="82">
        <f t="shared" si="7"/>
        <v>0</v>
      </c>
      <c r="M36" s="82">
        <f t="shared" si="8"/>
        <v>0</v>
      </c>
      <c r="N36" s="82">
        <f t="shared" si="9"/>
        <v>0</v>
      </c>
      <c r="O36" s="82"/>
      <c r="P36" s="82">
        <f t="shared" si="10"/>
        <v>0</v>
      </c>
      <c r="Q36" s="83"/>
      <c r="R36" s="82"/>
      <c r="S36" s="82"/>
      <c r="T36" s="82"/>
      <c r="U36" s="82"/>
      <c r="V36" s="83"/>
      <c r="W36" s="82"/>
      <c r="X36" s="82"/>
      <c r="Y36" s="82"/>
      <c r="Z36" s="82"/>
      <c r="AA36"/>
      <c r="AB36" s="83"/>
      <c r="AC36" s="83"/>
      <c r="AD36" s="83"/>
    </row>
    <row r="37" spans="1:30" s="86" customFormat="1" ht="12.75" customHeight="1" hidden="1">
      <c r="A37" s="122"/>
      <c r="B37" s="132"/>
      <c r="C37" s="93"/>
      <c r="D37" s="131"/>
      <c r="E37" s="94"/>
      <c r="F37" s="82">
        <f t="shared" si="2"/>
        <v>0</v>
      </c>
      <c r="G37" s="82">
        <f t="shared" si="3"/>
        <v>0</v>
      </c>
      <c r="H37" s="82">
        <f t="shared" si="4"/>
        <v>0</v>
      </c>
      <c r="I37" s="82"/>
      <c r="J37" s="82">
        <f t="shared" si="5"/>
        <v>0</v>
      </c>
      <c r="K37" s="82">
        <f t="shared" si="6"/>
        <v>0</v>
      </c>
      <c r="L37" s="82">
        <f t="shared" si="7"/>
        <v>0</v>
      </c>
      <c r="M37" s="82">
        <f t="shared" si="8"/>
        <v>0</v>
      </c>
      <c r="N37" s="82">
        <f t="shared" si="9"/>
        <v>0</v>
      </c>
      <c r="O37" s="82"/>
      <c r="P37" s="82">
        <f t="shared" si="10"/>
        <v>0</v>
      </c>
      <c r="Q37" s="83"/>
      <c r="R37" s="82"/>
      <c r="S37" s="82"/>
      <c r="T37" s="82"/>
      <c r="U37" s="82"/>
      <c r="V37" s="83"/>
      <c r="W37" s="82"/>
      <c r="X37" s="82"/>
      <c r="Y37" s="82"/>
      <c r="Z37" s="82"/>
      <c r="AA37"/>
      <c r="AB37" s="83"/>
      <c r="AC37" s="83"/>
      <c r="AD37" s="83"/>
    </row>
    <row r="38" spans="1:30" s="86" customFormat="1" ht="12.75" customHeight="1" hidden="1">
      <c r="A38" s="122"/>
      <c r="B38" s="132"/>
      <c r="C38" s="93"/>
      <c r="D38" s="112"/>
      <c r="E38" s="82"/>
      <c r="F38" s="82">
        <f t="shared" si="2"/>
        <v>0</v>
      </c>
      <c r="G38" s="82">
        <f t="shared" si="3"/>
        <v>0</v>
      </c>
      <c r="H38" s="82">
        <f t="shared" si="4"/>
        <v>0</v>
      </c>
      <c r="I38" s="82"/>
      <c r="J38" s="82">
        <f t="shared" si="5"/>
        <v>0</v>
      </c>
      <c r="K38" s="82">
        <f t="shared" si="6"/>
        <v>0</v>
      </c>
      <c r="L38" s="82">
        <f t="shared" si="7"/>
        <v>0</v>
      </c>
      <c r="M38" s="82">
        <f t="shared" si="8"/>
        <v>0</v>
      </c>
      <c r="N38" s="82">
        <f t="shared" si="9"/>
        <v>0</v>
      </c>
      <c r="O38" s="82"/>
      <c r="P38" s="82">
        <f t="shared" si="10"/>
        <v>0</v>
      </c>
      <c r="Q38" s="83"/>
      <c r="R38" s="82"/>
      <c r="S38" s="82"/>
      <c r="T38" s="82"/>
      <c r="U38" s="82"/>
      <c r="V38" s="83"/>
      <c r="W38" s="82"/>
      <c r="X38" s="82"/>
      <c r="Y38" s="82"/>
      <c r="Z38" s="82"/>
      <c r="AA38"/>
      <c r="AB38" s="83"/>
      <c r="AC38" s="83"/>
      <c r="AD38" s="83"/>
    </row>
    <row r="39" spans="1:30" s="86" customFormat="1" ht="12.75" customHeight="1" hidden="1" thickBot="1">
      <c r="A39" s="73"/>
      <c r="B39" s="132"/>
      <c r="C39" s="93"/>
      <c r="D39" s="112"/>
      <c r="E39" s="8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83"/>
      <c r="R39" s="123"/>
      <c r="S39" s="123"/>
      <c r="T39" s="123"/>
      <c r="U39" s="123"/>
      <c r="V39" s="83"/>
      <c r="W39" s="123"/>
      <c r="X39" s="123"/>
      <c r="Y39" s="123"/>
      <c r="Z39" s="123"/>
      <c r="AA39"/>
      <c r="AB39" s="83"/>
      <c r="AC39" s="83"/>
      <c r="AD39" s="83"/>
    </row>
    <row r="40" spans="1:30" s="86" customFormat="1" ht="12.75" customHeight="1" hidden="1">
      <c r="A40" s="73"/>
      <c r="B40" s="132"/>
      <c r="C40" s="93"/>
      <c r="D40" s="112"/>
      <c r="E40" s="82"/>
      <c r="F40" s="82">
        <f aca="true" t="shared" si="11" ref="F40:P40">SUM(F30:F38)</f>
        <v>0</v>
      </c>
      <c r="G40" s="82">
        <f t="shared" si="11"/>
        <v>0</v>
      </c>
      <c r="H40" s="82">
        <f t="shared" si="11"/>
        <v>0</v>
      </c>
      <c r="I40" s="82">
        <f t="shared" si="11"/>
        <v>0</v>
      </c>
      <c r="J40" s="82">
        <f t="shared" si="11"/>
        <v>0</v>
      </c>
      <c r="K40" s="82">
        <f t="shared" si="11"/>
        <v>0</v>
      </c>
      <c r="L40" s="82">
        <f t="shared" si="11"/>
        <v>0</v>
      </c>
      <c r="M40" s="82">
        <f t="shared" si="11"/>
        <v>0</v>
      </c>
      <c r="N40" s="82">
        <f t="shared" si="11"/>
        <v>0</v>
      </c>
      <c r="O40" s="82">
        <f t="shared" si="11"/>
        <v>0</v>
      </c>
      <c r="P40" s="82">
        <f t="shared" si="11"/>
        <v>0</v>
      </c>
      <c r="Q40" s="83"/>
      <c r="R40" s="82">
        <f>SUM(R30:R38)</f>
        <v>0</v>
      </c>
      <c r="S40" s="82">
        <f>SUM(S30:S38)</f>
        <v>0</v>
      </c>
      <c r="T40" s="82">
        <f>SUM(T30:T38)</f>
        <v>0</v>
      </c>
      <c r="U40" s="82">
        <f>SUM(U30:U38)</f>
        <v>0</v>
      </c>
      <c r="V40" s="83"/>
      <c r="W40" s="82">
        <f>SUM(W30:W38)</f>
        <v>0</v>
      </c>
      <c r="X40" s="82">
        <f>SUM(X30:X38)</f>
        <v>0</v>
      </c>
      <c r="Y40" s="82">
        <f>SUM(Y30:Y38)</f>
        <v>0</v>
      </c>
      <c r="Z40" s="82">
        <f>SUM(Z30:Z38)</f>
        <v>0</v>
      </c>
      <c r="AA40"/>
      <c r="AB40" s="83"/>
      <c r="AC40" s="83"/>
      <c r="AD40" s="83"/>
    </row>
    <row r="41" spans="2:29" ht="12" customHeight="1">
      <c r="B41" s="13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3"/>
      <c r="R41" s="82"/>
      <c r="S41" s="82"/>
      <c r="T41" s="82"/>
      <c r="U41" s="82"/>
      <c r="V41" s="83"/>
      <c r="W41" s="82"/>
      <c r="X41" s="82"/>
      <c r="Y41" s="82"/>
      <c r="Z41" s="82"/>
      <c r="AA41"/>
      <c r="AB41" s="83"/>
      <c r="AC41" s="83"/>
    </row>
    <row r="42" spans="1:27" s="83" customFormat="1" ht="12" customHeight="1">
      <c r="A42" s="124"/>
      <c r="B42" s="125" t="s">
        <v>81</v>
      </c>
      <c r="C42" s="133"/>
      <c r="D42" s="112"/>
      <c r="E42" s="82"/>
      <c r="F42" s="82"/>
      <c r="G42" s="82"/>
      <c r="H42" s="90"/>
      <c r="I42" s="82"/>
      <c r="J42" s="82"/>
      <c r="K42" s="82"/>
      <c r="L42" s="82">
        <v>109698939.00242038</v>
      </c>
      <c r="M42" s="90">
        <f>SUM(H42:L42)</f>
        <v>109698939.00242038</v>
      </c>
      <c r="N42" s="82">
        <v>36095770.858995445</v>
      </c>
      <c r="O42" s="82">
        <v>5202244.035364006</v>
      </c>
      <c r="P42" s="82">
        <v>68400924.10806093</v>
      </c>
      <c r="R42" s="90"/>
      <c r="S42" s="90">
        <f>R42*$S$1</f>
        <v>0</v>
      </c>
      <c r="T42" s="90"/>
      <c r="U42" s="90">
        <f aca="true" t="shared" si="12" ref="U42:U49">R42-S42-T42</f>
        <v>0</v>
      </c>
      <c r="W42" s="90"/>
      <c r="X42" s="90">
        <f>W42*$X$1</f>
        <v>0</v>
      </c>
      <c r="Y42" s="90"/>
      <c r="Z42" s="90">
        <f>W42-X42-Y42</f>
        <v>0</v>
      </c>
      <c r="AA42"/>
    </row>
    <row r="43" spans="1:27" s="83" customFormat="1" ht="12.75" customHeight="1">
      <c r="A43" s="124"/>
      <c r="B43" s="125" t="s">
        <v>82</v>
      </c>
      <c r="C43" s="133"/>
      <c r="D43" s="112"/>
      <c r="E43" s="82"/>
      <c r="F43" s="82"/>
      <c r="G43" s="82"/>
      <c r="H43" s="90"/>
      <c r="I43" s="82"/>
      <c r="J43" s="82"/>
      <c r="K43" s="82"/>
      <c r="L43" s="82">
        <v>5731482.130754072</v>
      </c>
      <c r="M43" s="90">
        <f>SUM(H43:L43)</f>
        <v>5731482.130754072</v>
      </c>
      <c r="N43" s="82">
        <v>1988251.1511585875</v>
      </c>
      <c r="O43" s="82"/>
      <c r="P43" s="82">
        <v>3743230.9795954847</v>
      </c>
      <c r="R43" s="90"/>
      <c r="S43" s="90"/>
      <c r="T43" s="90"/>
      <c r="U43" s="90">
        <f t="shared" si="12"/>
        <v>0</v>
      </c>
      <c r="W43" s="90"/>
      <c r="X43" s="90"/>
      <c r="Y43" s="90"/>
      <c r="Z43" s="90"/>
      <c r="AA43"/>
    </row>
    <row r="44" spans="1:27" s="83" customFormat="1" ht="12.75" customHeight="1">
      <c r="A44" s="124"/>
      <c r="B44" s="125" t="s">
        <v>12</v>
      </c>
      <c r="C44" s="93"/>
      <c r="D44" s="112"/>
      <c r="E44" s="82"/>
      <c r="F44" s="82"/>
      <c r="G44" s="82"/>
      <c r="H44" s="90"/>
      <c r="I44" s="82"/>
      <c r="J44" s="82"/>
      <c r="K44" s="82"/>
      <c r="L44" s="82">
        <v>2537376.7791936174</v>
      </c>
      <c r="M44" s="90">
        <f>SUM(H44:L44)</f>
        <v>2537376.7791936174</v>
      </c>
      <c r="N44" s="82">
        <v>2537376.7791936174</v>
      </c>
      <c r="O44" s="82"/>
      <c r="P44" s="82"/>
      <c r="R44" s="90"/>
      <c r="S44" s="90"/>
      <c r="T44" s="90"/>
      <c r="U44" s="90">
        <f t="shared" si="12"/>
        <v>0</v>
      </c>
      <c r="W44" s="90"/>
      <c r="X44" s="90"/>
      <c r="Y44" s="90"/>
      <c r="Z44" s="90"/>
      <c r="AA44"/>
    </row>
    <row r="45" spans="1:27" s="83" customFormat="1" ht="12.75" customHeight="1">
      <c r="A45" s="124"/>
      <c r="B45" s="134" t="s">
        <v>83</v>
      </c>
      <c r="C45" s="93"/>
      <c r="D45" s="112"/>
      <c r="E45" s="82"/>
      <c r="F45" s="82"/>
      <c r="G45" s="82"/>
      <c r="H45" s="90"/>
      <c r="I45" s="82"/>
      <c r="J45" s="82"/>
      <c r="K45" s="82"/>
      <c r="L45" s="82">
        <v>0</v>
      </c>
      <c r="M45" s="90">
        <f>SUM(H45:L45)</f>
        <v>0</v>
      </c>
      <c r="N45" s="82">
        <v>15624696</v>
      </c>
      <c r="O45" s="82"/>
      <c r="P45" s="82">
        <f>-N45</f>
        <v>-15624696</v>
      </c>
      <c r="R45" s="90"/>
      <c r="S45" s="90"/>
      <c r="T45" s="90"/>
      <c r="U45" s="90">
        <f t="shared" si="12"/>
        <v>0</v>
      </c>
      <c r="W45" s="90">
        <f>R45*1.03</f>
        <v>0</v>
      </c>
      <c r="X45" s="90">
        <f>W45-Z45</f>
        <v>0</v>
      </c>
      <c r="Y45" s="90"/>
      <c r="Z45" s="90">
        <f>W45*(((0.7697*3)+(0.7613*9))/12)</f>
        <v>0</v>
      </c>
      <c r="AA45"/>
    </row>
    <row r="46" spans="1:27" s="83" customFormat="1" ht="12.75" customHeight="1">
      <c r="A46" s="124">
        <v>545</v>
      </c>
      <c r="B46" s="83" t="s">
        <v>84</v>
      </c>
      <c r="C46" s="93"/>
      <c r="D46" s="112"/>
      <c r="E46" s="82"/>
      <c r="F46" s="82"/>
      <c r="G46" s="82"/>
      <c r="H46" s="90"/>
      <c r="I46" s="82"/>
      <c r="J46" s="82"/>
      <c r="K46" s="82"/>
      <c r="L46" s="82">
        <v>859691</v>
      </c>
      <c r="M46" s="90">
        <f>SUM(H46:L46)</f>
        <v>859691</v>
      </c>
      <c r="N46" s="82">
        <v>217345.5</v>
      </c>
      <c r="O46" s="82">
        <v>0</v>
      </c>
      <c r="P46" s="82">
        <v>642345.5</v>
      </c>
      <c r="R46" s="90">
        <f>'[10]June'!$G$57</f>
        <v>6154327</v>
      </c>
      <c r="S46" s="90">
        <f>R46*0.25</f>
        <v>1538581.75</v>
      </c>
      <c r="T46" s="90"/>
      <c r="U46" s="90">
        <f t="shared" si="12"/>
        <v>4615745.25</v>
      </c>
      <c r="W46" s="90">
        <f>6161000+322390</f>
        <v>6483390</v>
      </c>
      <c r="X46" s="90">
        <f>((6161000*0.25)+(322390*0.5))</f>
        <v>1701445</v>
      </c>
      <c r="Y46" s="90"/>
      <c r="Z46" s="90">
        <f>W46-X46-Y46</f>
        <v>4781945</v>
      </c>
      <c r="AA46"/>
    </row>
    <row r="47" spans="1:27" s="83" customFormat="1" ht="12.75" customHeight="1">
      <c r="A47" s="135">
        <v>411</v>
      </c>
      <c r="B47" s="83" t="s">
        <v>85</v>
      </c>
      <c r="C47" s="136">
        <v>412503</v>
      </c>
      <c r="D47" s="112"/>
      <c r="E47" s="82"/>
      <c r="F47" s="82"/>
      <c r="G47" s="82"/>
      <c r="H47" s="90"/>
      <c r="I47" s="82">
        <v>43000</v>
      </c>
      <c r="J47" s="82"/>
      <c r="K47" s="82"/>
      <c r="L47" s="82">
        <v>0</v>
      </c>
      <c r="M47" s="90">
        <f>SUM(H47:K47)</f>
        <v>43000</v>
      </c>
      <c r="N47" s="82">
        <v>21500</v>
      </c>
      <c r="O47" s="82"/>
      <c r="P47" s="82">
        <v>21500</v>
      </c>
      <c r="R47" s="90">
        <f>'[10]June'!$G$58+'[10]June'!$G$59</f>
        <v>4707043</v>
      </c>
      <c r="S47" s="90">
        <f>R47*$S$2</f>
        <v>2353521.5</v>
      </c>
      <c r="T47" s="90"/>
      <c r="U47" s="90">
        <f t="shared" si="12"/>
        <v>2353521.5</v>
      </c>
      <c r="W47" s="90">
        <f>R47*1.03</f>
        <v>4848254.29</v>
      </c>
      <c r="X47" s="90">
        <f>W47*$X$2</f>
        <v>2424127.145</v>
      </c>
      <c r="Y47" s="90"/>
      <c r="Z47" s="90">
        <f>W47-X47-Y47</f>
        <v>2424127.145</v>
      </c>
      <c r="AA47"/>
    </row>
    <row r="48" spans="1:27" s="83" customFormat="1" ht="12.75" customHeight="1">
      <c r="A48" s="124">
        <v>550</v>
      </c>
      <c r="B48" s="83" t="s">
        <v>86</v>
      </c>
      <c r="C48" s="93"/>
      <c r="D48" s="112"/>
      <c r="E48" s="82"/>
      <c r="F48" s="82"/>
      <c r="G48" s="82"/>
      <c r="H48" s="90"/>
      <c r="I48" s="82"/>
      <c r="J48" s="82"/>
      <c r="K48" s="82"/>
      <c r="L48" s="82">
        <v>1350195</v>
      </c>
      <c r="M48" s="90">
        <f>SUM(H48:L48)</f>
        <v>1350195</v>
      </c>
      <c r="N48" s="82">
        <v>475302.3948749999</v>
      </c>
      <c r="O48" s="82"/>
      <c r="P48" s="82">
        <v>874892.6051250001</v>
      </c>
      <c r="R48" s="90"/>
      <c r="S48" s="90"/>
      <c r="T48" s="90"/>
      <c r="U48" s="90">
        <f t="shared" si="12"/>
        <v>0</v>
      </c>
      <c r="W48" s="90"/>
      <c r="X48" s="90"/>
      <c r="Y48" s="90"/>
      <c r="Z48" s="90"/>
      <c r="AA48"/>
    </row>
    <row r="49" spans="1:27" s="83" customFormat="1" ht="12.75" customHeight="1">
      <c r="A49" s="124"/>
      <c r="B49" s="83" t="s">
        <v>87</v>
      </c>
      <c r="C49" s="93"/>
      <c r="D49" s="112"/>
      <c r="E49" s="82"/>
      <c r="F49" s="82"/>
      <c r="G49" s="82"/>
      <c r="H49" s="90"/>
      <c r="I49" s="82"/>
      <c r="J49" s="82"/>
      <c r="K49" s="82"/>
      <c r="L49" s="82">
        <v>2464462.64</v>
      </c>
      <c r="M49" s="90">
        <f>SUM(H49:L49)</f>
        <v>2464462.64</v>
      </c>
      <c r="N49" s="82">
        <v>1232231.32</v>
      </c>
      <c r="O49" s="82"/>
      <c r="P49" s="82">
        <v>1232231.32</v>
      </c>
      <c r="R49" s="90">
        <f>8663562</f>
        <v>8663562</v>
      </c>
      <c r="S49" s="90">
        <f>R49*$S$2</f>
        <v>4331781</v>
      </c>
      <c r="T49" s="90"/>
      <c r="U49" s="90">
        <f t="shared" si="12"/>
        <v>4331781</v>
      </c>
      <c r="W49" s="90">
        <f>11139890</f>
        <v>11139890</v>
      </c>
      <c r="X49" s="90">
        <f>W49*$X$2</f>
        <v>5569945</v>
      </c>
      <c r="Y49" s="90"/>
      <c r="Z49" s="90">
        <f>W49-X49-Y49</f>
        <v>5569945</v>
      </c>
      <c r="AA49"/>
    </row>
    <row r="50" spans="1:27" s="83" customFormat="1" ht="12.75" customHeight="1">
      <c r="A50" s="124"/>
      <c r="C50" s="93"/>
      <c r="D50" s="112"/>
      <c r="E50" s="82"/>
      <c r="F50" s="82"/>
      <c r="G50" s="82"/>
      <c r="H50" s="90"/>
      <c r="I50" s="82"/>
      <c r="J50" s="82"/>
      <c r="K50" s="82"/>
      <c r="L50" s="82"/>
      <c r="M50" s="90"/>
      <c r="N50" s="82"/>
      <c r="O50" s="82"/>
      <c r="P50" s="82"/>
      <c r="R50" s="90">
        <f>R25</f>
        <v>3716348098</v>
      </c>
      <c r="S50" s="90">
        <f>S26</f>
        <v>1007726483</v>
      </c>
      <c r="T50" s="90">
        <f>T26</f>
        <v>272375330</v>
      </c>
      <c r="U50" s="90">
        <f>U26</f>
        <v>2436246285</v>
      </c>
      <c r="W50" s="90">
        <f>W26</f>
        <v>3795585296</v>
      </c>
      <c r="X50" s="90">
        <f>X26</f>
        <v>984191781</v>
      </c>
      <c r="Y50" s="90">
        <f>Y26</f>
        <v>384277762</v>
      </c>
      <c r="Z50" s="90">
        <f>Z26</f>
        <v>2427115753</v>
      </c>
      <c r="AA50"/>
    </row>
    <row r="51" spans="1:30" s="86" customFormat="1" ht="12.75" customHeight="1">
      <c r="A51" s="73"/>
      <c r="B51" s="83"/>
      <c r="C51" s="93"/>
      <c r="D51" s="112"/>
      <c r="E51" s="82"/>
      <c r="F51" s="82"/>
      <c r="G51" s="82"/>
      <c r="H51" s="90"/>
      <c r="I51" s="82"/>
      <c r="J51" s="82"/>
      <c r="K51" s="82"/>
      <c r="L51" s="82"/>
      <c r="M51" s="90"/>
      <c r="N51" s="82"/>
      <c r="O51" s="82"/>
      <c r="P51" s="82"/>
      <c r="Q51" s="83"/>
      <c r="R51" s="90"/>
      <c r="S51" s="90"/>
      <c r="T51" s="90"/>
      <c r="U51" s="90"/>
      <c r="V51" s="83"/>
      <c r="W51" s="90"/>
      <c r="X51" s="90"/>
      <c r="Y51" s="90"/>
      <c r="Z51" s="90"/>
      <c r="AA51"/>
      <c r="AB51" s="83"/>
      <c r="AC51" s="83"/>
      <c r="AD51" s="83"/>
    </row>
    <row r="52" spans="1:30" s="86" customFormat="1" ht="12.75" customHeight="1" thickBot="1">
      <c r="A52" s="73"/>
      <c r="B52" s="83" t="s">
        <v>79</v>
      </c>
      <c r="C52" s="93"/>
      <c r="D52" s="112"/>
      <c r="E52" s="82"/>
      <c r="F52" s="126">
        <f aca="true" t="shared" si="13" ref="F52:P52">SUM(F40:F51)</f>
        <v>0</v>
      </c>
      <c r="G52" s="126">
        <f t="shared" si="13"/>
        <v>0</v>
      </c>
      <c r="H52" s="126">
        <f t="shared" si="13"/>
        <v>0</v>
      </c>
      <c r="I52" s="126">
        <f t="shared" si="13"/>
        <v>43000</v>
      </c>
      <c r="J52" s="126">
        <f t="shared" si="13"/>
        <v>0</v>
      </c>
      <c r="K52" s="126">
        <f t="shared" si="13"/>
        <v>0</v>
      </c>
      <c r="L52" s="126">
        <f t="shared" si="13"/>
        <v>122642146.55236806</v>
      </c>
      <c r="M52" s="126">
        <f t="shared" si="13"/>
        <v>122685146.55236806</v>
      </c>
      <c r="N52" s="126">
        <f t="shared" si="13"/>
        <v>58192474.00422265</v>
      </c>
      <c r="O52" s="126">
        <f t="shared" si="13"/>
        <v>5202244.035364006</v>
      </c>
      <c r="P52" s="126">
        <f t="shared" si="13"/>
        <v>59290428.51278141</v>
      </c>
      <c r="Q52" s="83"/>
      <c r="R52" s="126">
        <f>SUM(R41:R51)</f>
        <v>3735873030</v>
      </c>
      <c r="S52" s="126">
        <f>SUM(S41:S51)</f>
        <v>1015950367.25</v>
      </c>
      <c r="T52" s="126">
        <f>SUM(T41:T51)</f>
        <v>272375330</v>
      </c>
      <c r="U52" s="126">
        <f>SUM(U41:U51)</f>
        <v>2447547332.75</v>
      </c>
      <c r="V52" s="83"/>
      <c r="W52" s="126">
        <f>SUM(W41:W51)</f>
        <v>3818056830.29</v>
      </c>
      <c r="X52" s="126">
        <f>SUM(X41:X51)</f>
        <v>993887298.145</v>
      </c>
      <c r="Y52" s="126">
        <f>SUM(Y41:Y51)</f>
        <v>384277762</v>
      </c>
      <c r="Z52" s="126">
        <f>SUM(Z41:Z51)</f>
        <v>2439891770.145</v>
      </c>
      <c r="AA52"/>
      <c r="AB52" s="83"/>
      <c r="AC52" s="83"/>
      <c r="AD52" s="83"/>
    </row>
    <row r="53" spans="6:29" ht="12.75" customHeight="1" thickTop="1"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3"/>
      <c r="R53" s="82"/>
      <c r="S53" s="82"/>
      <c r="T53" s="82"/>
      <c r="U53" s="82"/>
      <c r="V53" s="83"/>
      <c r="W53" s="82"/>
      <c r="X53" s="82"/>
      <c r="Y53" s="82"/>
      <c r="Z53" s="82"/>
      <c r="AA53"/>
      <c r="AB53" s="83"/>
      <c r="AC53" s="83"/>
    </row>
    <row r="54" spans="1:30" s="107" customFormat="1" ht="12.75" customHeight="1">
      <c r="A54" s="106"/>
      <c r="B54" s="128" t="s">
        <v>80</v>
      </c>
      <c r="C54" s="93"/>
      <c r="D54" s="11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  <c r="R54" s="82"/>
      <c r="S54" s="82"/>
      <c r="T54" s="82"/>
      <c r="U54" s="82"/>
      <c r="V54" s="83"/>
      <c r="W54" s="82"/>
      <c r="X54" s="82"/>
      <c r="Y54" s="82"/>
      <c r="Z54" s="82"/>
      <c r="AA54"/>
      <c r="AB54" s="83"/>
      <c r="AC54" s="83"/>
      <c r="AD54" s="111"/>
    </row>
    <row r="55" spans="1:30" s="107" customFormat="1" ht="12.75" customHeight="1">
      <c r="A55" s="106"/>
      <c r="B55" s="83" t="str">
        <f>H2</f>
        <v>200-1010-02</v>
      </c>
      <c r="C55" s="93"/>
      <c r="D55" s="112"/>
      <c r="E55" s="82"/>
      <c r="F55" s="82"/>
      <c r="G55" s="82"/>
      <c r="H55" s="90"/>
      <c r="I55" s="82">
        <v>0</v>
      </c>
      <c r="J55" s="82"/>
      <c r="K55" s="82"/>
      <c r="M55" s="90">
        <f>SUM(H55:K55)</f>
        <v>0</v>
      </c>
      <c r="N55" s="82">
        <v>0</v>
      </c>
      <c r="O55" s="82">
        <f>+O30</f>
        <v>0</v>
      </c>
      <c r="P55" s="82">
        <f>M55-N55-O55</f>
        <v>0</v>
      </c>
      <c r="Q55" s="124"/>
      <c r="R55" s="90"/>
      <c r="S55" s="90">
        <f>R55*$S$2</f>
        <v>0</v>
      </c>
      <c r="T55" s="90"/>
      <c r="U55" s="90">
        <f>R55-S55-T55</f>
        <v>0</v>
      </c>
      <c r="V55" s="83"/>
      <c r="W55" s="90"/>
      <c r="X55" s="90">
        <f>W55*$X$2</f>
        <v>0</v>
      </c>
      <c r="Y55" s="90"/>
      <c r="Z55" s="90">
        <f>W55-X55-Y55</f>
        <v>0</v>
      </c>
      <c r="AA55"/>
      <c r="AB55" s="83"/>
      <c r="AC55" s="83"/>
      <c r="AD55" s="111"/>
    </row>
    <row r="56" spans="1:30" s="107" customFormat="1" ht="12.75" customHeight="1">
      <c r="A56" s="106"/>
      <c r="B56" s="86" t="str">
        <f>H4</f>
        <v>200-1010-04</v>
      </c>
      <c r="C56" s="93"/>
      <c r="D56" s="112"/>
      <c r="E56" s="82"/>
      <c r="F56" s="82"/>
      <c r="G56" s="82"/>
      <c r="H56" s="90"/>
      <c r="I56" s="82"/>
      <c r="J56" s="82"/>
      <c r="K56" s="82"/>
      <c r="L56" s="82">
        <f>L49</f>
        <v>2464462.64</v>
      </c>
      <c r="M56" s="90">
        <f>SUM(H56:L56)</f>
        <v>2464462.64</v>
      </c>
      <c r="N56" s="82">
        <f>N49</f>
        <v>1232231.32</v>
      </c>
      <c r="O56" s="82">
        <f>+O31+O35+O36+O37+O38</f>
        <v>0</v>
      </c>
      <c r="P56" s="82">
        <f>M56-N56-O56</f>
        <v>1232231.32</v>
      </c>
      <c r="Q56" s="124"/>
      <c r="R56" s="90">
        <f>R49</f>
        <v>8663562</v>
      </c>
      <c r="S56" s="90">
        <f>S49</f>
        <v>4331781</v>
      </c>
      <c r="T56" s="90"/>
      <c r="U56" s="90">
        <f>R56-S56-T56</f>
        <v>4331781</v>
      </c>
      <c r="V56" s="83"/>
      <c r="W56" s="90">
        <f>W49</f>
        <v>11139890</v>
      </c>
      <c r="X56" s="90">
        <f>X49</f>
        <v>5569945</v>
      </c>
      <c r="Y56" s="90"/>
      <c r="Z56" s="90">
        <f>W56-X56-Y56</f>
        <v>5569945</v>
      </c>
      <c r="AA56"/>
      <c r="AB56" s="83"/>
      <c r="AC56" s="83"/>
      <c r="AD56" s="111"/>
    </row>
    <row r="57" spans="1:30" s="107" customFormat="1" ht="12.75" customHeight="1">
      <c r="A57" s="106"/>
      <c r="B57" s="137" t="str">
        <f>J4</f>
        <v>200-1030-01</v>
      </c>
      <c r="C57" s="93"/>
      <c r="D57" s="112"/>
      <c r="E57" s="82"/>
      <c r="F57" s="82"/>
      <c r="G57" s="82"/>
      <c r="H57" s="90"/>
      <c r="I57" s="82">
        <f>I47</f>
        <v>43000</v>
      </c>
      <c r="J57" s="82"/>
      <c r="K57" s="82"/>
      <c r="L57" s="82">
        <f>L46</f>
        <v>859691</v>
      </c>
      <c r="M57" s="90">
        <f>SUM(H57:L57)</f>
        <v>902691</v>
      </c>
      <c r="N57" s="82">
        <f>N46+N47</f>
        <v>238845.5</v>
      </c>
      <c r="O57" s="82"/>
      <c r="P57" s="82">
        <f>M57-N57-O57</f>
        <v>663845.5</v>
      </c>
      <c r="Q57" s="124"/>
      <c r="R57" s="90">
        <f>R47+R46</f>
        <v>10861370</v>
      </c>
      <c r="S57" s="90">
        <f>S46+S47</f>
        <v>3892103.25</v>
      </c>
      <c r="T57" s="90"/>
      <c r="U57" s="90">
        <f>R57-S57-T57</f>
        <v>6969266.75</v>
      </c>
      <c r="V57" s="83"/>
      <c r="W57" s="90">
        <f>W47+W46</f>
        <v>11331644.29</v>
      </c>
      <c r="X57" s="90">
        <f>X46+X47</f>
        <v>4125572.145</v>
      </c>
      <c r="Y57" s="90"/>
      <c r="Z57" s="90">
        <f>W57-X57-Y57</f>
        <v>7206072.145</v>
      </c>
      <c r="AA57"/>
      <c r="AB57" s="83"/>
      <c r="AC57" s="83"/>
      <c r="AD57" s="111"/>
    </row>
    <row r="58" spans="1:30" s="86" customFormat="1" ht="12.75" customHeight="1">
      <c r="A58" s="73"/>
      <c r="B58" s="137" t="str">
        <f>K5</f>
        <v>340-1020-01</v>
      </c>
      <c r="C58" s="93"/>
      <c r="D58" s="112"/>
      <c r="E58" s="82"/>
      <c r="F58" s="82"/>
      <c r="G58" s="82"/>
      <c r="H58" s="90">
        <f>+G58+F58</f>
        <v>0</v>
      </c>
      <c r="I58" s="82"/>
      <c r="J58" s="82"/>
      <c r="K58" s="82"/>
      <c r="L58" s="82">
        <f>L52-L57-L56</f>
        <v>119317992.91236806</v>
      </c>
      <c r="M58" s="90">
        <f>SUM(H58:L58)</f>
        <v>119317992.91236806</v>
      </c>
      <c r="N58" s="82">
        <f>N42+N43+N44+N45+N48</f>
        <v>56721397.184222646</v>
      </c>
      <c r="O58" s="82">
        <f>O42</f>
        <v>5202244.035364006</v>
      </c>
      <c r="P58" s="82">
        <f>M58-N58-O58</f>
        <v>57394351.6927814</v>
      </c>
      <c r="Q58" s="124"/>
      <c r="R58" s="82">
        <f>R52-R57-R56</f>
        <v>3716348098</v>
      </c>
      <c r="S58" s="82">
        <f>S52-S57-S56</f>
        <v>1007726483</v>
      </c>
      <c r="T58" s="82">
        <f>T52-T57-T56</f>
        <v>272375330</v>
      </c>
      <c r="U58" s="82">
        <f>U52-U57-U56</f>
        <v>2436246285</v>
      </c>
      <c r="V58" s="83"/>
      <c r="W58" s="82">
        <f>W50</f>
        <v>3795585296</v>
      </c>
      <c r="X58" s="82">
        <f>X50</f>
        <v>984191781</v>
      </c>
      <c r="Y58" s="82">
        <f>Y50</f>
        <v>384277762</v>
      </c>
      <c r="Z58" s="82">
        <f>Z50</f>
        <v>2427115753</v>
      </c>
      <c r="AA58"/>
      <c r="AB58" s="83"/>
      <c r="AC58" s="83"/>
      <c r="AD58" s="83"/>
    </row>
    <row r="59" spans="1:30" s="86" customFormat="1" ht="12.75" customHeight="1" thickBot="1">
      <c r="A59" s="73"/>
      <c r="B59" s="83"/>
      <c r="C59" s="93"/>
      <c r="D59" s="112"/>
      <c r="E59" s="82"/>
      <c r="F59" s="126">
        <f aca="true" t="shared" si="14" ref="F59:P59">SUM(F55:F58)</f>
        <v>0</v>
      </c>
      <c r="G59" s="126">
        <f t="shared" si="14"/>
        <v>0</v>
      </c>
      <c r="H59" s="126">
        <f t="shared" si="14"/>
        <v>0</v>
      </c>
      <c r="I59" s="126">
        <f t="shared" si="14"/>
        <v>43000</v>
      </c>
      <c r="J59" s="126">
        <f t="shared" si="14"/>
        <v>0</v>
      </c>
      <c r="K59" s="126">
        <f t="shared" si="14"/>
        <v>0</v>
      </c>
      <c r="L59" s="126">
        <f t="shared" si="14"/>
        <v>122642146.55236806</v>
      </c>
      <c r="M59" s="126">
        <f t="shared" si="14"/>
        <v>122685146.55236806</v>
      </c>
      <c r="N59" s="126">
        <f t="shared" si="14"/>
        <v>58192474.00422265</v>
      </c>
      <c r="O59" s="126">
        <f t="shared" si="14"/>
        <v>5202244.035364006</v>
      </c>
      <c r="P59" s="126">
        <f t="shared" si="14"/>
        <v>59290428.512781404</v>
      </c>
      <c r="Q59" s="83"/>
      <c r="R59" s="126">
        <f>SUM(R55:R58)</f>
        <v>3735873030</v>
      </c>
      <c r="S59" s="126">
        <f>SUM(S55:S58)</f>
        <v>1015950367.25</v>
      </c>
      <c r="T59" s="126">
        <f>SUM(T55:T58)</f>
        <v>272375330</v>
      </c>
      <c r="U59" s="126">
        <f>SUM(U55:U58)</f>
        <v>2447547332.75</v>
      </c>
      <c r="V59" s="83"/>
      <c r="W59" s="126">
        <f>SUM(W55:W58)</f>
        <v>3818056830.29</v>
      </c>
      <c r="X59" s="126">
        <f>SUM(X55:X58)</f>
        <v>993887298.145</v>
      </c>
      <c r="Y59" s="126">
        <f>SUM(Y55:Y58)</f>
        <v>384277762</v>
      </c>
      <c r="Z59" s="126">
        <f>SUM(Z55:Z58)</f>
        <v>2439891770.145</v>
      </c>
      <c r="AA59"/>
      <c r="AB59" s="83"/>
      <c r="AC59" s="83"/>
      <c r="AD59" s="83"/>
    </row>
    <row r="60" spans="1:30" s="107" customFormat="1" ht="12.75" customHeight="1" thickTop="1">
      <c r="A60" s="106"/>
      <c r="B60" s="111"/>
      <c r="C60" s="93"/>
      <c r="D60" s="112"/>
      <c r="E60" s="82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83"/>
      <c r="R60" s="90"/>
      <c r="S60" s="90"/>
      <c r="T60" s="90"/>
      <c r="U60" s="90"/>
      <c r="V60" s="83"/>
      <c r="W60" s="90"/>
      <c r="X60" s="90"/>
      <c r="Y60" s="90"/>
      <c r="Z60" s="90"/>
      <c r="AA60"/>
      <c r="AB60" s="83"/>
      <c r="AC60" s="83"/>
      <c r="AD60" s="111"/>
    </row>
    <row r="61" spans="1:30" s="107" customFormat="1" ht="12" customHeight="1" thickBot="1">
      <c r="A61" s="117">
        <v>3</v>
      </c>
      <c r="B61" s="118" t="s">
        <v>88</v>
      </c>
      <c r="C61" s="93"/>
      <c r="D61" s="109" t="s">
        <v>71</v>
      </c>
      <c r="E61" s="97" t="s">
        <v>72</v>
      </c>
      <c r="F61" s="97" t="s">
        <v>72</v>
      </c>
      <c r="G61" s="97" t="s">
        <v>73</v>
      </c>
      <c r="H61" s="97" t="s">
        <v>1</v>
      </c>
      <c r="I61" s="97" t="s">
        <v>74</v>
      </c>
      <c r="J61" s="97" t="s">
        <v>66</v>
      </c>
      <c r="K61" s="97" t="s">
        <v>59</v>
      </c>
      <c r="L61" s="97" t="s">
        <v>18</v>
      </c>
      <c r="M61" s="97" t="s">
        <v>1</v>
      </c>
      <c r="N61" s="97" t="s">
        <v>7</v>
      </c>
      <c r="O61" s="97" t="s">
        <v>75</v>
      </c>
      <c r="P61" s="97" t="s">
        <v>76</v>
      </c>
      <c r="Q61" s="108"/>
      <c r="R61" s="97" t="s">
        <v>1</v>
      </c>
      <c r="S61" s="97" t="s">
        <v>7</v>
      </c>
      <c r="T61" s="97" t="s">
        <v>75</v>
      </c>
      <c r="U61" s="97" t="s">
        <v>76</v>
      </c>
      <c r="V61" s="83"/>
      <c r="W61" s="97" t="s">
        <v>1</v>
      </c>
      <c r="X61" s="97" t="s">
        <v>7</v>
      </c>
      <c r="Y61" s="97" t="s">
        <v>75</v>
      </c>
      <c r="Z61" s="97" t="s">
        <v>76</v>
      </c>
      <c r="AA61"/>
      <c r="AB61" s="83"/>
      <c r="AC61" s="83"/>
      <c r="AD61" s="111"/>
    </row>
    <row r="62" spans="1:30" s="107" customFormat="1" ht="0.75" customHeight="1">
      <c r="A62" s="106"/>
      <c r="B62" s="121" t="s">
        <v>77</v>
      </c>
      <c r="C62" s="93"/>
      <c r="D62" s="131"/>
      <c r="E62" s="94"/>
      <c r="F62" s="82">
        <f>+E62*D62</f>
        <v>0</v>
      </c>
      <c r="G62" s="82">
        <f>+F62*$C$4</f>
        <v>0</v>
      </c>
      <c r="H62" s="82">
        <f>+G62+F62</f>
        <v>0</v>
      </c>
      <c r="I62" s="82"/>
      <c r="J62" s="82">
        <f>+$C$7*D62</f>
        <v>0</v>
      </c>
      <c r="K62" s="82">
        <f>$C$5*D62</f>
        <v>0</v>
      </c>
      <c r="L62" s="82">
        <f>+$C$6*D62</f>
        <v>0</v>
      </c>
      <c r="M62" s="82">
        <f>SUM(H62:L62)</f>
        <v>0</v>
      </c>
      <c r="N62" s="82">
        <f>+M62*$C$2</f>
        <v>0</v>
      </c>
      <c r="O62" s="82"/>
      <c r="P62" s="82">
        <f>+M62-N62-O62</f>
        <v>0</v>
      </c>
      <c r="Q62" s="83"/>
      <c r="R62" s="82"/>
      <c r="S62" s="82"/>
      <c r="T62" s="82"/>
      <c r="U62" s="82"/>
      <c r="V62" s="83"/>
      <c r="W62" s="82"/>
      <c r="X62" s="82"/>
      <c r="Y62" s="82"/>
      <c r="Z62" s="82"/>
      <c r="AA62"/>
      <c r="AB62" s="83"/>
      <c r="AC62" s="83"/>
      <c r="AD62" s="111"/>
    </row>
    <row r="63" spans="1:30" s="107" customFormat="1" ht="12.75" customHeight="1" hidden="1" thickBot="1">
      <c r="A63" s="106"/>
      <c r="B63" s="83"/>
      <c r="C63" s="93"/>
      <c r="D63" s="112"/>
      <c r="E63" s="82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83"/>
      <c r="R63" s="123"/>
      <c r="S63" s="123"/>
      <c r="T63" s="123"/>
      <c r="U63" s="123"/>
      <c r="V63" s="83"/>
      <c r="W63" s="123"/>
      <c r="X63" s="123"/>
      <c r="Y63" s="123"/>
      <c r="Z63" s="123"/>
      <c r="AA63"/>
      <c r="AB63" s="83"/>
      <c r="AC63" s="83"/>
      <c r="AD63" s="111"/>
    </row>
    <row r="64" spans="1:30" s="107" customFormat="1" ht="12.75" customHeight="1" hidden="1">
      <c r="A64" s="106"/>
      <c r="C64" s="133"/>
      <c r="D64" s="112"/>
      <c r="E64" s="82"/>
      <c r="F64" s="82">
        <f aca="true" t="shared" si="15" ref="F64:P64">SUM(F62:F63)</f>
        <v>0</v>
      </c>
      <c r="G64" s="82">
        <f t="shared" si="15"/>
        <v>0</v>
      </c>
      <c r="H64" s="82">
        <f t="shared" si="15"/>
        <v>0</v>
      </c>
      <c r="I64" s="82">
        <f t="shared" si="15"/>
        <v>0</v>
      </c>
      <c r="J64" s="82">
        <f t="shared" si="15"/>
        <v>0</v>
      </c>
      <c r="K64" s="82">
        <f t="shared" si="15"/>
        <v>0</v>
      </c>
      <c r="L64" s="82">
        <f t="shared" si="15"/>
        <v>0</v>
      </c>
      <c r="M64" s="82">
        <f t="shared" si="15"/>
        <v>0</v>
      </c>
      <c r="N64" s="82">
        <f t="shared" si="15"/>
        <v>0</v>
      </c>
      <c r="O64" s="82">
        <f t="shared" si="15"/>
        <v>0</v>
      </c>
      <c r="P64" s="82">
        <f t="shared" si="15"/>
        <v>0</v>
      </c>
      <c r="Q64" s="83"/>
      <c r="R64" s="82">
        <f>SUM(R62:R63)</f>
        <v>0</v>
      </c>
      <c r="S64" s="82">
        <f>SUM(S62:S63)</f>
        <v>0</v>
      </c>
      <c r="T64" s="82">
        <f>SUM(T62:T63)</f>
        <v>0</v>
      </c>
      <c r="U64" s="82">
        <f>SUM(U62:U63)</f>
        <v>0</v>
      </c>
      <c r="V64" s="83"/>
      <c r="W64" s="82">
        <f>SUM(W62:W63)</f>
        <v>0</v>
      </c>
      <c r="X64" s="82">
        <f>SUM(X62:X63)</f>
        <v>0</v>
      </c>
      <c r="Y64" s="82">
        <f>SUM(Y62:Y63)</f>
        <v>0</v>
      </c>
      <c r="Z64" s="82">
        <f>SUM(Z62:Z63)</f>
        <v>0</v>
      </c>
      <c r="AA64"/>
      <c r="AB64" s="83"/>
      <c r="AC64" s="83"/>
      <c r="AD64" s="111"/>
    </row>
    <row r="65" spans="1:30" s="107" customFormat="1" ht="12" customHeight="1">
      <c r="A65" s="106"/>
      <c r="B65" s="83"/>
      <c r="C65" s="93"/>
      <c r="D65" s="11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3"/>
      <c r="R65" s="82"/>
      <c r="S65" s="82"/>
      <c r="T65" s="82"/>
      <c r="U65" s="82"/>
      <c r="V65" s="83"/>
      <c r="W65" s="82"/>
      <c r="X65" s="82"/>
      <c r="Y65" s="82"/>
      <c r="Z65" s="82"/>
      <c r="AA65"/>
      <c r="AB65" s="83"/>
      <c r="AC65" s="83"/>
      <c r="AD65" s="111"/>
    </row>
    <row r="66" spans="1:30" s="107" customFormat="1" ht="12.75" customHeight="1">
      <c r="A66" s="106"/>
      <c r="B66" s="83" t="s">
        <v>89</v>
      </c>
      <c r="C66" s="93"/>
      <c r="D66" s="112"/>
      <c r="E66" s="82"/>
      <c r="F66" s="82"/>
      <c r="G66" s="82"/>
      <c r="H66" s="82"/>
      <c r="I66" s="82"/>
      <c r="J66" s="82"/>
      <c r="K66" s="82"/>
      <c r="L66" s="82">
        <v>0</v>
      </c>
      <c r="M66" s="82">
        <f>SUM(H66:L66)</f>
        <v>0</v>
      </c>
      <c r="N66" s="82">
        <v>108217090</v>
      </c>
      <c r="O66" s="82">
        <v>-108217090</v>
      </c>
      <c r="P66" s="82">
        <v>0</v>
      </c>
      <c r="Q66" s="83"/>
      <c r="R66" s="82"/>
      <c r="S66" s="82"/>
      <c r="T66" s="82"/>
      <c r="U66" s="82"/>
      <c r="V66" s="83"/>
      <c r="W66" s="82"/>
      <c r="X66" s="82"/>
      <c r="Y66" s="82"/>
      <c r="Z66" s="82"/>
      <c r="AA66"/>
      <c r="AB66" s="83"/>
      <c r="AC66" s="83"/>
      <c r="AD66" s="111"/>
    </row>
    <row r="67" spans="1:30" s="107" customFormat="1" ht="12.75" customHeight="1">
      <c r="A67" s="106"/>
      <c r="B67" s="83" t="s">
        <v>90</v>
      </c>
      <c r="C67" s="93"/>
      <c r="D67" s="112"/>
      <c r="E67" s="82"/>
      <c r="F67" s="82"/>
      <c r="G67" s="82"/>
      <c r="H67" s="82"/>
      <c r="I67" s="82"/>
      <c r="J67" s="82"/>
      <c r="K67" s="82"/>
      <c r="L67" s="82">
        <v>0</v>
      </c>
      <c r="M67" s="82">
        <f>SUM(H67:L67)</f>
        <v>0</v>
      </c>
      <c r="N67" s="82">
        <v>33438657</v>
      </c>
      <c r="O67" s="82">
        <v>-33438657</v>
      </c>
      <c r="P67" s="82">
        <v>0</v>
      </c>
      <c r="Q67" s="83"/>
      <c r="R67" s="99"/>
      <c r="S67" s="82"/>
      <c r="T67" s="99"/>
      <c r="U67" s="82"/>
      <c r="V67" s="83"/>
      <c r="W67" s="99"/>
      <c r="X67" s="82"/>
      <c r="Y67" s="99"/>
      <c r="Z67" s="82"/>
      <c r="AA67"/>
      <c r="AB67" s="83"/>
      <c r="AC67" s="83"/>
      <c r="AD67" s="111"/>
    </row>
    <row r="68" spans="1:30" s="107" customFormat="1" ht="12.75" customHeight="1" thickBot="1">
      <c r="A68" s="106"/>
      <c r="B68" s="83"/>
      <c r="C68" s="93"/>
      <c r="D68" s="112"/>
      <c r="E68" s="82"/>
      <c r="F68" s="126">
        <f aca="true" t="shared" si="16" ref="F68:P68">SUM(F64:F67)</f>
        <v>0</v>
      </c>
      <c r="G68" s="126">
        <f t="shared" si="16"/>
        <v>0</v>
      </c>
      <c r="H68" s="126">
        <f t="shared" si="16"/>
        <v>0</v>
      </c>
      <c r="I68" s="126">
        <f t="shared" si="16"/>
        <v>0</v>
      </c>
      <c r="J68" s="126">
        <f t="shared" si="16"/>
        <v>0</v>
      </c>
      <c r="K68" s="126">
        <f t="shared" si="16"/>
        <v>0</v>
      </c>
      <c r="L68" s="126">
        <f t="shared" si="16"/>
        <v>0</v>
      </c>
      <c r="M68" s="126">
        <f t="shared" si="16"/>
        <v>0</v>
      </c>
      <c r="N68" s="126">
        <f t="shared" si="16"/>
        <v>141655747</v>
      </c>
      <c r="O68" s="126">
        <f t="shared" si="16"/>
        <v>-141655747</v>
      </c>
      <c r="P68" s="126">
        <f t="shared" si="16"/>
        <v>0</v>
      </c>
      <c r="Q68" s="83"/>
      <c r="R68" s="126">
        <f>SUM(R65:R67)</f>
        <v>0</v>
      </c>
      <c r="S68" s="126">
        <f>SUM(S65:S67)</f>
        <v>0</v>
      </c>
      <c r="T68" s="126">
        <f>SUM(T65:T67)</f>
        <v>0</v>
      </c>
      <c r="U68" s="126">
        <f>SUM(U65:U67)</f>
        <v>0</v>
      </c>
      <c r="V68" s="83"/>
      <c r="W68" s="126">
        <f>SUM(W65:W67)</f>
        <v>0</v>
      </c>
      <c r="X68" s="126">
        <f>SUM(X65:X67)</f>
        <v>0</v>
      </c>
      <c r="Y68" s="126">
        <f>SUM(Y65:Y67)</f>
        <v>0</v>
      </c>
      <c r="Z68" s="126">
        <f>SUM(Z65:Z67)</f>
        <v>0</v>
      </c>
      <c r="AA68"/>
      <c r="AB68" s="83"/>
      <c r="AC68" s="83"/>
      <c r="AD68" s="111"/>
    </row>
    <row r="69" spans="1:30" s="107" customFormat="1" ht="12.75" customHeight="1" thickTop="1">
      <c r="A69" s="106"/>
      <c r="B69" s="83"/>
      <c r="C69" s="93"/>
      <c r="D69" s="11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3"/>
      <c r="R69" s="82"/>
      <c r="S69" s="82"/>
      <c r="T69" s="82"/>
      <c r="U69" s="82"/>
      <c r="V69" s="83"/>
      <c r="W69" s="82"/>
      <c r="X69" s="82"/>
      <c r="Y69" s="82"/>
      <c r="Z69" s="82"/>
      <c r="AA69"/>
      <c r="AB69" s="83"/>
      <c r="AC69" s="83"/>
      <c r="AD69" s="111"/>
    </row>
    <row r="70" spans="1:30" s="107" customFormat="1" ht="12.75" customHeight="1">
      <c r="A70" s="106"/>
      <c r="B70" s="128" t="s">
        <v>80</v>
      </c>
      <c r="C70" s="93"/>
      <c r="D70" s="11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3"/>
      <c r="R70" s="82"/>
      <c r="S70" s="82"/>
      <c r="T70" s="82"/>
      <c r="U70" s="82"/>
      <c r="V70" s="83"/>
      <c r="W70" s="82"/>
      <c r="X70" s="82"/>
      <c r="Y70" s="82"/>
      <c r="Z70" s="82"/>
      <c r="AA70"/>
      <c r="AB70" s="83"/>
      <c r="AC70" s="83"/>
      <c r="AD70" s="111"/>
    </row>
    <row r="71" spans="1:30" s="107" customFormat="1" ht="12.75" customHeight="1">
      <c r="A71" s="106"/>
      <c r="B71" s="102" t="str">
        <f>K5</f>
        <v>340-1020-01</v>
      </c>
      <c r="C71" s="93"/>
      <c r="D71" s="112"/>
      <c r="E71" s="82"/>
      <c r="F71" s="82"/>
      <c r="G71" s="82"/>
      <c r="H71" s="90">
        <f>+G71+F71</f>
        <v>0</v>
      </c>
      <c r="I71" s="82">
        <v>0</v>
      </c>
      <c r="J71" s="82">
        <v>0</v>
      </c>
      <c r="K71" s="82">
        <v>0</v>
      </c>
      <c r="L71" s="82">
        <f>+L68</f>
        <v>0</v>
      </c>
      <c r="M71" s="90">
        <f>SUM(H71:L71)</f>
        <v>0</v>
      </c>
      <c r="N71" s="82">
        <f>N68</f>
        <v>141655747</v>
      </c>
      <c r="O71" s="82">
        <f>+O68</f>
        <v>-141655747</v>
      </c>
      <c r="P71" s="82">
        <f>M71-N71-O71</f>
        <v>0</v>
      </c>
      <c r="Q71" s="83"/>
      <c r="R71" s="90"/>
      <c r="S71" s="90">
        <f>R71*$S$1</f>
        <v>0</v>
      </c>
      <c r="T71" s="90"/>
      <c r="U71" s="90">
        <f>R71-S71-T71</f>
        <v>0</v>
      </c>
      <c r="V71" s="83"/>
      <c r="W71" s="90"/>
      <c r="X71" s="90">
        <f>W71*$X$1</f>
        <v>0</v>
      </c>
      <c r="Y71" s="90"/>
      <c r="Z71" s="90">
        <f>W71-X71-Y71</f>
        <v>0</v>
      </c>
      <c r="AA71"/>
      <c r="AB71" s="83"/>
      <c r="AC71" s="83"/>
      <c r="AD71" s="111"/>
    </row>
    <row r="72" spans="1:30" s="107" customFormat="1" ht="12.75" customHeight="1" thickBot="1">
      <c r="A72" s="106"/>
      <c r="B72" s="83"/>
      <c r="C72" s="93"/>
      <c r="D72" s="112"/>
      <c r="E72" s="82"/>
      <c r="F72" s="126">
        <f aca="true" t="shared" si="17" ref="F72:P72">SUM(F71:F71)</f>
        <v>0</v>
      </c>
      <c r="G72" s="126">
        <f t="shared" si="17"/>
        <v>0</v>
      </c>
      <c r="H72" s="126">
        <f t="shared" si="17"/>
        <v>0</v>
      </c>
      <c r="I72" s="126">
        <f t="shared" si="17"/>
        <v>0</v>
      </c>
      <c r="J72" s="126">
        <f t="shared" si="17"/>
        <v>0</v>
      </c>
      <c r="K72" s="126">
        <f t="shared" si="17"/>
        <v>0</v>
      </c>
      <c r="L72" s="126">
        <f t="shared" si="17"/>
        <v>0</v>
      </c>
      <c r="M72" s="126">
        <f t="shared" si="17"/>
        <v>0</v>
      </c>
      <c r="N72" s="126">
        <f t="shared" si="17"/>
        <v>141655747</v>
      </c>
      <c r="O72" s="126">
        <f t="shared" si="17"/>
        <v>-141655747</v>
      </c>
      <c r="P72" s="126">
        <f t="shared" si="17"/>
        <v>0</v>
      </c>
      <c r="Q72" s="83"/>
      <c r="R72" s="126">
        <f>SUM(R71:R71)</f>
        <v>0</v>
      </c>
      <c r="S72" s="126">
        <f>SUM(S71:S71)</f>
        <v>0</v>
      </c>
      <c r="T72" s="126">
        <f>SUM(T71:T71)</f>
        <v>0</v>
      </c>
      <c r="U72" s="126">
        <f>SUM(U71:U71)</f>
        <v>0</v>
      </c>
      <c r="V72" s="83"/>
      <c r="W72" s="126">
        <f>SUM(W71:W71)</f>
        <v>0</v>
      </c>
      <c r="X72" s="126">
        <f>SUM(X71:X71)</f>
        <v>0</v>
      </c>
      <c r="Y72" s="126">
        <f>SUM(Y71:Y71)</f>
        <v>0</v>
      </c>
      <c r="Z72" s="126">
        <f>SUM(Z71:Z71)</f>
        <v>0</v>
      </c>
      <c r="AA72"/>
      <c r="AB72" s="83"/>
      <c r="AC72" s="83"/>
      <c r="AD72" s="111"/>
    </row>
    <row r="73" spans="1:30" s="107" customFormat="1" ht="12.75" customHeight="1" thickTop="1">
      <c r="A73" s="106"/>
      <c r="C73" s="93"/>
      <c r="D73" s="112"/>
      <c r="E73" s="82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83"/>
      <c r="R73" s="90"/>
      <c r="S73" s="90"/>
      <c r="T73" s="90"/>
      <c r="U73" s="90"/>
      <c r="V73" s="83"/>
      <c r="W73" s="90"/>
      <c r="X73" s="90"/>
      <c r="Y73" s="90"/>
      <c r="Z73" s="90"/>
      <c r="AA73"/>
      <c r="AB73" s="83"/>
      <c r="AC73" s="83"/>
      <c r="AD73" s="111"/>
    </row>
    <row r="74" spans="1:30" s="107" customFormat="1" ht="0.75" customHeight="1" hidden="1">
      <c r="A74" s="106"/>
      <c r="B74" s="111"/>
      <c r="C74" s="93"/>
      <c r="D74" s="112"/>
      <c r="E74" s="82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83"/>
      <c r="R74" s="90"/>
      <c r="S74" s="90"/>
      <c r="T74" s="90"/>
      <c r="U74" s="90"/>
      <c r="V74" s="83"/>
      <c r="W74" s="90"/>
      <c r="X74" s="90"/>
      <c r="Y74" s="90"/>
      <c r="Z74" s="90"/>
      <c r="AA74"/>
      <c r="AB74" s="83"/>
      <c r="AC74" s="83"/>
      <c r="AD74" s="111"/>
    </row>
    <row r="75" spans="1:30" s="107" customFormat="1" ht="12.75" customHeight="1" hidden="1" thickBot="1">
      <c r="A75" s="117"/>
      <c r="B75" s="118" t="s">
        <v>25</v>
      </c>
      <c r="C75" s="93"/>
      <c r="D75" s="11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3"/>
      <c r="R75" s="82"/>
      <c r="S75" s="82"/>
      <c r="T75" s="82"/>
      <c r="U75" s="82"/>
      <c r="V75" s="83"/>
      <c r="W75" s="82"/>
      <c r="X75" s="82"/>
      <c r="Y75" s="82"/>
      <c r="Z75" s="82"/>
      <c r="AA75"/>
      <c r="AB75" s="83"/>
      <c r="AC75" s="83"/>
      <c r="AD75" s="111"/>
    </row>
    <row r="76" spans="1:30" s="107" customFormat="1" ht="12.75" customHeight="1" hidden="1">
      <c r="A76" s="106"/>
      <c r="B76" s="121" t="s">
        <v>77</v>
      </c>
      <c r="C76" s="93"/>
      <c r="D76" s="109" t="s">
        <v>71</v>
      </c>
      <c r="E76" s="97" t="s">
        <v>72</v>
      </c>
      <c r="F76" s="97" t="s">
        <v>72</v>
      </c>
      <c r="G76" s="97" t="s">
        <v>73</v>
      </c>
      <c r="H76" s="97" t="s">
        <v>1</v>
      </c>
      <c r="I76" s="97" t="s">
        <v>74</v>
      </c>
      <c r="J76" s="97" t="s">
        <v>66</v>
      </c>
      <c r="K76" s="97" t="s">
        <v>59</v>
      </c>
      <c r="L76" s="97" t="s">
        <v>18</v>
      </c>
      <c r="M76" s="97" t="s">
        <v>1</v>
      </c>
      <c r="N76" s="97" t="s">
        <v>7</v>
      </c>
      <c r="O76" s="97" t="s">
        <v>75</v>
      </c>
      <c r="P76" s="97" t="s">
        <v>76</v>
      </c>
      <c r="Q76" s="108"/>
      <c r="R76" s="97" t="s">
        <v>1</v>
      </c>
      <c r="S76" s="97" t="s">
        <v>7</v>
      </c>
      <c r="T76" s="97" t="s">
        <v>75</v>
      </c>
      <c r="U76" s="97" t="s">
        <v>76</v>
      </c>
      <c r="V76" s="83"/>
      <c r="W76" s="97" t="s">
        <v>1</v>
      </c>
      <c r="X76" s="97" t="s">
        <v>7</v>
      </c>
      <c r="Y76" s="97" t="s">
        <v>75</v>
      </c>
      <c r="Z76" s="97" t="s">
        <v>76</v>
      </c>
      <c r="AA76"/>
      <c r="AB76" s="83"/>
      <c r="AC76" s="83"/>
      <c r="AD76" s="111"/>
    </row>
    <row r="77" spans="1:30" s="107" customFormat="1" ht="12.75" customHeight="1" hidden="1">
      <c r="A77" s="106"/>
      <c r="B77" s="83"/>
      <c r="C77" s="93"/>
      <c r="D77" s="112"/>
      <c r="E77" s="82"/>
      <c r="F77" s="82">
        <f>+E77*D77</f>
        <v>0</v>
      </c>
      <c r="G77" s="82">
        <f>+F77*$C$4</f>
        <v>0</v>
      </c>
      <c r="H77" s="82">
        <f>+G77+F77</f>
        <v>0</v>
      </c>
      <c r="I77" s="82"/>
      <c r="J77" s="82">
        <f>+$C$7*D77</f>
        <v>0</v>
      </c>
      <c r="K77" s="82">
        <f>$C$5*D77</f>
        <v>0</v>
      </c>
      <c r="L77" s="82">
        <f>+$C$6*D77</f>
        <v>0</v>
      </c>
      <c r="M77" s="82">
        <f>SUM(H77:L77)</f>
        <v>0</v>
      </c>
      <c r="N77" s="82">
        <f>+M77*$C$2</f>
        <v>0</v>
      </c>
      <c r="O77" s="82"/>
      <c r="P77" s="82">
        <f>+M77-N77-O77</f>
        <v>0</v>
      </c>
      <c r="Q77" s="83"/>
      <c r="R77" s="82"/>
      <c r="S77" s="82">
        <f>+R77*0.5</f>
        <v>0</v>
      </c>
      <c r="T77" s="82"/>
      <c r="U77" s="82">
        <f>+R77-S77-T77</f>
        <v>0</v>
      </c>
      <c r="V77" s="83"/>
      <c r="W77" s="82"/>
      <c r="X77" s="82"/>
      <c r="Y77" s="82"/>
      <c r="Z77" s="82">
        <f>+W77-X77-Y77</f>
        <v>0</v>
      </c>
      <c r="AA77"/>
      <c r="AB77" s="83"/>
      <c r="AC77" s="83"/>
      <c r="AD77" s="111"/>
    </row>
    <row r="78" spans="1:30" s="107" customFormat="1" ht="12.75" customHeight="1" hidden="1" thickBot="1">
      <c r="A78" s="73"/>
      <c r="B78" s="125"/>
      <c r="C78" s="93"/>
      <c r="D78" s="112"/>
      <c r="E78" s="123"/>
      <c r="F78" s="123"/>
      <c r="G78" s="123"/>
      <c r="H78" s="123">
        <f>+G78+F78</f>
        <v>0</v>
      </c>
      <c r="I78" s="123"/>
      <c r="J78" s="123"/>
      <c r="K78" s="123"/>
      <c r="L78" s="123"/>
      <c r="M78" s="123">
        <f>SUM(H78:L78)</f>
        <v>0</v>
      </c>
      <c r="N78" s="123">
        <f>+M78*C2</f>
        <v>0</v>
      </c>
      <c r="O78" s="123">
        <v>0</v>
      </c>
      <c r="P78" s="123">
        <f>+M78*0.5</f>
        <v>0</v>
      </c>
      <c r="Q78" s="83"/>
      <c r="R78" s="123"/>
      <c r="S78" s="123"/>
      <c r="T78" s="123"/>
      <c r="U78" s="123">
        <f>R78-S78</f>
        <v>0</v>
      </c>
      <c r="V78" s="83"/>
      <c r="W78" s="123"/>
      <c r="X78" s="123"/>
      <c r="Y78" s="123"/>
      <c r="Z78" s="123">
        <f>W78-X78</f>
        <v>0</v>
      </c>
      <c r="AA78"/>
      <c r="AB78" s="83"/>
      <c r="AC78" s="83"/>
      <c r="AD78" s="111"/>
    </row>
    <row r="79" spans="1:30" s="107" customFormat="1" ht="12.75" customHeight="1" hidden="1">
      <c r="A79" s="106"/>
      <c r="B79" s="111"/>
      <c r="C79" s="93"/>
      <c r="D79" s="112"/>
      <c r="E79" s="82"/>
      <c r="F79" s="82">
        <f aca="true" t="shared" si="18" ref="F79:P79">SUM(F77:F78)</f>
        <v>0</v>
      </c>
      <c r="G79" s="82">
        <f t="shared" si="18"/>
        <v>0</v>
      </c>
      <c r="H79" s="82">
        <f t="shared" si="18"/>
        <v>0</v>
      </c>
      <c r="I79" s="82">
        <f t="shared" si="18"/>
        <v>0</v>
      </c>
      <c r="J79" s="82">
        <f t="shared" si="18"/>
        <v>0</v>
      </c>
      <c r="K79" s="82">
        <f t="shared" si="18"/>
        <v>0</v>
      </c>
      <c r="L79" s="82">
        <f t="shared" si="18"/>
        <v>0</v>
      </c>
      <c r="M79" s="82">
        <f t="shared" si="18"/>
        <v>0</v>
      </c>
      <c r="N79" s="82">
        <f t="shared" si="18"/>
        <v>0</v>
      </c>
      <c r="O79" s="82">
        <f t="shared" si="18"/>
        <v>0</v>
      </c>
      <c r="P79" s="82">
        <f t="shared" si="18"/>
        <v>0</v>
      </c>
      <c r="Q79" s="83"/>
      <c r="R79" s="82">
        <f>SUM(R77:R78)</f>
        <v>0</v>
      </c>
      <c r="S79" s="82">
        <f>SUM(S77:S78)</f>
        <v>0</v>
      </c>
      <c r="T79" s="82">
        <f>SUM(T77:T78)</f>
        <v>0</v>
      </c>
      <c r="U79" s="82">
        <f>SUM(U77:U78)</f>
        <v>0</v>
      </c>
      <c r="V79" s="83"/>
      <c r="W79" s="82">
        <f>SUM(W77:W78)</f>
        <v>0</v>
      </c>
      <c r="X79" s="82">
        <f>SUM(X77:X78)</f>
        <v>0</v>
      </c>
      <c r="Y79" s="82">
        <f>SUM(Y77:Y78)</f>
        <v>0</v>
      </c>
      <c r="Z79" s="82">
        <f>SUM(Z77:Z78)</f>
        <v>0</v>
      </c>
      <c r="AA79"/>
      <c r="AB79" s="83"/>
      <c r="AC79" s="83"/>
      <c r="AD79" s="111"/>
    </row>
    <row r="80" spans="1:30" s="107" customFormat="1" ht="12.75" customHeight="1" hidden="1">
      <c r="A80" s="106"/>
      <c r="C80" s="93"/>
      <c r="D80" s="112"/>
      <c r="E80" s="82"/>
      <c r="F80" s="82"/>
      <c r="G80" s="82"/>
      <c r="H80" s="82"/>
      <c r="I80" s="82"/>
      <c r="J80" s="82"/>
      <c r="K80" s="82"/>
      <c r="L80" s="82"/>
      <c r="M80" s="99">
        <f>SUM(H80:L80)</f>
        <v>0</v>
      </c>
      <c r="N80" s="82">
        <f>L80</f>
        <v>0</v>
      </c>
      <c r="O80" s="82"/>
      <c r="P80" s="82">
        <v>0</v>
      </c>
      <c r="Q80" s="83"/>
      <c r="R80" s="82"/>
      <c r="S80" s="82"/>
      <c r="T80" s="82"/>
      <c r="U80" s="82">
        <v>0</v>
      </c>
      <c r="V80" s="83"/>
      <c r="W80" s="82"/>
      <c r="X80" s="82"/>
      <c r="Y80" s="82"/>
      <c r="Z80" s="82">
        <v>0</v>
      </c>
      <c r="AA80"/>
      <c r="AB80" s="83"/>
      <c r="AC80" s="83"/>
      <c r="AD80" s="111"/>
    </row>
    <row r="81" spans="1:30" s="107" customFormat="1" ht="12.75" customHeight="1" hidden="1">
      <c r="A81" s="106"/>
      <c r="B81" s="83"/>
      <c r="C81" s="93"/>
      <c r="D81" s="112"/>
      <c r="E81" s="82"/>
      <c r="F81" s="82"/>
      <c r="G81" s="82"/>
      <c r="H81" s="82"/>
      <c r="I81" s="82"/>
      <c r="J81" s="82"/>
      <c r="K81" s="82"/>
      <c r="L81" s="82"/>
      <c r="M81" s="99">
        <f>SUM(H81:L81)</f>
        <v>0</v>
      </c>
      <c r="N81" s="99"/>
      <c r="O81" s="99"/>
      <c r="P81" s="99">
        <v>0</v>
      </c>
      <c r="Q81" s="83"/>
      <c r="R81" s="82"/>
      <c r="S81" s="82"/>
      <c r="T81" s="82"/>
      <c r="U81" s="82"/>
      <c r="V81" s="83"/>
      <c r="W81" s="82"/>
      <c r="X81" s="82"/>
      <c r="Y81" s="82"/>
      <c r="Z81" s="82"/>
      <c r="AA81"/>
      <c r="AB81" s="83"/>
      <c r="AC81" s="83"/>
      <c r="AD81" s="111"/>
    </row>
    <row r="82" spans="1:30" s="107" customFormat="1" ht="12.75" customHeight="1" hidden="1" thickBot="1">
      <c r="A82" s="106"/>
      <c r="B82" s="83" t="s">
        <v>79</v>
      </c>
      <c r="C82" s="93"/>
      <c r="D82" s="112"/>
      <c r="E82" s="82"/>
      <c r="F82" s="126">
        <f aca="true" t="shared" si="19" ref="F82:P82">SUM(F79:F81)</f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126">
        <f t="shared" si="19"/>
        <v>0</v>
      </c>
      <c r="L82" s="126">
        <f t="shared" si="19"/>
        <v>0</v>
      </c>
      <c r="M82" s="126">
        <f t="shared" si="19"/>
        <v>0</v>
      </c>
      <c r="N82" s="126">
        <f t="shared" si="19"/>
        <v>0</v>
      </c>
      <c r="O82" s="126">
        <f t="shared" si="19"/>
        <v>0</v>
      </c>
      <c r="P82" s="126">
        <f t="shared" si="19"/>
        <v>0</v>
      </c>
      <c r="Q82" s="83"/>
      <c r="R82" s="126">
        <f>SUM(R79:R81)</f>
        <v>0</v>
      </c>
      <c r="S82" s="126">
        <f>SUM(S79:S81)</f>
        <v>0</v>
      </c>
      <c r="T82" s="126">
        <f>SUM(T79:T81)</f>
        <v>0</v>
      </c>
      <c r="U82" s="126">
        <f>SUM(U79:U81)</f>
        <v>0</v>
      </c>
      <c r="V82" s="83"/>
      <c r="W82" s="126">
        <f>SUM(W79:W81)</f>
        <v>0</v>
      </c>
      <c r="X82" s="126">
        <f>SUM(X79:X81)</f>
        <v>0</v>
      </c>
      <c r="Y82" s="126">
        <f>SUM(Y79:Y81)</f>
        <v>0</v>
      </c>
      <c r="Z82" s="126">
        <f>SUM(Z79:Z81)</f>
        <v>0</v>
      </c>
      <c r="AA82"/>
      <c r="AB82" s="83"/>
      <c r="AC82" s="83"/>
      <c r="AD82" s="111"/>
    </row>
    <row r="83" spans="1:30" s="107" customFormat="1" ht="12.75" customHeight="1" hidden="1" thickTop="1">
      <c r="A83" s="106"/>
      <c r="B83" s="120"/>
      <c r="C83" s="93"/>
      <c r="D83" s="11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3"/>
      <c r="R83" s="82"/>
      <c r="S83" s="82"/>
      <c r="T83" s="82"/>
      <c r="U83" s="82"/>
      <c r="V83" s="83"/>
      <c r="W83" s="82"/>
      <c r="X83" s="82"/>
      <c r="Y83" s="82"/>
      <c r="Z83" s="82"/>
      <c r="AA83"/>
      <c r="AB83" s="83"/>
      <c r="AC83" s="83"/>
      <c r="AD83" s="111"/>
    </row>
    <row r="84" spans="1:30" s="107" customFormat="1" ht="12.75" customHeight="1" hidden="1">
      <c r="A84" s="106"/>
      <c r="B84" s="128" t="s">
        <v>80</v>
      </c>
      <c r="C84" s="93"/>
      <c r="D84" s="11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3"/>
      <c r="R84" s="82"/>
      <c r="S84" s="82"/>
      <c r="T84" s="82"/>
      <c r="U84" s="82"/>
      <c r="V84" s="83"/>
      <c r="W84" s="82"/>
      <c r="X84" s="82"/>
      <c r="Y84" s="82"/>
      <c r="Z84" s="82"/>
      <c r="AA84"/>
      <c r="AB84" s="83"/>
      <c r="AC84" s="83"/>
      <c r="AD84" s="111"/>
    </row>
    <row r="85" spans="1:30" s="107" customFormat="1" ht="12.75" customHeight="1" hidden="1">
      <c r="A85" s="106"/>
      <c r="B85" s="137" t="str">
        <f>K5</f>
        <v>340-1020-01</v>
      </c>
      <c r="C85" s="93"/>
      <c r="D85" s="112"/>
      <c r="E85" s="82"/>
      <c r="F85" s="82"/>
      <c r="G85" s="82"/>
      <c r="H85" s="90">
        <f>+G85+F85</f>
        <v>0</v>
      </c>
      <c r="I85" s="82"/>
      <c r="J85" s="82"/>
      <c r="K85" s="82"/>
      <c r="L85" s="82">
        <f>+L82</f>
        <v>0</v>
      </c>
      <c r="M85" s="90">
        <f>SUM(H85:L85)</f>
        <v>0</v>
      </c>
      <c r="N85" s="82">
        <f>+N82</f>
        <v>0</v>
      </c>
      <c r="O85" s="82">
        <f>+O82</f>
        <v>0</v>
      </c>
      <c r="P85" s="82"/>
      <c r="Q85" s="83"/>
      <c r="R85" s="99"/>
      <c r="S85" s="99"/>
      <c r="T85" s="99"/>
      <c r="U85" s="99"/>
      <c r="V85" s="83"/>
      <c r="W85" s="99"/>
      <c r="X85" s="99"/>
      <c r="Y85" s="99"/>
      <c r="Z85" s="99"/>
      <c r="AA85"/>
      <c r="AB85" s="83"/>
      <c r="AC85" s="83"/>
      <c r="AD85" s="111"/>
    </row>
    <row r="86" spans="1:30" s="107" customFormat="1" ht="12.75" customHeight="1" hidden="1" thickBot="1">
      <c r="A86" s="106"/>
      <c r="B86" s="83"/>
      <c r="C86" s="93"/>
      <c r="D86" s="112"/>
      <c r="E86" s="82"/>
      <c r="F86" s="126">
        <f aca="true" t="shared" si="20" ref="F86:P86">SUM(F85:F85)</f>
        <v>0</v>
      </c>
      <c r="G86" s="126">
        <f t="shared" si="20"/>
        <v>0</v>
      </c>
      <c r="H86" s="126">
        <f t="shared" si="20"/>
        <v>0</v>
      </c>
      <c r="I86" s="126">
        <f t="shared" si="20"/>
        <v>0</v>
      </c>
      <c r="J86" s="126">
        <f t="shared" si="20"/>
        <v>0</v>
      </c>
      <c r="K86" s="126">
        <f t="shared" si="20"/>
        <v>0</v>
      </c>
      <c r="L86" s="126">
        <f t="shared" si="20"/>
        <v>0</v>
      </c>
      <c r="M86" s="126">
        <f t="shared" si="20"/>
        <v>0</v>
      </c>
      <c r="N86" s="126">
        <f t="shared" si="20"/>
        <v>0</v>
      </c>
      <c r="O86" s="126">
        <f t="shared" si="20"/>
        <v>0</v>
      </c>
      <c r="P86" s="126">
        <f t="shared" si="20"/>
        <v>0</v>
      </c>
      <c r="Q86" s="83"/>
      <c r="R86" s="126">
        <f>SUM(R85:R85)</f>
        <v>0</v>
      </c>
      <c r="S86" s="126">
        <f>SUM(S85:S85)</f>
        <v>0</v>
      </c>
      <c r="T86" s="126">
        <f>SUM(T85:T85)</f>
        <v>0</v>
      </c>
      <c r="U86" s="126">
        <f>SUM(U85:U85)</f>
        <v>0</v>
      </c>
      <c r="V86" s="83"/>
      <c r="W86" s="126">
        <f>SUM(W85:W85)</f>
        <v>0</v>
      </c>
      <c r="X86" s="126">
        <f>SUM(X85:X85)</f>
        <v>0</v>
      </c>
      <c r="Y86" s="126">
        <f>SUM(Y85:Y85)</f>
        <v>0</v>
      </c>
      <c r="Z86" s="126">
        <f>SUM(Z85:Z85)</f>
        <v>0</v>
      </c>
      <c r="AA86"/>
      <c r="AB86" s="83"/>
      <c r="AC86" s="83"/>
      <c r="AD86" s="111"/>
    </row>
    <row r="87" spans="1:30" s="107" customFormat="1" ht="12.75" customHeight="1" hidden="1" thickTop="1">
      <c r="A87" s="106"/>
      <c r="B87" s="83"/>
      <c r="C87" s="93"/>
      <c r="D87" s="112"/>
      <c r="E87" s="82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83"/>
      <c r="R87" s="90"/>
      <c r="S87" s="90"/>
      <c r="T87" s="90"/>
      <c r="U87" s="90"/>
      <c r="V87" s="83"/>
      <c r="W87" s="90"/>
      <c r="X87" s="90"/>
      <c r="Y87" s="90"/>
      <c r="Z87" s="90"/>
      <c r="AA87"/>
      <c r="AB87" s="83"/>
      <c r="AC87" s="83"/>
      <c r="AD87" s="111"/>
    </row>
    <row r="88" spans="1:30" s="107" customFormat="1" ht="12.75" customHeight="1" hidden="1">
      <c r="A88" s="106"/>
      <c r="B88" s="83"/>
      <c r="C88" s="93"/>
      <c r="D88" s="112"/>
      <c r="E88" s="82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83"/>
      <c r="R88" s="90"/>
      <c r="S88" s="90"/>
      <c r="T88" s="90"/>
      <c r="U88" s="90"/>
      <c r="V88" s="83"/>
      <c r="W88" s="90"/>
      <c r="X88" s="90"/>
      <c r="Y88" s="90"/>
      <c r="Z88" s="90"/>
      <c r="AA88"/>
      <c r="AB88" s="83"/>
      <c r="AC88" s="83"/>
      <c r="AD88" s="111"/>
    </row>
    <row r="89" spans="1:30" s="107" customFormat="1" ht="12.75" customHeight="1" hidden="1">
      <c r="A89" s="106"/>
      <c r="B89" s="83"/>
      <c r="C89" s="93"/>
      <c r="D89" s="112"/>
      <c r="E89" s="82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83"/>
      <c r="R89" s="90"/>
      <c r="S89" s="90"/>
      <c r="T89" s="90"/>
      <c r="U89" s="90"/>
      <c r="V89" s="83"/>
      <c r="W89" s="90"/>
      <c r="X89" s="90"/>
      <c r="Y89" s="90"/>
      <c r="Z89" s="90"/>
      <c r="AA89"/>
      <c r="AB89" s="83"/>
      <c r="AC89" s="83"/>
      <c r="AD89" s="111"/>
    </row>
    <row r="90" spans="1:30" s="107" customFormat="1" ht="12.75" customHeight="1" hidden="1">
      <c r="A90" s="106"/>
      <c r="B90" s="120"/>
      <c r="C90" s="93"/>
      <c r="D90" s="11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3"/>
      <c r="R90" s="82"/>
      <c r="S90" s="82"/>
      <c r="T90" s="82"/>
      <c r="U90" s="82"/>
      <c r="V90" s="83"/>
      <c r="W90" s="82"/>
      <c r="X90" s="82"/>
      <c r="Y90" s="82"/>
      <c r="Z90" s="82"/>
      <c r="AA90"/>
      <c r="AB90" s="83"/>
      <c r="AC90" s="83"/>
      <c r="AD90" s="111"/>
    </row>
    <row r="91" spans="1:30" s="107" customFormat="1" ht="12.75" customHeight="1" thickBot="1">
      <c r="A91" s="117">
        <v>4</v>
      </c>
      <c r="B91" s="118" t="s">
        <v>22</v>
      </c>
      <c r="C91" s="93"/>
      <c r="D91" s="11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3"/>
      <c r="R91" s="82"/>
      <c r="S91" s="82"/>
      <c r="T91" s="82"/>
      <c r="U91" s="82"/>
      <c r="V91" s="83"/>
      <c r="W91" s="82"/>
      <c r="X91" s="82"/>
      <c r="Y91" s="82"/>
      <c r="Z91" s="82"/>
      <c r="AA91"/>
      <c r="AB91" s="83"/>
      <c r="AC91" s="83"/>
      <c r="AD91" s="111"/>
    </row>
    <row r="92" spans="1:30" s="107" customFormat="1" ht="1.5" customHeight="1">
      <c r="A92" s="106"/>
      <c r="B92" s="121" t="s">
        <v>77</v>
      </c>
      <c r="C92" s="93"/>
      <c r="D92" s="109" t="s">
        <v>71</v>
      </c>
      <c r="E92" s="97" t="s">
        <v>72</v>
      </c>
      <c r="F92" s="97" t="s">
        <v>72</v>
      </c>
      <c r="G92" s="97" t="s">
        <v>73</v>
      </c>
      <c r="H92" s="97" t="s">
        <v>1</v>
      </c>
      <c r="I92" s="97" t="s">
        <v>74</v>
      </c>
      <c r="J92" s="97" t="s">
        <v>66</v>
      </c>
      <c r="K92" s="97" t="s">
        <v>59</v>
      </c>
      <c r="L92" s="97" t="s">
        <v>18</v>
      </c>
      <c r="M92" s="97" t="s">
        <v>1</v>
      </c>
      <c r="N92" s="97" t="s">
        <v>7</v>
      </c>
      <c r="O92" s="97" t="s">
        <v>75</v>
      </c>
      <c r="P92" s="97" t="s">
        <v>76</v>
      </c>
      <c r="Q92" s="108"/>
      <c r="R92" s="97" t="s">
        <v>1</v>
      </c>
      <c r="S92" s="97" t="s">
        <v>7</v>
      </c>
      <c r="T92" s="97" t="s">
        <v>75</v>
      </c>
      <c r="U92" s="97" t="s">
        <v>76</v>
      </c>
      <c r="V92" s="83"/>
      <c r="W92" s="97" t="s">
        <v>1</v>
      </c>
      <c r="X92" s="97" t="s">
        <v>7</v>
      </c>
      <c r="Y92" s="97" t="s">
        <v>75</v>
      </c>
      <c r="Z92" s="97" t="s">
        <v>76</v>
      </c>
      <c r="AA92"/>
      <c r="AB92" s="83"/>
      <c r="AC92" s="83"/>
      <c r="AD92" s="111"/>
    </row>
    <row r="93" spans="1:30" s="107" customFormat="1" ht="12.75" customHeight="1" hidden="1">
      <c r="A93" s="106"/>
      <c r="B93" s="121"/>
      <c r="C93" s="93"/>
      <c r="D93" s="131"/>
      <c r="E93" s="94"/>
      <c r="F93" s="82">
        <f>+E93*D93</f>
        <v>0</v>
      </c>
      <c r="G93" s="82">
        <f>+F93*$C$4</f>
        <v>0</v>
      </c>
      <c r="H93" s="82">
        <f>+G93+F93</f>
        <v>0</v>
      </c>
      <c r="I93" s="82"/>
      <c r="J93" s="82">
        <f>+$C$7*D93</f>
        <v>0</v>
      </c>
      <c r="K93" s="82">
        <f>$C$5*D93</f>
        <v>0</v>
      </c>
      <c r="L93" s="82">
        <f>+$C$6*D93</f>
        <v>0</v>
      </c>
      <c r="M93" s="82">
        <f>SUM(H93:L93)</f>
        <v>0</v>
      </c>
      <c r="N93" s="82">
        <f>+M93*$C$2</f>
        <v>0</v>
      </c>
      <c r="O93" s="82"/>
      <c r="P93" s="82">
        <f>+M93-N93-O93</f>
        <v>0</v>
      </c>
      <c r="Q93" s="83"/>
      <c r="R93" s="82"/>
      <c r="S93" s="82">
        <f>+R93*0.5</f>
        <v>0</v>
      </c>
      <c r="T93" s="82"/>
      <c r="U93" s="82">
        <f>+R93-S93-T93</f>
        <v>0</v>
      </c>
      <c r="V93" s="83"/>
      <c r="W93" s="82"/>
      <c r="X93" s="82">
        <f>+W93*0.5</f>
        <v>0</v>
      </c>
      <c r="Y93" s="82"/>
      <c r="Z93" s="82">
        <f>+W93-X93-Y93</f>
        <v>0</v>
      </c>
      <c r="AA93"/>
      <c r="AB93" s="83"/>
      <c r="AC93" s="83"/>
      <c r="AD93" s="111"/>
    </row>
    <row r="94" spans="1:30" s="107" customFormat="1" ht="12.75" customHeight="1" hidden="1" thickBot="1">
      <c r="A94" s="106"/>
      <c r="B94" s="83"/>
      <c r="C94" s="93"/>
      <c r="D94" s="112"/>
      <c r="E94" s="82"/>
      <c r="F94" s="123">
        <f>+E94*D94</f>
        <v>0</v>
      </c>
      <c r="G94" s="123">
        <f>+F94*$C$4</f>
        <v>0</v>
      </c>
      <c r="H94" s="123">
        <f>+G94+F94</f>
        <v>0</v>
      </c>
      <c r="I94" s="123"/>
      <c r="J94" s="123">
        <f>+$C$7*D94</f>
        <v>0</v>
      </c>
      <c r="K94" s="123">
        <f>$C$5*D94</f>
        <v>0</v>
      </c>
      <c r="L94" s="123">
        <f>+$C$6*D94</f>
        <v>0</v>
      </c>
      <c r="M94" s="123">
        <f>SUM(H94:L94)</f>
        <v>0</v>
      </c>
      <c r="N94" s="123">
        <f>+M94*$C$2</f>
        <v>0</v>
      </c>
      <c r="O94" s="123"/>
      <c r="P94" s="123">
        <f>+M94-N94-O94</f>
        <v>0</v>
      </c>
      <c r="Q94" s="138"/>
      <c r="R94" s="123"/>
      <c r="S94" s="123">
        <f>+R94*0.5</f>
        <v>0</v>
      </c>
      <c r="T94" s="123"/>
      <c r="U94" s="123">
        <f>+R94-S94-T94</f>
        <v>0</v>
      </c>
      <c r="V94" s="83"/>
      <c r="W94" s="123"/>
      <c r="X94" s="123">
        <f>+W94*0.5</f>
        <v>0</v>
      </c>
      <c r="Y94" s="123"/>
      <c r="Z94" s="123">
        <f>+W94-X94-Y94</f>
        <v>0</v>
      </c>
      <c r="AA94"/>
      <c r="AB94" s="83"/>
      <c r="AC94" s="83"/>
      <c r="AD94" s="111"/>
    </row>
    <row r="95" spans="1:30" s="86" customFormat="1" ht="12.75" customHeight="1" hidden="1">
      <c r="A95" s="106"/>
      <c r="B95" s="83"/>
      <c r="C95" s="93"/>
      <c r="D95" s="112"/>
      <c r="E95" s="82"/>
      <c r="F95" s="82">
        <f aca="true" t="shared" si="21" ref="F95:P95">SUM(F93:F94)</f>
        <v>0</v>
      </c>
      <c r="G95" s="82">
        <f t="shared" si="21"/>
        <v>0</v>
      </c>
      <c r="H95" s="82">
        <f t="shared" si="21"/>
        <v>0</v>
      </c>
      <c r="I95" s="82">
        <f t="shared" si="21"/>
        <v>0</v>
      </c>
      <c r="J95" s="82">
        <f t="shared" si="21"/>
        <v>0</v>
      </c>
      <c r="K95" s="82">
        <f t="shared" si="21"/>
        <v>0</v>
      </c>
      <c r="L95" s="82">
        <f t="shared" si="21"/>
        <v>0</v>
      </c>
      <c r="M95" s="82">
        <f t="shared" si="21"/>
        <v>0</v>
      </c>
      <c r="N95" s="82">
        <f t="shared" si="21"/>
        <v>0</v>
      </c>
      <c r="O95" s="82">
        <f t="shared" si="21"/>
        <v>0</v>
      </c>
      <c r="P95" s="82">
        <f t="shared" si="21"/>
        <v>0</v>
      </c>
      <c r="Q95" s="83"/>
      <c r="R95" s="82">
        <f>SUM(R93:R94)</f>
        <v>0</v>
      </c>
      <c r="S95" s="82">
        <f>SUM(S93:S94)</f>
        <v>0</v>
      </c>
      <c r="T95" s="82">
        <f>SUM(T93:T94)</f>
        <v>0</v>
      </c>
      <c r="U95" s="82">
        <f>SUM(U93:U94)</f>
        <v>0</v>
      </c>
      <c r="V95" s="83"/>
      <c r="W95" s="82">
        <f>SUM(W93:W94)</f>
        <v>0</v>
      </c>
      <c r="X95" s="82">
        <f>SUM(X93:X94)</f>
        <v>0</v>
      </c>
      <c r="Y95" s="82">
        <f>SUM(Y93:Y94)</f>
        <v>0</v>
      </c>
      <c r="Z95" s="82">
        <f>SUM(Z93:Z94)</f>
        <v>0</v>
      </c>
      <c r="AA95"/>
      <c r="AB95" s="83"/>
      <c r="AC95" s="83"/>
      <c r="AD95" s="83"/>
    </row>
    <row r="96" spans="1:30" s="86" customFormat="1" ht="12" customHeight="1">
      <c r="A96" s="106"/>
      <c r="B96" s="83"/>
      <c r="C96" s="93"/>
      <c r="D96" s="11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3"/>
      <c r="R96" s="82"/>
      <c r="S96" s="82"/>
      <c r="T96" s="82"/>
      <c r="U96" s="82"/>
      <c r="V96" s="83"/>
      <c r="W96" s="82"/>
      <c r="X96" s="82"/>
      <c r="Y96" s="82"/>
      <c r="Z96" s="82"/>
      <c r="AA96"/>
      <c r="AB96" s="83"/>
      <c r="AC96" s="83"/>
      <c r="AD96" s="83"/>
    </row>
    <row r="97" spans="1:30" s="86" customFormat="1" ht="12" customHeight="1">
      <c r="A97" s="93">
        <v>410</v>
      </c>
      <c r="B97" s="132" t="s">
        <v>91</v>
      </c>
      <c r="C97" s="93"/>
      <c r="D97" s="112"/>
      <c r="E97" s="82"/>
      <c r="F97" s="82"/>
      <c r="G97" s="82"/>
      <c r="H97" s="82"/>
      <c r="I97" s="82">
        <v>75000</v>
      </c>
      <c r="J97" s="82"/>
      <c r="K97" s="82"/>
      <c r="M97" s="90">
        <f>SUM(H97:K97)</f>
        <v>75000</v>
      </c>
      <c r="N97" s="82">
        <f>+M97*C2</f>
        <v>37500</v>
      </c>
      <c r="O97" s="82">
        <v>0</v>
      </c>
      <c r="P97" s="82">
        <f>M97-N97</f>
        <v>37500</v>
      </c>
      <c r="Q97" s="83"/>
      <c r="R97" s="82"/>
      <c r="S97" s="82"/>
      <c r="T97" s="82"/>
      <c r="U97" s="82"/>
      <c r="V97" s="83"/>
      <c r="W97" s="82"/>
      <c r="X97" s="82"/>
      <c r="Y97" s="82"/>
      <c r="Z97" s="82"/>
      <c r="AA97"/>
      <c r="AB97" s="83"/>
      <c r="AC97" s="83"/>
      <c r="AD97" s="83"/>
    </row>
    <row r="98" spans="1:30" s="86" customFormat="1" ht="12.75" customHeight="1">
      <c r="A98" s="93">
        <v>807</v>
      </c>
      <c r="B98" s="132" t="s">
        <v>92</v>
      </c>
      <c r="C98" s="93"/>
      <c r="D98" s="112"/>
      <c r="E98" s="82"/>
      <c r="F98" s="82"/>
      <c r="G98" s="82"/>
      <c r="H98" s="82"/>
      <c r="I98" s="82"/>
      <c r="J98" s="82"/>
      <c r="K98" s="82"/>
      <c r="L98" s="90">
        <v>24500000</v>
      </c>
      <c r="M98" s="90">
        <f>SUM(H98:L98)</f>
        <v>24500000</v>
      </c>
      <c r="N98" s="82">
        <f>'[8]FY10 Priority  (2)'!$E$23</f>
        <v>3675000</v>
      </c>
      <c r="O98" s="82">
        <v>0</v>
      </c>
      <c r="P98" s="82">
        <f>L98-N98</f>
        <v>20825000</v>
      </c>
      <c r="Q98" s="83"/>
      <c r="R98" s="82">
        <f>'[10]June'!$G$51</f>
        <v>27922043</v>
      </c>
      <c r="S98" s="90">
        <f>R98*0.25</f>
        <v>6980510.75</v>
      </c>
      <c r="T98" s="90"/>
      <c r="U98" s="90">
        <f>R98-S98-T98</f>
        <v>20941532.25</v>
      </c>
      <c r="V98" s="83"/>
      <c r="W98" s="82">
        <v>33838476</v>
      </c>
      <c r="X98" s="139">
        <f>W98-Z98</f>
        <v>9181460.5</v>
      </c>
      <c r="Y98" s="82"/>
      <c r="Z98" s="82">
        <f>(10000*0.5)+(1425180*0.9)+(24676822*0.75)+(2300040*0.5)+(2923434*0.5)+(2500000*0.9)</f>
        <v>24657015.5</v>
      </c>
      <c r="AA98"/>
      <c r="AB98" s="83"/>
      <c r="AC98" s="83"/>
      <c r="AD98" s="83"/>
    </row>
    <row r="99" spans="1:30" s="107" customFormat="1" ht="12.75" customHeight="1">
      <c r="A99" s="73"/>
      <c r="B99" s="120"/>
      <c r="C99" s="93"/>
      <c r="D99" s="11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3"/>
      <c r="R99" s="99"/>
      <c r="S99" s="99"/>
      <c r="T99" s="99"/>
      <c r="U99" s="99"/>
      <c r="V99" s="83"/>
      <c r="W99" s="99"/>
      <c r="X99" s="99"/>
      <c r="Y99" s="99"/>
      <c r="Z99" s="99"/>
      <c r="AA99"/>
      <c r="AB99" s="83"/>
      <c r="AC99" s="83"/>
      <c r="AD99" s="111"/>
    </row>
    <row r="100" spans="1:30" s="86" customFormat="1" ht="12.75" customHeight="1" thickBot="1">
      <c r="A100" s="117"/>
      <c r="B100" s="83" t="s">
        <v>79</v>
      </c>
      <c r="C100" s="93"/>
      <c r="D100" s="112"/>
      <c r="E100" s="82"/>
      <c r="F100" s="126">
        <f aca="true" t="shared" si="22" ref="F100:P100">SUM(F95:F99)</f>
        <v>0</v>
      </c>
      <c r="G100" s="126">
        <f t="shared" si="22"/>
        <v>0</v>
      </c>
      <c r="H100" s="126">
        <f t="shared" si="22"/>
        <v>0</v>
      </c>
      <c r="I100" s="126">
        <f t="shared" si="22"/>
        <v>75000</v>
      </c>
      <c r="J100" s="126">
        <f t="shared" si="22"/>
        <v>0</v>
      </c>
      <c r="K100" s="126">
        <f t="shared" si="22"/>
        <v>0</v>
      </c>
      <c r="L100" s="126">
        <f t="shared" si="22"/>
        <v>24500000</v>
      </c>
      <c r="M100" s="126">
        <f t="shared" si="22"/>
        <v>24575000</v>
      </c>
      <c r="N100" s="126">
        <f t="shared" si="22"/>
        <v>3712500</v>
      </c>
      <c r="O100" s="126">
        <f t="shared" si="22"/>
        <v>0</v>
      </c>
      <c r="P100" s="126">
        <f t="shared" si="22"/>
        <v>20862500</v>
      </c>
      <c r="Q100" s="83"/>
      <c r="R100" s="126">
        <f>SUM(R97:R99)</f>
        <v>27922043</v>
      </c>
      <c r="S100" s="126">
        <f>SUM(S97:S99)</f>
        <v>6980510.75</v>
      </c>
      <c r="T100" s="126">
        <f>SUM(T97:T99)</f>
        <v>0</v>
      </c>
      <c r="U100" s="126">
        <f>SUM(U97:U99)</f>
        <v>20941532.25</v>
      </c>
      <c r="V100" s="83"/>
      <c r="W100" s="126">
        <f>SUM(W97:W99)</f>
        <v>33838476</v>
      </c>
      <c r="X100" s="126">
        <f>SUM(X97:X99)</f>
        <v>9181460.5</v>
      </c>
      <c r="Y100" s="126">
        <f>SUM(Y97:Y99)</f>
        <v>0</v>
      </c>
      <c r="Z100" s="126">
        <f>SUM(Z97:Z99)</f>
        <v>24657015.5</v>
      </c>
      <c r="AA100"/>
      <c r="AB100" s="83"/>
      <c r="AC100" s="83"/>
      <c r="AD100" s="83"/>
    </row>
    <row r="101" spans="1:30" s="107" customFormat="1" ht="12.75" customHeight="1" thickTop="1">
      <c r="A101" s="73"/>
      <c r="B101" s="120"/>
      <c r="C101" s="93"/>
      <c r="D101" s="11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3"/>
      <c r="R101" s="82"/>
      <c r="S101" s="82"/>
      <c r="T101" s="82"/>
      <c r="U101" s="82"/>
      <c r="V101" s="83"/>
      <c r="W101" s="82"/>
      <c r="X101" s="82"/>
      <c r="Y101" s="82"/>
      <c r="Z101" s="82"/>
      <c r="AA101"/>
      <c r="AB101" s="83"/>
      <c r="AC101" s="83"/>
      <c r="AD101" s="111"/>
    </row>
    <row r="102" spans="1:30" s="107" customFormat="1" ht="12.75" customHeight="1">
      <c r="A102" s="73"/>
      <c r="B102" s="128" t="s">
        <v>80</v>
      </c>
      <c r="C102" s="93"/>
      <c r="D102" s="11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3"/>
      <c r="R102" s="140"/>
      <c r="S102" s="82"/>
      <c r="T102" s="82"/>
      <c r="U102" s="82"/>
      <c r="V102" s="83"/>
      <c r="W102" s="140"/>
      <c r="X102" s="82"/>
      <c r="Y102" s="82"/>
      <c r="Z102" s="82"/>
      <c r="AA102"/>
      <c r="AB102" s="83"/>
      <c r="AC102" s="83"/>
      <c r="AD102" s="111"/>
    </row>
    <row r="103" spans="1:30" s="107" customFormat="1" ht="12.75" customHeight="1">
      <c r="A103" s="73"/>
      <c r="B103" s="102" t="str">
        <f>+J4</f>
        <v>200-1030-01</v>
      </c>
      <c r="C103" s="93"/>
      <c r="D103" s="112"/>
      <c r="E103" s="82"/>
      <c r="F103" s="82"/>
      <c r="G103" s="82"/>
      <c r="H103" s="82"/>
      <c r="I103" s="82">
        <f>I97</f>
        <v>75000</v>
      </c>
      <c r="J103" s="82"/>
      <c r="K103" s="82"/>
      <c r="L103" s="82"/>
      <c r="M103" s="90">
        <f>SUM(H103:L103)</f>
        <v>75000</v>
      </c>
      <c r="N103" s="82">
        <f>N97</f>
        <v>37500</v>
      </c>
      <c r="O103" s="82">
        <f>O97</f>
        <v>0</v>
      </c>
      <c r="P103" s="82">
        <f>P97</f>
        <v>37500</v>
      </c>
      <c r="Q103" s="83"/>
      <c r="R103" s="82"/>
      <c r="S103" s="82"/>
      <c r="T103" s="82"/>
      <c r="U103" s="82"/>
      <c r="V103" s="83"/>
      <c r="W103" s="82"/>
      <c r="X103" s="82"/>
      <c r="Y103" s="82"/>
      <c r="Z103" s="82"/>
      <c r="AA103"/>
      <c r="AB103" s="83"/>
      <c r="AC103" s="83"/>
      <c r="AD103" s="111"/>
    </row>
    <row r="104" spans="1:30" s="107" customFormat="1" ht="12.75" customHeight="1">
      <c r="A104" s="73"/>
      <c r="B104" s="129" t="str">
        <f>J5</f>
        <v>200-1030-88</v>
      </c>
      <c r="C104" s="93"/>
      <c r="D104" s="112"/>
      <c r="E104" s="82"/>
      <c r="F104" s="82"/>
      <c r="G104" s="82"/>
      <c r="H104" s="90">
        <f>+G104+F104</f>
        <v>0</v>
      </c>
      <c r="I104" s="82"/>
      <c r="J104" s="82">
        <v>0</v>
      </c>
      <c r="K104" s="82">
        <v>0</v>
      </c>
      <c r="L104" s="82">
        <f>+L100</f>
        <v>24500000</v>
      </c>
      <c r="M104" s="90">
        <f>SUM(H104:L104)</f>
        <v>24500000</v>
      </c>
      <c r="N104" s="82">
        <f>N98</f>
        <v>3675000</v>
      </c>
      <c r="O104" s="82"/>
      <c r="P104" s="82">
        <f>M104-N104</f>
        <v>20825000</v>
      </c>
      <c r="Q104" s="83"/>
      <c r="R104" s="90">
        <f>R98</f>
        <v>27922043</v>
      </c>
      <c r="S104" s="90">
        <f>S98</f>
        <v>6980510.75</v>
      </c>
      <c r="T104" s="90">
        <f>T98</f>
        <v>0</v>
      </c>
      <c r="U104" s="90">
        <f>U98</f>
        <v>20941532.25</v>
      </c>
      <c r="V104" s="90"/>
      <c r="W104" s="90">
        <f>W98</f>
        <v>33838476</v>
      </c>
      <c r="X104" s="90">
        <f>X98</f>
        <v>9181460.5</v>
      </c>
      <c r="Y104" s="90">
        <f>Y98</f>
        <v>0</v>
      </c>
      <c r="Z104" s="90">
        <f>Z98</f>
        <v>24657015.5</v>
      </c>
      <c r="AA104"/>
      <c r="AB104" s="83"/>
      <c r="AC104" s="83"/>
      <c r="AD104" s="111"/>
    </row>
    <row r="105" spans="1:30" s="86" customFormat="1" ht="12.75" customHeight="1" thickBot="1">
      <c r="A105" s="117"/>
      <c r="B105" s="83"/>
      <c r="C105" s="93"/>
      <c r="D105" s="112"/>
      <c r="E105" s="82"/>
      <c r="F105" s="126">
        <f aca="true" t="shared" si="23" ref="F105:P105">SUM(F103:F104)</f>
        <v>0</v>
      </c>
      <c r="G105" s="126">
        <f t="shared" si="23"/>
        <v>0</v>
      </c>
      <c r="H105" s="126">
        <f t="shared" si="23"/>
        <v>0</v>
      </c>
      <c r="I105" s="126">
        <f t="shared" si="23"/>
        <v>75000</v>
      </c>
      <c r="J105" s="126">
        <f t="shared" si="23"/>
        <v>0</v>
      </c>
      <c r="K105" s="126">
        <f t="shared" si="23"/>
        <v>0</v>
      </c>
      <c r="L105" s="126">
        <f t="shared" si="23"/>
        <v>24500000</v>
      </c>
      <c r="M105" s="126">
        <f t="shared" si="23"/>
        <v>24575000</v>
      </c>
      <c r="N105" s="126">
        <f t="shared" si="23"/>
        <v>3712500</v>
      </c>
      <c r="O105" s="126">
        <f t="shared" si="23"/>
        <v>0</v>
      </c>
      <c r="P105" s="126">
        <f t="shared" si="23"/>
        <v>20862500</v>
      </c>
      <c r="Q105" s="126"/>
      <c r="R105" s="126">
        <f>SUM(R103:R104)</f>
        <v>27922043</v>
      </c>
      <c r="S105" s="126">
        <f>SUM(S103:S104)</f>
        <v>6980510.75</v>
      </c>
      <c r="T105" s="126">
        <f>SUM(T103:T104)</f>
        <v>0</v>
      </c>
      <c r="U105" s="126">
        <f>SUM(U103:U104)</f>
        <v>20941532.25</v>
      </c>
      <c r="V105" s="83"/>
      <c r="W105" s="126">
        <f>SUM(W103:W104)</f>
        <v>33838476</v>
      </c>
      <c r="X105" s="126">
        <f>SUM(X103:X104)</f>
        <v>9181460.5</v>
      </c>
      <c r="Y105" s="126">
        <f>SUM(Y103:Y104)</f>
        <v>0</v>
      </c>
      <c r="Z105" s="126">
        <f>SUM(Z103:Z104)</f>
        <v>24657015.5</v>
      </c>
      <c r="AA105"/>
      <c r="AB105" s="83"/>
      <c r="AC105" s="83"/>
      <c r="AD105" s="83"/>
    </row>
    <row r="106" spans="1:30" s="107" customFormat="1" ht="12.75" customHeight="1" thickTop="1">
      <c r="A106" s="73"/>
      <c r="B106" s="120"/>
      <c r="C106" s="93"/>
      <c r="D106" s="11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3"/>
      <c r="R106" s="82"/>
      <c r="S106" s="82"/>
      <c r="T106" s="82"/>
      <c r="U106" s="82"/>
      <c r="V106" s="83"/>
      <c r="W106" s="82"/>
      <c r="X106" s="82"/>
      <c r="Y106" s="82"/>
      <c r="Z106" s="82"/>
      <c r="AA106"/>
      <c r="AB106" s="83"/>
      <c r="AC106" s="83"/>
      <c r="AD106" s="111"/>
    </row>
    <row r="107" spans="1:29" ht="12.75" customHeight="1" thickBot="1">
      <c r="A107" s="117">
        <v>5</v>
      </c>
      <c r="B107" s="118" t="s">
        <v>93</v>
      </c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3"/>
      <c r="R107" s="82"/>
      <c r="S107" s="82"/>
      <c r="T107" s="82"/>
      <c r="U107" s="82"/>
      <c r="V107" s="83"/>
      <c r="W107" s="82"/>
      <c r="X107" s="82"/>
      <c r="Y107" s="82"/>
      <c r="Z107" s="82"/>
      <c r="AA107"/>
      <c r="AB107" s="83"/>
      <c r="AC107" s="83"/>
    </row>
    <row r="108" spans="1:30" s="107" customFormat="1" ht="1.5" customHeight="1">
      <c r="A108" s="106"/>
      <c r="B108" s="121" t="s">
        <v>77</v>
      </c>
      <c r="C108" s="93"/>
      <c r="D108" s="112"/>
      <c r="E108" s="82"/>
      <c r="F108" s="97" t="s">
        <v>72</v>
      </c>
      <c r="G108" s="97" t="s">
        <v>73</v>
      </c>
      <c r="H108" s="97" t="s">
        <v>1</v>
      </c>
      <c r="I108" s="97" t="s">
        <v>74</v>
      </c>
      <c r="J108" s="97" t="s">
        <v>66</v>
      </c>
      <c r="K108" s="97" t="s">
        <v>59</v>
      </c>
      <c r="L108" s="97" t="s">
        <v>18</v>
      </c>
      <c r="M108" s="97" t="s">
        <v>1</v>
      </c>
      <c r="N108" s="97" t="s">
        <v>7</v>
      </c>
      <c r="O108" s="97" t="s">
        <v>75</v>
      </c>
      <c r="P108" s="97" t="s">
        <v>76</v>
      </c>
      <c r="Q108" s="108"/>
      <c r="R108" s="97" t="s">
        <v>1</v>
      </c>
      <c r="S108" s="97" t="s">
        <v>7</v>
      </c>
      <c r="T108" s="97" t="s">
        <v>75</v>
      </c>
      <c r="U108" s="97" t="s">
        <v>76</v>
      </c>
      <c r="V108" s="83"/>
      <c r="W108" s="97" t="s">
        <v>1</v>
      </c>
      <c r="X108" s="97" t="s">
        <v>7</v>
      </c>
      <c r="Y108" s="97" t="s">
        <v>75</v>
      </c>
      <c r="Z108" s="97" t="s">
        <v>76</v>
      </c>
      <c r="AA108"/>
      <c r="AB108" s="83"/>
      <c r="AC108" s="83"/>
      <c r="AD108" s="111"/>
    </row>
    <row r="109" spans="1:30" s="107" customFormat="1" ht="12.75" customHeight="1" hidden="1">
      <c r="A109" s="106"/>
      <c r="B109" s="102"/>
      <c r="C109" s="93"/>
      <c r="D109" s="131"/>
      <c r="E109" s="94"/>
      <c r="F109" s="82">
        <f>+E109*D109</f>
        <v>0</v>
      </c>
      <c r="G109" s="82">
        <f>+F109*$C$4</f>
        <v>0</v>
      </c>
      <c r="H109" s="82">
        <f>+G109+F109</f>
        <v>0</v>
      </c>
      <c r="I109" s="82"/>
      <c r="J109" s="82">
        <f>+$C$7*D109</f>
        <v>0</v>
      </c>
      <c r="K109" s="82">
        <f>$C$5*D109</f>
        <v>0</v>
      </c>
      <c r="L109" s="82">
        <f>+$C$6*D109</f>
        <v>0</v>
      </c>
      <c r="M109" s="82">
        <f>SUM(H109:L109)</f>
        <v>0</v>
      </c>
      <c r="N109" s="82">
        <f>+M109*$C$2</f>
        <v>0</v>
      </c>
      <c r="O109" s="82"/>
      <c r="P109" s="82">
        <f>+M109-N109-O109</f>
        <v>0</v>
      </c>
      <c r="Q109" s="83"/>
      <c r="R109" s="82"/>
      <c r="S109" s="82">
        <f>+R109*0.5</f>
        <v>0</v>
      </c>
      <c r="T109" s="82"/>
      <c r="U109" s="82">
        <f>+R109-S109-T109</f>
        <v>0</v>
      </c>
      <c r="V109" s="83"/>
      <c r="W109" s="82"/>
      <c r="X109" s="82">
        <f>+W109*0.5</f>
        <v>0</v>
      </c>
      <c r="Y109" s="82"/>
      <c r="Z109" s="82">
        <f>+W109-X109-Y109</f>
        <v>0</v>
      </c>
      <c r="AA109"/>
      <c r="AB109" s="83"/>
      <c r="AC109" s="83"/>
      <c r="AD109" s="111"/>
    </row>
    <row r="110" spans="2:29" ht="12.75" customHeight="1" hidden="1" thickBot="1">
      <c r="B110" s="102"/>
      <c r="D110" s="131"/>
      <c r="E110" s="94"/>
      <c r="F110" s="123">
        <f>+E110*D110</f>
        <v>0</v>
      </c>
      <c r="G110" s="123">
        <f>+F110*$C$4</f>
        <v>0</v>
      </c>
      <c r="H110" s="123">
        <f>+G110+F110</f>
        <v>0</v>
      </c>
      <c r="I110" s="123"/>
      <c r="J110" s="123">
        <f>+$C$7*D110</f>
        <v>0</v>
      </c>
      <c r="K110" s="123">
        <f>$C$5*D110</f>
        <v>0</v>
      </c>
      <c r="L110" s="123">
        <f>+$C$6*D110</f>
        <v>0</v>
      </c>
      <c r="M110" s="123">
        <f>SUM(H110:L110)</f>
        <v>0</v>
      </c>
      <c r="N110" s="123">
        <f>+M110*$C$2</f>
        <v>0</v>
      </c>
      <c r="O110" s="123"/>
      <c r="P110" s="123">
        <f>+M110-N110-O110</f>
        <v>0</v>
      </c>
      <c r="Q110" s="138"/>
      <c r="R110" s="123"/>
      <c r="S110" s="123">
        <f>+R110*0.5</f>
        <v>0</v>
      </c>
      <c r="T110" s="123"/>
      <c r="U110" s="123">
        <f>+R110-S110-T110</f>
        <v>0</v>
      </c>
      <c r="V110" s="83"/>
      <c r="W110" s="123"/>
      <c r="X110" s="123">
        <f>+W110*0.5</f>
        <v>0</v>
      </c>
      <c r="Y110" s="123"/>
      <c r="Z110" s="123">
        <f>+W110-X110-Y110</f>
        <v>0</v>
      </c>
      <c r="AA110"/>
      <c r="AB110" s="83"/>
      <c r="AC110" s="83"/>
    </row>
    <row r="111" spans="1:30" s="86" customFormat="1" ht="12.75" customHeight="1" hidden="1">
      <c r="A111" s="113"/>
      <c r="B111" s="83"/>
      <c r="C111" s="93"/>
      <c r="D111" s="112"/>
      <c r="E111" s="82"/>
      <c r="F111" s="82">
        <f aca="true" t="shared" si="24" ref="F111:P111">SUM(F109:F110)</f>
        <v>0</v>
      </c>
      <c r="G111" s="82">
        <f t="shared" si="24"/>
        <v>0</v>
      </c>
      <c r="H111" s="82">
        <f t="shared" si="24"/>
        <v>0</v>
      </c>
      <c r="I111" s="82">
        <f t="shared" si="24"/>
        <v>0</v>
      </c>
      <c r="J111" s="82">
        <f t="shared" si="24"/>
        <v>0</v>
      </c>
      <c r="K111" s="82">
        <f t="shared" si="24"/>
        <v>0</v>
      </c>
      <c r="L111" s="82">
        <f t="shared" si="24"/>
        <v>0</v>
      </c>
      <c r="M111" s="82">
        <f t="shared" si="24"/>
        <v>0</v>
      </c>
      <c r="N111" s="82">
        <f t="shared" si="24"/>
        <v>0</v>
      </c>
      <c r="O111" s="82">
        <f t="shared" si="24"/>
        <v>0</v>
      </c>
      <c r="P111" s="82">
        <f t="shared" si="24"/>
        <v>0</v>
      </c>
      <c r="Q111" s="83"/>
      <c r="R111" s="82">
        <f>SUM(R109:R110)</f>
        <v>0</v>
      </c>
      <c r="S111" s="82">
        <f>SUM(S109:S110)</f>
        <v>0</v>
      </c>
      <c r="T111" s="82">
        <f>SUM(T109:T110)</f>
        <v>0</v>
      </c>
      <c r="U111" s="82">
        <f>SUM(U109:U110)</f>
        <v>0</v>
      </c>
      <c r="V111" s="83"/>
      <c r="W111" s="82">
        <f>SUM(W109:W110)</f>
        <v>0</v>
      </c>
      <c r="X111" s="82">
        <f>SUM(X109:X110)</f>
        <v>0</v>
      </c>
      <c r="Y111" s="82">
        <f>SUM(Y109:Y110)</f>
        <v>0</v>
      </c>
      <c r="Z111" s="82">
        <f>SUM(Z109:Z110)</f>
        <v>0</v>
      </c>
      <c r="AA111"/>
      <c r="AB111" s="83"/>
      <c r="AC111" s="83"/>
      <c r="AD111" s="83"/>
    </row>
    <row r="112" spans="1:29" ht="12.75" customHeight="1">
      <c r="A112" s="106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3"/>
      <c r="R112" s="82"/>
      <c r="S112" s="82"/>
      <c r="T112" s="82"/>
      <c r="U112" s="82"/>
      <c r="V112" s="83"/>
      <c r="W112" s="82"/>
      <c r="X112" s="82"/>
      <c r="Y112" s="82"/>
      <c r="Z112" s="82"/>
      <c r="AA112"/>
      <c r="AB112" s="83"/>
      <c r="AC112" s="83"/>
    </row>
    <row r="113" spans="1:27" s="83" customFormat="1" ht="12.75" customHeight="1">
      <c r="A113" s="122"/>
      <c r="B113" s="83" t="s">
        <v>15</v>
      </c>
      <c r="C113" s="93"/>
      <c r="D113" s="112"/>
      <c r="E113" s="82"/>
      <c r="F113" s="82"/>
      <c r="G113" s="82"/>
      <c r="H113" s="82"/>
      <c r="I113" s="82"/>
      <c r="J113" s="82"/>
      <c r="K113" s="82"/>
      <c r="L113" s="82"/>
      <c r="M113" s="90"/>
      <c r="N113" s="82"/>
      <c r="O113" s="82"/>
      <c r="P113" s="82"/>
      <c r="R113" s="90"/>
      <c r="S113" s="90"/>
      <c r="T113" s="90"/>
      <c r="U113" s="90"/>
      <c r="W113" s="90"/>
      <c r="X113" s="90"/>
      <c r="Y113" s="90"/>
      <c r="Z113" s="90"/>
      <c r="AA113"/>
    </row>
    <row r="114" spans="1:27" s="83" customFormat="1" ht="12.75" customHeight="1">
      <c r="A114" s="122"/>
      <c r="B114" s="83" t="s">
        <v>94</v>
      </c>
      <c r="C114" s="93"/>
      <c r="D114" s="112"/>
      <c r="E114" s="82"/>
      <c r="F114" s="82"/>
      <c r="G114" s="82"/>
      <c r="H114" s="82"/>
      <c r="I114" s="82"/>
      <c r="J114" s="82"/>
      <c r="K114" s="82"/>
      <c r="L114" s="82">
        <v>7289433.095804503</v>
      </c>
      <c r="M114" s="90">
        <f aca="true" t="shared" si="25" ref="M114:M123">SUM(H114:L114)</f>
        <v>7289433.095804503</v>
      </c>
      <c r="N114" s="82">
        <f>M114*$C$3</f>
        <v>2528704.340934582</v>
      </c>
      <c r="O114" s="82"/>
      <c r="P114" s="82">
        <f aca="true" t="shared" si="26" ref="P114:P122">+M114-N114-O114</f>
        <v>4760728.754869921</v>
      </c>
      <c r="R114" s="90">
        <f>'[10]JuneMedSum'!$I$16</f>
        <v>651266242</v>
      </c>
      <c r="S114" s="90">
        <f aca="true" t="shared" si="27" ref="S114:S122">R114*$S$1</f>
        <v>212573301.38879994</v>
      </c>
      <c r="T114" s="90"/>
      <c r="U114" s="90">
        <f aca="true" t="shared" si="28" ref="U114:U122">R114-S114-T114</f>
        <v>438692940.6112001</v>
      </c>
      <c r="W114" s="90">
        <f>'[11]09 Fund 340 summary'!$P$10+'[11]09 Fund 340 summary'!$P$11</f>
        <v>672649745.9198314</v>
      </c>
      <c r="X114" s="90">
        <f aca="true" t="shared" si="29" ref="X114:X122">W114*$X$1</f>
        <v>227355614.120903</v>
      </c>
      <c r="Y114" s="90"/>
      <c r="Z114" s="90">
        <f aca="true" t="shared" si="30" ref="Z114:Z122">W114-X114-Y114</f>
        <v>445294131.7989284</v>
      </c>
      <c r="AA114"/>
    </row>
    <row r="115" spans="1:27" s="83" customFormat="1" ht="12.75" customHeight="1">
      <c r="A115" s="122"/>
      <c r="B115" s="83" t="s">
        <v>95</v>
      </c>
      <c r="C115" s="93"/>
      <c r="D115" s="112"/>
      <c r="E115" s="82"/>
      <c r="F115" s="82"/>
      <c r="G115" s="82"/>
      <c r="H115" s="82"/>
      <c r="I115" s="82"/>
      <c r="J115" s="82"/>
      <c r="K115" s="82"/>
      <c r="L115" s="82">
        <v>19221532.41312304</v>
      </c>
      <c r="M115" s="90">
        <f t="shared" si="25"/>
        <v>19221532.41312304</v>
      </c>
      <c r="N115" s="82">
        <f>M115*$C$3</f>
        <v>6667949.594112383</v>
      </c>
      <c r="O115" s="82"/>
      <c r="P115" s="82">
        <f t="shared" si="26"/>
        <v>12553582.819010658</v>
      </c>
      <c r="R115" s="90">
        <f>'[10]JuneMedSum'!$I$17</f>
        <v>216798297</v>
      </c>
      <c r="S115" s="90">
        <f t="shared" si="27"/>
        <v>70762964.14079998</v>
      </c>
      <c r="T115" s="90"/>
      <c r="U115" s="90">
        <f t="shared" si="28"/>
        <v>146035332.8592</v>
      </c>
      <c r="W115" s="90">
        <f>'[11]09 Fund 340 summary'!$P$12</f>
        <v>221805435.87013006</v>
      </c>
      <c r="X115" s="90">
        <f t="shared" si="29"/>
        <v>74970237.32410395</v>
      </c>
      <c r="Y115" s="90"/>
      <c r="Z115" s="90">
        <f t="shared" si="30"/>
        <v>146835198.5460261</v>
      </c>
      <c r="AA115"/>
    </row>
    <row r="116" spans="1:27" s="83" customFormat="1" ht="12.75" customHeight="1">
      <c r="A116" s="122"/>
      <c r="B116" s="83" t="s">
        <v>96</v>
      </c>
      <c r="C116" s="93"/>
      <c r="D116" s="112"/>
      <c r="E116" s="82"/>
      <c r="F116" s="82"/>
      <c r="G116" s="82"/>
      <c r="H116" s="82"/>
      <c r="I116" s="82"/>
      <c r="J116" s="82"/>
      <c r="K116" s="82"/>
      <c r="L116" s="82">
        <v>63851622.429083586</v>
      </c>
      <c r="M116" s="90">
        <f t="shared" si="25"/>
        <v>63851622.429083586</v>
      </c>
      <c r="N116" s="82">
        <f aca="true" t="shared" si="31" ref="N116:N123">M116*$C$1</f>
        <v>22477367.385598145</v>
      </c>
      <c r="O116" s="82"/>
      <c r="P116" s="82">
        <f t="shared" si="26"/>
        <v>41374255.04348544</v>
      </c>
      <c r="R116" s="90">
        <f>'[10]JuneMedSum'!$I$37</f>
        <v>518622543</v>
      </c>
      <c r="S116" s="90">
        <f t="shared" si="27"/>
        <v>169278398.03519994</v>
      </c>
      <c r="T116" s="90"/>
      <c r="U116" s="90">
        <f t="shared" si="28"/>
        <v>349344144.96480006</v>
      </c>
      <c r="W116" s="90">
        <f>'[11]09 Fund 340 summary'!$P$23</f>
        <v>520283521.1434001</v>
      </c>
      <c r="X116" s="90">
        <f t="shared" si="29"/>
        <v>175855830.1464692</v>
      </c>
      <c r="Y116" s="90"/>
      <c r="Z116" s="90">
        <f t="shared" si="30"/>
        <v>344427690.99693084</v>
      </c>
      <c r="AA116"/>
    </row>
    <row r="117" spans="1:27" s="83" customFormat="1" ht="12.75" customHeight="1">
      <c r="A117" s="122"/>
      <c r="B117" s="83" t="s">
        <v>17</v>
      </c>
      <c r="C117" s="93"/>
      <c r="D117" s="112"/>
      <c r="E117" s="82"/>
      <c r="F117" s="82"/>
      <c r="G117" s="82"/>
      <c r="H117" s="82"/>
      <c r="I117" s="82"/>
      <c r="J117" s="82"/>
      <c r="K117" s="82"/>
      <c r="L117" s="82">
        <v>6449358</v>
      </c>
      <c r="M117" s="90">
        <f t="shared" si="25"/>
        <v>6449358</v>
      </c>
      <c r="N117" s="82">
        <f t="shared" si="31"/>
        <v>2270335.2499499996</v>
      </c>
      <c r="O117" s="82"/>
      <c r="P117" s="82">
        <f t="shared" si="26"/>
        <v>4179022.7500500004</v>
      </c>
      <c r="R117" s="90"/>
      <c r="S117" s="90">
        <f t="shared" si="27"/>
        <v>0</v>
      </c>
      <c r="T117" s="90"/>
      <c r="U117" s="90">
        <f t="shared" si="28"/>
        <v>0</v>
      </c>
      <c r="W117" s="90"/>
      <c r="X117" s="90">
        <f t="shared" si="29"/>
        <v>0</v>
      </c>
      <c r="Y117" s="90"/>
      <c r="Z117" s="90">
        <f t="shared" si="30"/>
        <v>0</v>
      </c>
      <c r="AA117"/>
    </row>
    <row r="118" spans="1:27" s="83" customFormat="1" ht="12.75" customHeight="1">
      <c r="A118" s="122"/>
      <c r="B118" s="83" t="s">
        <v>97</v>
      </c>
      <c r="C118" s="93"/>
      <c r="D118" s="112"/>
      <c r="E118" s="82"/>
      <c r="F118" s="82"/>
      <c r="G118" s="82"/>
      <c r="H118" s="82"/>
      <c r="I118" s="82"/>
      <c r="J118" s="82"/>
      <c r="K118" s="82"/>
      <c r="L118" s="82">
        <v>1711524.8026315793</v>
      </c>
      <c r="M118" s="90">
        <f t="shared" si="25"/>
        <v>1711524.8026315793</v>
      </c>
      <c r="N118" s="82">
        <f t="shared" si="31"/>
        <v>602499.5186463816</v>
      </c>
      <c r="O118" s="82"/>
      <c r="P118" s="82">
        <f t="shared" si="26"/>
        <v>1109025.2839851978</v>
      </c>
      <c r="R118" s="90">
        <f>'[10]JuneMedSum'!$I$32</f>
        <v>16690971</v>
      </c>
      <c r="S118" s="90">
        <f t="shared" si="27"/>
        <v>5447932.934399999</v>
      </c>
      <c r="T118" s="90"/>
      <c r="U118" s="90">
        <f t="shared" si="28"/>
        <v>11243038.0656</v>
      </c>
      <c r="W118" s="90">
        <f>'[11]09 Fund 340 summary'!$P$30</f>
        <v>17260163.273403358</v>
      </c>
      <c r="X118" s="90">
        <f t="shared" si="29"/>
        <v>5833935.186410334</v>
      </c>
      <c r="Y118" s="90"/>
      <c r="Z118" s="90">
        <f t="shared" si="30"/>
        <v>11426228.086993024</v>
      </c>
      <c r="AA118"/>
    </row>
    <row r="119" spans="1:27" s="83" customFormat="1" ht="12.75" customHeight="1">
      <c r="A119" s="122"/>
      <c r="B119" s="83" t="s">
        <v>98</v>
      </c>
      <c r="C119" s="93"/>
      <c r="D119" s="112"/>
      <c r="E119" s="82"/>
      <c r="F119" s="82"/>
      <c r="G119" s="82"/>
      <c r="H119" s="82"/>
      <c r="I119" s="82"/>
      <c r="J119" s="82"/>
      <c r="K119" s="82"/>
      <c r="L119" s="82">
        <v>5550155.897784907</v>
      </c>
      <c r="M119" s="90">
        <f t="shared" si="25"/>
        <v>5550155.897784907</v>
      </c>
      <c r="N119" s="82">
        <f t="shared" si="31"/>
        <v>1953793.6299177315</v>
      </c>
      <c r="O119" s="82"/>
      <c r="P119" s="82">
        <f t="shared" si="26"/>
        <v>3596362.267867176</v>
      </c>
      <c r="R119" s="90">
        <v>8072876</v>
      </c>
      <c r="S119" s="90">
        <f t="shared" si="27"/>
        <v>2634986.726399999</v>
      </c>
      <c r="T119" s="90"/>
      <c r="U119" s="90">
        <f t="shared" si="28"/>
        <v>5437889.273600001</v>
      </c>
      <c r="W119" s="90">
        <f>R119*1.03</f>
        <v>8315062.28</v>
      </c>
      <c r="X119" s="90">
        <f t="shared" si="29"/>
        <v>2810491.05064</v>
      </c>
      <c r="Y119" s="90"/>
      <c r="Z119" s="90">
        <f t="shared" si="30"/>
        <v>5504571.22936</v>
      </c>
      <c r="AA119"/>
    </row>
    <row r="120" spans="1:27" s="83" customFormat="1" ht="12.75" customHeight="1">
      <c r="A120" s="141">
        <v>535</v>
      </c>
      <c r="B120" s="83" t="s">
        <v>99</v>
      </c>
      <c r="C120" s="93">
        <v>546</v>
      </c>
      <c r="D120" s="112"/>
      <c r="E120" s="82"/>
      <c r="F120" s="82"/>
      <c r="G120" s="82"/>
      <c r="H120" s="82"/>
      <c r="I120" s="82"/>
      <c r="J120" s="82"/>
      <c r="K120" s="82"/>
      <c r="L120" s="82">
        <v>2026847</v>
      </c>
      <c r="M120" s="90">
        <f t="shared" si="25"/>
        <v>2026847</v>
      </c>
      <c r="N120" s="82">
        <f t="shared" si="31"/>
        <v>713500.8151749999</v>
      </c>
      <c r="O120" s="82"/>
      <c r="P120" s="82">
        <f t="shared" si="26"/>
        <v>1313346.1848250001</v>
      </c>
      <c r="R120" s="90"/>
      <c r="S120" s="90">
        <f t="shared" si="27"/>
        <v>0</v>
      </c>
      <c r="T120" s="90"/>
      <c r="U120" s="90">
        <f t="shared" si="28"/>
        <v>0</v>
      </c>
      <c r="W120" s="90"/>
      <c r="X120" s="90">
        <f t="shared" si="29"/>
        <v>0</v>
      </c>
      <c r="Y120" s="90"/>
      <c r="Z120" s="90">
        <f t="shared" si="30"/>
        <v>0</v>
      </c>
      <c r="AA120"/>
    </row>
    <row r="121" spans="1:27" s="83" customFormat="1" ht="12.75" customHeight="1">
      <c r="A121" s="122"/>
      <c r="B121" s="83" t="s">
        <v>100</v>
      </c>
      <c r="C121" s="93"/>
      <c r="D121" s="112"/>
      <c r="E121" s="82"/>
      <c r="F121" s="82"/>
      <c r="G121" s="82"/>
      <c r="H121" s="82"/>
      <c r="I121" s="82"/>
      <c r="J121" s="82"/>
      <c r="K121" s="82"/>
      <c r="L121" s="82">
        <v>4290219.09</v>
      </c>
      <c r="M121" s="90">
        <f t="shared" si="25"/>
        <v>4290219.09</v>
      </c>
      <c r="N121" s="82">
        <f t="shared" si="31"/>
        <v>1510264.3751572496</v>
      </c>
      <c r="O121" s="82"/>
      <c r="P121" s="82">
        <f t="shared" si="26"/>
        <v>2779954.71484275</v>
      </c>
      <c r="R121" s="90">
        <f>19875706</f>
        <v>19875706</v>
      </c>
      <c r="S121" s="90">
        <f t="shared" si="27"/>
        <v>6487430.4383999985</v>
      </c>
      <c r="T121" s="90"/>
      <c r="U121" s="90">
        <f t="shared" si="28"/>
        <v>13388275.561600002</v>
      </c>
      <c r="W121" s="90">
        <f>R121*1.03</f>
        <v>20471977.18</v>
      </c>
      <c r="X121" s="90">
        <f t="shared" si="29"/>
        <v>6919528.286839999</v>
      </c>
      <c r="Y121" s="90"/>
      <c r="Z121" s="90">
        <f t="shared" si="30"/>
        <v>13552448.89316</v>
      </c>
      <c r="AA121"/>
    </row>
    <row r="122" spans="1:27" s="83" customFormat="1" ht="12.75" customHeight="1">
      <c r="A122" s="141">
        <v>502</v>
      </c>
      <c r="B122" s="83" t="s">
        <v>101</v>
      </c>
      <c r="C122" s="93"/>
      <c r="D122" s="112"/>
      <c r="E122" s="82"/>
      <c r="F122" s="82"/>
      <c r="G122" s="82"/>
      <c r="H122" s="82"/>
      <c r="I122" s="82"/>
      <c r="J122" s="82"/>
      <c r="K122" s="82"/>
      <c r="L122" s="82">
        <v>8000000</v>
      </c>
      <c r="M122" s="90">
        <f t="shared" si="25"/>
        <v>8000000</v>
      </c>
      <c r="N122" s="82">
        <f t="shared" si="31"/>
        <v>2816199.9999999995</v>
      </c>
      <c r="O122" s="82"/>
      <c r="P122" s="82">
        <f t="shared" si="26"/>
        <v>5183800</v>
      </c>
      <c r="R122" s="90">
        <f>'[10]JuneMedSum'!$I$29</f>
        <v>125942198</v>
      </c>
      <c r="S122" s="90">
        <f t="shared" si="27"/>
        <v>41107533.42719999</v>
      </c>
      <c r="T122" s="90"/>
      <c r="U122" s="90">
        <f t="shared" si="28"/>
        <v>84834664.57280001</v>
      </c>
      <c r="W122" s="90">
        <f>'[11]09 Fund 340 summary'!$P$27</f>
        <v>133445974.65650187</v>
      </c>
      <c r="X122" s="90">
        <f t="shared" si="29"/>
        <v>45104739.43389763</v>
      </c>
      <c r="Y122" s="90"/>
      <c r="Z122" s="90">
        <f t="shared" si="30"/>
        <v>88341235.22260424</v>
      </c>
      <c r="AA122"/>
    </row>
    <row r="123" spans="1:29" ht="12.75" customHeight="1">
      <c r="A123" s="122"/>
      <c r="B123" s="82"/>
      <c r="F123" s="82"/>
      <c r="G123" s="82"/>
      <c r="H123" s="90">
        <f>+G123+F123</f>
        <v>0</v>
      </c>
      <c r="I123" s="82"/>
      <c r="J123" s="82"/>
      <c r="K123" s="82"/>
      <c r="L123" s="82"/>
      <c r="M123" s="90">
        <f t="shared" si="25"/>
        <v>0</v>
      </c>
      <c r="N123" s="82">
        <f t="shared" si="31"/>
        <v>0</v>
      </c>
      <c r="O123" s="82"/>
      <c r="P123" s="82"/>
      <c r="Q123" s="83"/>
      <c r="R123" s="90"/>
      <c r="S123" s="90"/>
      <c r="T123" s="90"/>
      <c r="U123" s="90"/>
      <c r="V123" s="83"/>
      <c r="W123" s="90"/>
      <c r="X123" s="90"/>
      <c r="Y123" s="90"/>
      <c r="Z123" s="90"/>
      <c r="AA123"/>
      <c r="AB123" s="83"/>
      <c r="AC123" s="83"/>
    </row>
    <row r="124" spans="1:30" s="86" customFormat="1" ht="12.75" customHeight="1" thickBot="1">
      <c r="A124" s="122"/>
      <c r="B124" s="83" t="s">
        <v>79</v>
      </c>
      <c r="C124" s="93"/>
      <c r="D124" s="112"/>
      <c r="E124" s="82"/>
      <c r="F124" s="126">
        <f aca="true" t="shared" si="32" ref="F124:P124">SUM(F111:F123)</f>
        <v>0</v>
      </c>
      <c r="G124" s="126">
        <f t="shared" si="32"/>
        <v>0</v>
      </c>
      <c r="H124" s="126">
        <f t="shared" si="32"/>
        <v>0</v>
      </c>
      <c r="I124" s="126">
        <f t="shared" si="32"/>
        <v>0</v>
      </c>
      <c r="J124" s="126">
        <f t="shared" si="32"/>
        <v>0</v>
      </c>
      <c r="K124" s="126">
        <f t="shared" si="32"/>
        <v>0</v>
      </c>
      <c r="L124" s="126">
        <f t="shared" si="32"/>
        <v>118390692.72842763</v>
      </c>
      <c r="M124" s="126">
        <f t="shared" si="32"/>
        <v>118390692.72842763</v>
      </c>
      <c r="N124" s="126">
        <f t="shared" si="32"/>
        <v>41540614.90949147</v>
      </c>
      <c r="O124" s="126">
        <f t="shared" si="32"/>
        <v>0</v>
      </c>
      <c r="P124" s="126">
        <f t="shared" si="32"/>
        <v>76850077.81893614</v>
      </c>
      <c r="Q124" s="83"/>
      <c r="R124" s="126">
        <f>SUM(R112:R123)</f>
        <v>1557268833</v>
      </c>
      <c r="S124" s="126">
        <f>SUM(S112:S123)</f>
        <v>508292547.0911999</v>
      </c>
      <c r="T124" s="126">
        <f>SUM(T112:T123)</f>
        <v>0</v>
      </c>
      <c r="U124" s="126">
        <f>SUM(U112:U123)</f>
        <v>1048976285.9088002</v>
      </c>
      <c r="V124" s="83"/>
      <c r="W124" s="126">
        <f>SUM(W112:W123)</f>
        <v>1594231880.3232667</v>
      </c>
      <c r="X124" s="126">
        <f>SUM(X112:X123)</f>
        <v>538850375.5492642</v>
      </c>
      <c r="Y124" s="126">
        <f>SUM(Y112:Y123)</f>
        <v>0</v>
      </c>
      <c r="Z124" s="126">
        <f>SUM(Z112:Z123)</f>
        <v>1055381504.7740026</v>
      </c>
      <c r="AA124"/>
      <c r="AB124" s="83"/>
      <c r="AC124" s="83"/>
      <c r="AD124" s="83"/>
    </row>
    <row r="125" spans="1:29" ht="12.75" customHeight="1" thickTop="1">
      <c r="A125" s="12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3"/>
      <c r="R125" s="82"/>
      <c r="S125" s="82"/>
      <c r="T125" s="82"/>
      <c r="U125" s="82"/>
      <c r="V125" s="83"/>
      <c r="W125" s="82"/>
      <c r="X125" s="82"/>
      <c r="Y125" s="82"/>
      <c r="Z125" s="82"/>
      <c r="AA125"/>
      <c r="AB125" s="83"/>
      <c r="AC125" s="83"/>
    </row>
    <row r="126" spans="1:30" s="107" customFormat="1" ht="12.75" customHeight="1">
      <c r="A126" s="73"/>
      <c r="B126" s="128" t="s">
        <v>80</v>
      </c>
      <c r="C126" s="93"/>
      <c r="D126" s="112"/>
      <c r="E126" s="82"/>
      <c r="F126" s="111"/>
      <c r="G126" s="111"/>
      <c r="H126" s="111"/>
      <c r="I126" s="111"/>
      <c r="J126" s="111"/>
      <c r="K126" s="111"/>
      <c r="L126" s="111"/>
      <c r="M126" s="111"/>
      <c r="N126" s="82"/>
      <c r="O126" s="82"/>
      <c r="P126" s="82"/>
      <c r="Q126" s="83"/>
      <c r="R126" s="82"/>
      <c r="S126" s="82"/>
      <c r="T126" s="82"/>
      <c r="U126" s="82"/>
      <c r="V126" s="83"/>
      <c r="W126" s="82"/>
      <c r="X126" s="82"/>
      <c r="Y126" s="82"/>
      <c r="Z126" s="82"/>
      <c r="AA126"/>
      <c r="AB126" s="83"/>
      <c r="AC126" s="83"/>
      <c r="AD126" s="111"/>
    </row>
    <row r="127" spans="1:30" s="86" customFormat="1" ht="12.75" customHeight="1">
      <c r="A127" s="73"/>
      <c r="B127" s="102" t="str">
        <f>K5</f>
        <v>340-1020-01</v>
      </c>
      <c r="C127" s="93"/>
      <c r="D127" s="112"/>
      <c r="E127" s="82"/>
      <c r="F127" s="82"/>
      <c r="G127" s="82"/>
      <c r="H127" s="90">
        <f>+G127+F127</f>
        <v>0</v>
      </c>
      <c r="I127" s="82"/>
      <c r="J127" s="82"/>
      <c r="K127" s="82"/>
      <c r="L127" s="82">
        <f>+L124</f>
        <v>118390692.72842763</v>
      </c>
      <c r="M127" s="90">
        <f>SUM(H127:L127)</f>
        <v>118390692.72842763</v>
      </c>
      <c r="N127" s="82">
        <f>N124</f>
        <v>41540614.90949147</v>
      </c>
      <c r="O127" s="82">
        <f>O124</f>
        <v>0</v>
      </c>
      <c r="P127" s="82">
        <f>P124</f>
        <v>76850077.81893614</v>
      </c>
      <c r="Q127" s="83"/>
      <c r="R127" s="99">
        <f>R124</f>
        <v>1557268833</v>
      </c>
      <c r="S127" s="99">
        <f>S124</f>
        <v>508292547.0911999</v>
      </c>
      <c r="T127" s="99">
        <f>T124</f>
        <v>0</v>
      </c>
      <c r="U127" s="99">
        <f>U124</f>
        <v>1048976285.9088002</v>
      </c>
      <c r="V127" s="99"/>
      <c r="W127" s="99">
        <f>W124</f>
        <v>1594231880.3232667</v>
      </c>
      <c r="X127" s="99">
        <f>X124</f>
        <v>538850375.5492642</v>
      </c>
      <c r="Y127" s="99">
        <f>Y124</f>
        <v>0</v>
      </c>
      <c r="Z127" s="99">
        <f>Z124</f>
        <v>1055381504.7740026</v>
      </c>
      <c r="AA127"/>
      <c r="AB127" s="83"/>
      <c r="AC127" s="83"/>
      <c r="AD127" s="83"/>
    </row>
    <row r="128" spans="1:30" s="86" customFormat="1" ht="12.75" customHeight="1" thickBot="1">
      <c r="A128" s="73"/>
      <c r="B128" s="83"/>
      <c r="C128" s="93"/>
      <c r="D128" s="112"/>
      <c r="E128" s="82"/>
      <c r="F128" s="126">
        <f aca="true" t="shared" si="33" ref="F128:P128">SUM(F127:F127)</f>
        <v>0</v>
      </c>
      <c r="G128" s="126">
        <f t="shared" si="33"/>
        <v>0</v>
      </c>
      <c r="H128" s="126">
        <f t="shared" si="33"/>
        <v>0</v>
      </c>
      <c r="I128" s="126">
        <f t="shared" si="33"/>
        <v>0</v>
      </c>
      <c r="J128" s="126">
        <f t="shared" si="33"/>
        <v>0</v>
      </c>
      <c r="K128" s="126">
        <f t="shared" si="33"/>
        <v>0</v>
      </c>
      <c r="L128" s="126">
        <f t="shared" si="33"/>
        <v>118390692.72842763</v>
      </c>
      <c r="M128" s="126">
        <f t="shared" si="33"/>
        <v>118390692.72842763</v>
      </c>
      <c r="N128" s="126">
        <f t="shared" si="33"/>
        <v>41540614.90949147</v>
      </c>
      <c r="O128" s="126">
        <f t="shared" si="33"/>
        <v>0</v>
      </c>
      <c r="P128" s="126">
        <f t="shared" si="33"/>
        <v>76850077.81893614</v>
      </c>
      <c r="Q128" s="83"/>
      <c r="R128" s="126">
        <f>SUM(R127:R127)</f>
        <v>1557268833</v>
      </c>
      <c r="S128" s="126">
        <f>SUM(S127:S127)</f>
        <v>508292547.0911999</v>
      </c>
      <c r="T128" s="126">
        <f>SUM(T127:T127)</f>
        <v>0</v>
      </c>
      <c r="U128" s="126">
        <f>SUM(U127:U127)</f>
        <v>1048976285.9088002</v>
      </c>
      <c r="V128" s="83"/>
      <c r="W128" s="126">
        <f>SUM(W127:W127)</f>
        <v>1594231880.3232667</v>
      </c>
      <c r="X128" s="126">
        <f>SUM(X127:X127)</f>
        <v>538850375.5492642</v>
      </c>
      <c r="Y128" s="126">
        <f>SUM(Y127:Y127)</f>
        <v>0</v>
      </c>
      <c r="Z128" s="126">
        <f>SUM(Z127:Z127)</f>
        <v>1055381504.7740026</v>
      </c>
      <c r="AA128"/>
      <c r="AB128" s="83"/>
      <c r="AC128" s="83"/>
      <c r="AD128" s="83"/>
    </row>
    <row r="129" spans="1:30" s="86" customFormat="1" ht="12.75" customHeight="1" thickTop="1">
      <c r="A129" s="73"/>
      <c r="B129" s="83"/>
      <c r="C129" s="93"/>
      <c r="D129" s="112"/>
      <c r="E129" s="82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83"/>
      <c r="R129" s="90"/>
      <c r="S129" s="90"/>
      <c r="T129" s="90"/>
      <c r="U129" s="90"/>
      <c r="V129" s="83"/>
      <c r="W129" s="90"/>
      <c r="X129" s="90"/>
      <c r="Y129" s="90"/>
      <c r="Z129" s="90"/>
      <c r="AA129"/>
      <c r="AB129" s="83"/>
      <c r="AC129" s="83"/>
      <c r="AD129" s="83"/>
    </row>
    <row r="130" spans="1:30" s="86" customFormat="1" ht="12.75" customHeight="1" thickBot="1">
      <c r="A130" s="117">
        <v>6</v>
      </c>
      <c r="B130" s="118" t="s">
        <v>102</v>
      </c>
      <c r="C130" s="93"/>
      <c r="D130" s="112"/>
      <c r="E130" s="82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83"/>
      <c r="R130" s="90"/>
      <c r="S130" s="90"/>
      <c r="T130" s="90"/>
      <c r="U130" s="90"/>
      <c r="V130" s="83"/>
      <c r="W130" s="90"/>
      <c r="X130" s="90"/>
      <c r="Y130" s="90"/>
      <c r="Z130" s="90"/>
      <c r="AA130"/>
      <c r="AB130" s="83"/>
      <c r="AC130" s="83"/>
      <c r="AD130" s="83"/>
    </row>
    <row r="131" spans="2:30" s="86" customFormat="1" ht="12.75" customHeight="1">
      <c r="B131" s="121" t="s">
        <v>77</v>
      </c>
      <c r="C131" s="93"/>
      <c r="D131" s="109" t="s">
        <v>71</v>
      </c>
      <c r="E131" s="97" t="s">
        <v>72</v>
      </c>
      <c r="F131" s="97" t="s">
        <v>72</v>
      </c>
      <c r="G131" s="97" t="s">
        <v>73</v>
      </c>
      <c r="H131" s="97" t="s">
        <v>1</v>
      </c>
      <c r="I131" s="97" t="s">
        <v>74</v>
      </c>
      <c r="J131" s="97" t="s">
        <v>66</v>
      </c>
      <c r="K131" s="97" t="s">
        <v>59</v>
      </c>
      <c r="L131" s="97" t="s">
        <v>18</v>
      </c>
      <c r="M131" s="97" t="s">
        <v>1</v>
      </c>
      <c r="N131" s="97" t="s">
        <v>7</v>
      </c>
      <c r="O131" s="97" t="s">
        <v>75</v>
      </c>
      <c r="P131" s="97" t="s">
        <v>76</v>
      </c>
      <c r="Q131" s="108"/>
      <c r="R131" s="97" t="s">
        <v>1</v>
      </c>
      <c r="S131" s="97" t="s">
        <v>7</v>
      </c>
      <c r="T131" s="97" t="s">
        <v>75</v>
      </c>
      <c r="U131" s="97" t="s">
        <v>76</v>
      </c>
      <c r="V131" s="83"/>
      <c r="W131" s="97" t="s">
        <v>1</v>
      </c>
      <c r="X131" s="97" t="s">
        <v>7</v>
      </c>
      <c r="Y131" s="97" t="s">
        <v>75</v>
      </c>
      <c r="Z131" s="97" t="s">
        <v>76</v>
      </c>
      <c r="AA131"/>
      <c r="AB131" s="83"/>
      <c r="AC131" s="83"/>
      <c r="AD131" s="83"/>
    </row>
    <row r="132" spans="1:30" s="86" customFormat="1" ht="12.75" customHeight="1">
      <c r="A132" s="93">
        <v>518</v>
      </c>
      <c r="B132" s="102" t="s">
        <v>103</v>
      </c>
      <c r="C132" s="93">
        <v>4113</v>
      </c>
      <c r="D132" s="131">
        <v>3</v>
      </c>
      <c r="E132" s="94">
        <v>53650</v>
      </c>
      <c r="F132" s="90">
        <f aca="true" t="shared" si="34" ref="F132:F138">E132*D132</f>
        <v>160950</v>
      </c>
      <c r="G132" s="94">
        <f aca="true" t="shared" si="35" ref="G132:G138">+F132*$C$4</f>
        <v>74037</v>
      </c>
      <c r="H132" s="90">
        <f aca="true" t="shared" si="36" ref="H132:H138">+G132+F132</f>
        <v>234987</v>
      </c>
      <c r="I132" s="94"/>
      <c r="J132" s="94">
        <f aca="true" t="shared" si="37" ref="J132:J138">D132*$C$7</f>
        <v>7500</v>
      </c>
      <c r="K132" s="94">
        <f aca="true" t="shared" si="38" ref="K132:K138">D132*$C$5</f>
        <v>16500</v>
      </c>
      <c r="L132" s="94">
        <f aca="true" t="shared" si="39" ref="L132:L138">D132*$C$6</f>
        <v>5100</v>
      </c>
      <c r="M132" s="90">
        <f aca="true" t="shared" si="40" ref="M132:M138">SUM(H132:L132)</f>
        <v>264087</v>
      </c>
      <c r="N132" s="94">
        <f aca="true" t="shared" si="41" ref="N132:N138">M132*$C$2</f>
        <v>132043.5</v>
      </c>
      <c r="O132" s="90"/>
      <c r="P132" s="90">
        <f aca="true" t="shared" si="42" ref="P132:P138">M132-N132-O132</f>
        <v>132043.5</v>
      </c>
      <c r="Q132" s="83"/>
      <c r="R132" s="90">
        <v>256250</v>
      </c>
      <c r="S132" s="90">
        <f>R132*$S$2</f>
        <v>128125</v>
      </c>
      <c r="T132" s="90"/>
      <c r="U132" s="90">
        <f>R132-S132-T132</f>
        <v>128125</v>
      </c>
      <c r="V132" s="83"/>
      <c r="W132" s="142">
        <v>375550</v>
      </c>
      <c r="X132" s="90">
        <f>W132*$X$2</f>
        <v>187775</v>
      </c>
      <c r="Y132" s="90"/>
      <c r="Z132" s="90">
        <f>W132-X132-Y132</f>
        <v>187775</v>
      </c>
      <c r="AA132"/>
      <c r="AB132" s="83"/>
      <c r="AC132" s="83"/>
      <c r="AD132" s="83"/>
    </row>
    <row r="133" spans="1:30" s="86" customFormat="1" ht="12.75" customHeight="1">
      <c r="A133" s="93">
        <v>523</v>
      </c>
      <c r="B133" s="102" t="s">
        <v>104</v>
      </c>
      <c r="C133" s="93">
        <v>3755</v>
      </c>
      <c r="D133" s="131">
        <v>3</v>
      </c>
      <c r="E133" s="94">
        <v>39300</v>
      </c>
      <c r="F133" s="90">
        <f t="shared" si="34"/>
        <v>117900</v>
      </c>
      <c r="G133" s="94">
        <f t="shared" si="35"/>
        <v>54234</v>
      </c>
      <c r="H133" s="90">
        <f t="shared" si="36"/>
        <v>172134</v>
      </c>
      <c r="I133" s="94"/>
      <c r="J133" s="94">
        <f t="shared" si="37"/>
        <v>7500</v>
      </c>
      <c r="K133" s="94">
        <f t="shared" si="38"/>
        <v>16500</v>
      </c>
      <c r="L133" s="94">
        <f t="shared" si="39"/>
        <v>5100</v>
      </c>
      <c r="M133" s="90">
        <f t="shared" si="40"/>
        <v>201234</v>
      </c>
      <c r="N133" s="94">
        <f t="shared" si="41"/>
        <v>100617</v>
      </c>
      <c r="O133" s="90"/>
      <c r="P133" s="90">
        <f t="shared" si="42"/>
        <v>100617</v>
      </c>
      <c r="Q133" s="83"/>
      <c r="R133" s="90">
        <v>271550</v>
      </c>
      <c r="S133" s="90">
        <f>R133*$S$2</f>
        <v>135775</v>
      </c>
      <c r="T133" s="90"/>
      <c r="U133" s="90">
        <f>R133-S133-T133</f>
        <v>135775</v>
      </c>
      <c r="V133" s="83"/>
      <c r="W133" s="142">
        <v>332100</v>
      </c>
      <c r="X133" s="90">
        <f>W133*$X$2</f>
        <v>166050</v>
      </c>
      <c r="Y133" s="90"/>
      <c r="Z133" s="90">
        <f>W133-X133-Y133</f>
        <v>166050</v>
      </c>
      <c r="AA133"/>
      <c r="AB133" s="83"/>
      <c r="AC133" s="83"/>
      <c r="AD133" s="83"/>
    </row>
    <row r="134" spans="1:30" s="86" customFormat="1" ht="12.75" customHeight="1">
      <c r="A134" s="93">
        <v>525</v>
      </c>
      <c r="B134" s="102" t="s">
        <v>105</v>
      </c>
      <c r="C134" s="93">
        <v>8169</v>
      </c>
      <c r="D134" s="131">
        <v>1</v>
      </c>
      <c r="E134" s="94">
        <v>57500</v>
      </c>
      <c r="F134" s="90">
        <f t="shared" si="34"/>
        <v>57500</v>
      </c>
      <c r="G134" s="94">
        <f t="shared" si="35"/>
        <v>26450</v>
      </c>
      <c r="H134" s="90">
        <f t="shared" si="36"/>
        <v>83950</v>
      </c>
      <c r="I134" s="94"/>
      <c r="J134" s="94">
        <f t="shared" si="37"/>
        <v>2500</v>
      </c>
      <c r="K134" s="94">
        <f t="shared" si="38"/>
        <v>5500</v>
      </c>
      <c r="L134" s="94">
        <f t="shared" si="39"/>
        <v>1700</v>
      </c>
      <c r="M134" s="90">
        <f t="shared" si="40"/>
        <v>93650</v>
      </c>
      <c r="N134" s="94">
        <f t="shared" si="41"/>
        <v>46825</v>
      </c>
      <c r="O134" s="90"/>
      <c r="P134" s="90">
        <f t="shared" si="42"/>
        <v>46825</v>
      </c>
      <c r="Q134" s="83"/>
      <c r="R134" s="90">
        <v>275500</v>
      </c>
      <c r="S134" s="90">
        <f>R134*$S$2</f>
        <v>137750</v>
      </c>
      <c r="T134" s="90"/>
      <c r="U134" s="90">
        <f>R134-S134-T134</f>
        <v>137750</v>
      </c>
      <c r="V134" s="83"/>
      <c r="W134" s="142">
        <v>345000</v>
      </c>
      <c r="X134" s="90">
        <f>W134*$X$2</f>
        <v>172500</v>
      </c>
      <c r="Y134" s="90"/>
      <c r="Z134" s="90">
        <f>W134-X134-Y134</f>
        <v>172500</v>
      </c>
      <c r="AA134"/>
      <c r="AB134" s="83"/>
      <c r="AC134" s="83"/>
      <c r="AD134" s="83"/>
    </row>
    <row r="135" spans="1:30" s="86" customFormat="1" ht="12.75" customHeight="1">
      <c r="A135" s="93">
        <v>525</v>
      </c>
      <c r="B135" s="102" t="s">
        <v>106</v>
      </c>
      <c r="C135" s="93">
        <v>9505</v>
      </c>
      <c r="D135" s="131">
        <v>1</v>
      </c>
      <c r="E135" s="94">
        <v>42650</v>
      </c>
      <c r="F135" s="90">
        <f t="shared" si="34"/>
        <v>42650</v>
      </c>
      <c r="G135" s="94">
        <f t="shared" si="35"/>
        <v>19619</v>
      </c>
      <c r="H135" s="90">
        <f t="shared" si="36"/>
        <v>62269</v>
      </c>
      <c r="I135" s="94"/>
      <c r="J135" s="94">
        <f t="shared" si="37"/>
        <v>2500</v>
      </c>
      <c r="K135" s="94">
        <f t="shared" si="38"/>
        <v>5500</v>
      </c>
      <c r="L135" s="94">
        <f t="shared" si="39"/>
        <v>1700</v>
      </c>
      <c r="M135" s="90">
        <f t="shared" si="40"/>
        <v>71969</v>
      </c>
      <c r="N135" s="94">
        <f t="shared" si="41"/>
        <v>35984.5</v>
      </c>
      <c r="O135" s="90"/>
      <c r="P135" s="90">
        <f t="shared" si="42"/>
        <v>35984.5</v>
      </c>
      <c r="Q135" s="83"/>
      <c r="R135" s="90">
        <v>268625</v>
      </c>
      <c r="S135" s="90">
        <f>R135*$S$2</f>
        <v>134312.5</v>
      </c>
      <c r="T135" s="90"/>
      <c r="U135" s="90">
        <f>R135-S135-T135</f>
        <v>134312.5</v>
      </c>
      <c r="V135" s="83"/>
      <c r="W135" s="142">
        <v>336675</v>
      </c>
      <c r="X135" s="90">
        <f>W135*$X$2</f>
        <v>168337.5</v>
      </c>
      <c r="Y135" s="90"/>
      <c r="Z135" s="90">
        <f>W135-X135-Y135</f>
        <v>168337.5</v>
      </c>
      <c r="AA135"/>
      <c r="AB135" s="83"/>
      <c r="AC135" s="83"/>
      <c r="AD135" s="83"/>
    </row>
    <row r="136" spans="1:30" s="86" customFormat="1" ht="12.75" customHeight="1">
      <c r="A136" s="93">
        <v>525</v>
      </c>
      <c r="B136" s="102" t="s">
        <v>107</v>
      </c>
      <c r="C136" s="93">
        <v>9505</v>
      </c>
      <c r="D136" s="131">
        <v>1</v>
      </c>
      <c r="E136" s="94">
        <v>53650</v>
      </c>
      <c r="F136" s="90">
        <f t="shared" si="34"/>
        <v>53650</v>
      </c>
      <c r="G136" s="94">
        <f t="shared" si="35"/>
        <v>24679</v>
      </c>
      <c r="H136" s="90">
        <f t="shared" si="36"/>
        <v>78329</v>
      </c>
      <c r="I136" s="94"/>
      <c r="J136" s="94">
        <f t="shared" si="37"/>
        <v>2500</v>
      </c>
      <c r="K136" s="94">
        <f t="shared" si="38"/>
        <v>5500</v>
      </c>
      <c r="L136" s="94">
        <f t="shared" si="39"/>
        <v>1700</v>
      </c>
      <c r="M136" s="90">
        <f t="shared" si="40"/>
        <v>88029</v>
      </c>
      <c r="N136" s="94">
        <f t="shared" si="41"/>
        <v>44014.5</v>
      </c>
      <c r="O136" s="90"/>
      <c r="P136" s="90">
        <f t="shared" si="42"/>
        <v>44014.5</v>
      </c>
      <c r="Q136" s="83"/>
      <c r="R136" s="90">
        <v>0</v>
      </c>
      <c r="S136" s="90"/>
      <c r="T136" s="90"/>
      <c r="U136" s="90"/>
      <c r="V136" s="83"/>
      <c r="W136" s="90"/>
      <c r="X136" s="90"/>
      <c r="Y136" s="90"/>
      <c r="Z136" s="90"/>
      <c r="AA136"/>
      <c r="AB136" s="83"/>
      <c r="AC136" s="83"/>
      <c r="AD136" s="83"/>
    </row>
    <row r="137" spans="2:30" s="86" customFormat="1" ht="12.75" customHeight="1">
      <c r="B137" s="102"/>
      <c r="C137" s="93"/>
      <c r="D137" s="131"/>
      <c r="E137" s="94"/>
      <c r="F137" s="90">
        <f t="shared" si="34"/>
        <v>0</v>
      </c>
      <c r="G137" s="94">
        <f t="shared" si="35"/>
        <v>0</v>
      </c>
      <c r="H137" s="90">
        <f t="shared" si="36"/>
        <v>0</v>
      </c>
      <c r="I137" s="94"/>
      <c r="J137" s="94">
        <f t="shared" si="37"/>
        <v>0</v>
      </c>
      <c r="K137" s="94">
        <f t="shared" si="38"/>
        <v>0</v>
      </c>
      <c r="L137" s="94">
        <f t="shared" si="39"/>
        <v>0</v>
      </c>
      <c r="M137" s="90">
        <f t="shared" si="40"/>
        <v>0</v>
      </c>
      <c r="N137" s="94">
        <f t="shared" si="41"/>
        <v>0</v>
      </c>
      <c r="O137" s="90"/>
      <c r="P137" s="90">
        <f t="shared" si="42"/>
        <v>0</v>
      </c>
      <c r="Q137" s="83"/>
      <c r="R137" s="90"/>
      <c r="S137" s="90"/>
      <c r="T137" s="90"/>
      <c r="U137" s="90"/>
      <c r="V137" s="83"/>
      <c r="W137" s="90"/>
      <c r="X137" s="90"/>
      <c r="Y137" s="90"/>
      <c r="Z137" s="90"/>
      <c r="AA137"/>
      <c r="AB137" s="83"/>
      <c r="AC137" s="83"/>
      <c r="AD137" s="83"/>
    </row>
    <row r="138" spans="1:30" s="86" customFormat="1" ht="12.75" customHeight="1" thickBot="1">
      <c r="A138" s="73"/>
      <c r="B138" s="102"/>
      <c r="C138" s="93"/>
      <c r="D138" s="112"/>
      <c r="E138" s="82"/>
      <c r="F138" s="123">
        <f t="shared" si="34"/>
        <v>0</v>
      </c>
      <c r="G138" s="143">
        <f t="shared" si="35"/>
        <v>0</v>
      </c>
      <c r="H138" s="123">
        <f t="shared" si="36"/>
        <v>0</v>
      </c>
      <c r="I138" s="143"/>
      <c r="J138" s="143">
        <f t="shared" si="37"/>
        <v>0</v>
      </c>
      <c r="K138" s="143">
        <f t="shared" si="38"/>
        <v>0</v>
      </c>
      <c r="L138" s="143">
        <f t="shared" si="39"/>
        <v>0</v>
      </c>
      <c r="M138" s="123">
        <f t="shared" si="40"/>
        <v>0</v>
      </c>
      <c r="N138" s="143">
        <f t="shared" si="41"/>
        <v>0</v>
      </c>
      <c r="O138" s="123"/>
      <c r="P138" s="123">
        <f t="shared" si="42"/>
        <v>0</v>
      </c>
      <c r="Q138" s="138"/>
      <c r="R138" s="123"/>
      <c r="S138" s="123"/>
      <c r="T138" s="123"/>
      <c r="U138" s="123"/>
      <c r="V138" s="83"/>
      <c r="W138" s="123"/>
      <c r="X138" s="123"/>
      <c r="Y138" s="123"/>
      <c r="Z138" s="123"/>
      <c r="AA138"/>
      <c r="AB138" s="83"/>
      <c r="AC138" s="83"/>
      <c r="AD138" s="83"/>
    </row>
    <row r="139" spans="1:30" s="86" customFormat="1" ht="12.75" customHeight="1">
      <c r="A139" s="73"/>
      <c r="B139" s="120"/>
      <c r="C139" s="93"/>
      <c r="D139" s="112"/>
      <c r="E139" s="82"/>
      <c r="F139" s="82">
        <f aca="true" t="shared" si="43" ref="F139:P139">SUM(F132:F138)</f>
        <v>432650</v>
      </c>
      <c r="G139" s="82">
        <f t="shared" si="43"/>
        <v>199019</v>
      </c>
      <c r="H139" s="82">
        <f t="shared" si="43"/>
        <v>631669</v>
      </c>
      <c r="I139" s="82">
        <f t="shared" si="43"/>
        <v>0</v>
      </c>
      <c r="J139" s="82">
        <f t="shared" si="43"/>
        <v>22500</v>
      </c>
      <c r="K139" s="82">
        <f t="shared" si="43"/>
        <v>49500</v>
      </c>
      <c r="L139" s="82">
        <f t="shared" si="43"/>
        <v>15300</v>
      </c>
      <c r="M139" s="82">
        <f t="shared" si="43"/>
        <v>718969</v>
      </c>
      <c r="N139" s="82">
        <f t="shared" si="43"/>
        <v>359484.5</v>
      </c>
      <c r="O139" s="82">
        <f t="shared" si="43"/>
        <v>0</v>
      </c>
      <c r="P139" s="82">
        <f t="shared" si="43"/>
        <v>359484.5</v>
      </c>
      <c r="Q139" s="83"/>
      <c r="R139" s="82">
        <f>SUM(R132:R138)</f>
        <v>1071925</v>
      </c>
      <c r="S139" s="82">
        <f>SUM(S132:S138)</f>
        <v>535962.5</v>
      </c>
      <c r="T139" s="82">
        <f>SUM(T132:T138)</f>
        <v>0</v>
      </c>
      <c r="U139" s="82">
        <f>SUM(U132:U138)</f>
        <v>535962.5</v>
      </c>
      <c r="V139" s="83"/>
      <c r="W139" s="82">
        <f>SUM(W132:W138)</f>
        <v>1389325</v>
      </c>
      <c r="X139" s="82">
        <f>SUM(X132:X138)</f>
        <v>694662.5</v>
      </c>
      <c r="Y139" s="82">
        <f>SUM(Y132:Y138)</f>
        <v>0</v>
      </c>
      <c r="Z139" s="82">
        <f>SUM(Z132:Z138)</f>
        <v>694662.5</v>
      </c>
      <c r="AA139"/>
      <c r="AB139" s="83"/>
      <c r="AC139" s="83"/>
      <c r="AD139" s="83"/>
    </row>
    <row r="140" spans="1:30" s="86" customFormat="1" ht="12.75" customHeight="1">
      <c r="A140" s="73"/>
      <c r="B140" s="120"/>
      <c r="C140" s="93"/>
      <c r="D140" s="11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3"/>
      <c r="R140" s="82"/>
      <c r="S140" s="82"/>
      <c r="T140" s="82"/>
      <c r="U140" s="82"/>
      <c r="V140" s="83"/>
      <c r="W140" s="82"/>
      <c r="X140" s="82"/>
      <c r="Y140" s="82"/>
      <c r="Z140" s="82"/>
      <c r="AA140"/>
      <c r="AB140" s="83"/>
      <c r="AC140" s="83"/>
      <c r="AD140" s="83"/>
    </row>
    <row r="141" spans="1:30" s="86" customFormat="1" ht="12.75" customHeight="1">
      <c r="A141" s="93">
        <v>526</v>
      </c>
      <c r="B141" s="83" t="s">
        <v>108</v>
      </c>
      <c r="C141" s="93"/>
      <c r="D141" s="112"/>
      <c r="E141" s="82"/>
      <c r="F141" s="82"/>
      <c r="G141" s="82"/>
      <c r="H141" s="82"/>
      <c r="I141" s="82"/>
      <c r="J141" s="82"/>
      <c r="K141" s="82">
        <v>20000</v>
      </c>
      <c r="L141" s="82"/>
      <c r="M141" s="90">
        <f>SUM(H141:L141)</f>
        <v>20000</v>
      </c>
      <c r="N141" s="82">
        <f>M141*C2</f>
        <v>10000</v>
      </c>
      <c r="O141" s="82"/>
      <c r="P141" s="82">
        <f>+M141-N141-O141</f>
        <v>10000</v>
      </c>
      <c r="Q141" s="83"/>
      <c r="R141" s="90"/>
      <c r="S141" s="82"/>
      <c r="T141" s="82"/>
      <c r="U141" s="82"/>
      <c r="V141" s="83"/>
      <c r="W141" s="90"/>
      <c r="X141" s="82"/>
      <c r="Y141" s="82"/>
      <c r="Z141" s="82"/>
      <c r="AA141"/>
      <c r="AB141" s="83"/>
      <c r="AC141" s="83"/>
      <c r="AD141" s="83"/>
    </row>
    <row r="142" spans="1:30" s="86" customFormat="1" ht="12.75" customHeight="1">
      <c r="A142" s="73"/>
      <c r="B142" s="120"/>
      <c r="C142" s="93"/>
      <c r="D142" s="11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3"/>
      <c r="R142" s="82"/>
      <c r="S142" s="82"/>
      <c r="T142" s="82"/>
      <c r="U142" s="82"/>
      <c r="V142" s="83"/>
      <c r="W142" s="82"/>
      <c r="X142" s="82"/>
      <c r="Y142" s="82"/>
      <c r="Z142" s="82"/>
      <c r="AA142"/>
      <c r="AB142" s="83"/>
      <c r="AC142" s="83"/>
      <c r="AD142" s="83"/>
    </row>
    <row r="143" spans="1:30" s="86" customFormat="1" ht="12.75" customHeight="1" thickBot="1">
      <c r="A143" s="73"/>
      <c r="B143" s="111" t="s">
        <v>79</v>
      </c>
      <c r="C143" s="93"/>
      <c r="D143" s="112"/>
      <c r="E143" s="82"/>
      <c r="F143" s="126">
        <f aca="true" t="shared" si="44" ref="F143:N143">SUM(F139:F142)</f>
        <v>432650</v>
      </c>
      <c r="G143" s="126">
        <f t="shared" si="44"/>
        <v>199019</v>
      </c>
      <c r="H143" s="126">
        <f t="shared" si="44"/>
        <v>631669</v>
      </c>
      <c r="I143" s="126">
        <f t="shared" si="44"/>
        <v>0</v>
      </c>
      <c r="J143" s="126">
        <f t="shared" si="44"/>
        <v>22500</v>
      </c>
      <c r="K143" s="126">
        <f t="shared" si="44"/>
        <v>69500</v>
      </c>
      <c r="L143" s="126">
        <f t="shared" si="44"/>
        <v>15300</v>
      </c>
      <c r="M143" s="126">
        <f t="shared" si="44"/>
        <v>738969</v>
      </c>
      <c r="N143" s="126">
        <f t="shared" si="44"/>
        <v>369484.5</v>
      </c>
      <c r="O143" s="126"/>
      <c r="P143" s="126">
        <f>SUM(P139:P142)</f>
        <v>369484.5</v>
      </c>
      <c r="Q143" s="83"/>
      <c r="R143" s="126">
        <f>SUM(R139:R142)</f>
        <v>1071925</v>
      </c>
      <c r="S143" s="126">
        <f>SUM(S139:S142)</f>
        <v>535962.5</v>
      </c>
      <c r="T143" s="126">
        <f>SUM(T139:T142)</f>
        <v>0</v>
      </c>
      <c r="U143" s="126">
        <f>SUM(U139:U142)</f>
        <v>535962.5</v>
      </c>
      <c r="V143" s="83"/>
      <c r="W143" s="126">
        <f>SUM(W139:W142)</f>
        <v>1389325</v>
      </c>
      <c r="X143" s="126">
        <f>SUM(X139:X142)</f>
        <v>694662.5</v>
      </c>
      <c r="Y143" s="126">
        <f>SUM(Y139:Y142)</f>
        <v>0</v>
      </c>
      <c r="Z143" s="126">
        <f>SUM(Z139:Z142)</f>
        <v>694662.5</v>
      </c>
      <c r="AA143"/>
      <c r="AB143" s="83"/>
      <c r="AC143" s="83"/>
      <c r="AD143" s="83"/>
    </row>
    <row r="144" spans="1:30" s="86" customFormat="1" ht="12.75" customHeight="1" thickTop="1">
      <c r="A144" s="73"/>
      <c r="B144" s="120"/>
      <c r="C144" s="93"/>
      <c r="D144" s="11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3"/>
      <c r="R144" s="82"/>
      <c r="S144" s="82"/>
      <c r="T144" s="82"/>
      <c r="U144" s="82"/>
      <c r="V144" s="83"/>
      <c r="W144" s="82"/>
      <c r="X144" s="82"/>
      <c r="Y144" s="82"/>
      <c r="Z144" s="82"/>
      <c r="AA144"/>
      <c r="AB144" s="83"/>
      <c r="AC144" s="83"/>
      <c r="AD144" s="83"/>
    </row>
    <row r="145" spans="1:30" s="86" customFormat="1" ht="12.75" customHeight="1">
      <c r="A145" s="73"/>
      <c r="B145" s="128" t="s">
        <v>80</v>
      </c>
      <c r="C145" s="93"/>
      <c r="D145" s="11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3"/>
      <c r="R145" s="82"/>
      <c r="S145" s="82"/>
      <c r="T145" s="82"/>
      <c r="U145" s="82"/>
      <c r="V145" s="83"/>
      <c r="W145" s="82"/>
      <c r="X145" s="82"/>
      <c r="Y145" s="82"/>
      <c r="Z145" s="82"/>
      <c r="AA145"/>
      <c r="AB145" s="83"/>
      <c r="AC145" s="83"/>
      <c r="AD145" s="83"/>
    </row>
    <row r="146" spans="1:30" s="86" customFormat="1" ht="12.75" customHeight="1">
      <c r="A146" s="73"/>
      <c r="B146" s="102" t="str">
        <f>H3</f>
        <v>200-1010-03</v>
      </c>
      <c r="C146" s="93"/>
      <c r="D146" s="112"/>
      <c r="E146" s="82"/>
      <c r="F146" s="82">
        <f>F143</f>
        <v>432650</v>
      </c>
      <c r="G146" s="82">
        <f>G143</f>
        <v>199019</v>
      </c>
      <c r="H146" s="82">
        <f>H143</f>
        <v>631669</v>
      </c>
      <c r="I146" s="82">
        <f>I143</f>
        <v>0</v>
      </c>
      <c r="J146" s="82">
        <f>J143</f>
        <v>22500</v>
      </c>
      <c r="K146" s="82">
        <f>K139</f>
        <v>49500</v>
      </c>
      <c r="L146" s="82">
        <f>L143</f>
        <v>15300</v>
      </c>
      <c r="M146" s="90">
        <f>SUM(H146:L146)</f>
        <v>718969</v>
      </c>
      <c r="N146" s="82">
        <f>M146*C2</f>
        <v>359484.5</v>
      </c>
      <c r="O146" s="82"/>
      <c r="P146" s="82">
        <f>+M146-N146-O146</f>
        <v>359484.5</v>
      </c>
      <c r="Q146" s="83"/>
      <c r="R146" s="82">
        <f>R139</f>
        <v>1071925</v>
      </c>
      <c r="S146" s="90">
        <f>R146*$S$2</f>
        <v>535962.5</v>
      </c>
      <c r="T146" s="90"/>
      <c r="U146" s="90">
        <f>R146-S146-T146</f>
        <v>535962.5</v>
      </c>
      <c r="V146" s="83"/>
      <c r="W146" s="90">
        <f>W139</f>
        <v>1389325</v>
      </c>
      <c r="X146" s="90">
        <f>W146*$X$2</f>
        <v>694662.5</v>
      </c>
      <c r="Y146" s="90"/>
      <c r="Z146" s="90">
        <f>W146-X146-Y146</f>
        <v>694662.5</v>
      </c>
      <c r="AA146"/>
      <c r="AB146" s="83"/>
      <c r="AC146" s="83"/>
      <c r="AD146" s="83"/>
    </row>
    <row r="147" spans="1:30" s="86" customFormat="1" ht="12.75" customHeight="1">
      <c r="A147" s="73"/>
      <c r="B147" s="102" t="str">
        <f>J3</f>
        <v>200-1010-88</v>
      </c>
      <c r="C147" s="93"/>
      <c r="D147" s="112"/>
      <c r="E147" s="82"/>
      <c r="F147" s="82"/>
      <c r="G147" s="82"/>
      <c r="H147" s="82"/>
      <c r="I147" s="82"/>
      <c r="J147" s="82"/>
      <c r="K147" s="82">
        <f>K141</f>
        <v>20000</v>
      </c>
      <c r="L147" s="82"/>
      <c r="M147" s="90">
        <f>SUM(H147:L147)</f>
        <v>20000</v>
      </c>
      <c r="N147" s="82">
        <f>M147*C2</f>
        <v>10000</v>
      </c>
      <c r="O147" s="82"/>
      <c r="P147" s="82">
        <f>+M147-N147-O147</f>
        <v>10000</v>
      </c>
      <c r="Q147" s="83"/>
      <c r="R147" s="82"/>
      <c r="S147" s="90">
        <f>R147*$S$2</f>
        <v>0</v>
      </c>
      <c r="T147" s="90"/>
      <c r="U147" s="90">
        <f>R147-S147-T147</f>
        <v>0</v>
      </c>
      <c r="V147" s="83"/>
      <c r="W147" s="90"/>
      <c r="X147" s="90">
        <f>W147*$X$2</f>
        <v>0</v>
      </c>
      <c r="Y147" s="90"/>
      <c r="Z147" s="90">
        <f>W147-X147-Y147</f>
        <v>0</v>
      </c>
      <c r="AA147"/>
      <c r="AB147" s="83"/>
      <c r="AC147" s="83"/>
      <c r="AD147" s="83"/>
    </row>
    <row r="148" spans="1:30" s="86" customFormat="1" ht="12.75" customHeight="1" thickBot="1">
      <c r="A148" s="73"/>
      <c r="B148" s="111"/>
      <c r="C148" s="93"/>
      <c r="D148" s="112"/>
      <c r="E148" s="82"/>
      <c r="F148" s="126">
        <f aca="true" t="shared" si="45" ref="F148:P148">SUM(F146:F147)</f>
        <v>432650</v>
      </c>
      <c r="G148" s="126">
        <f t="shared" si="45"/>
        <v>199019</v>
      </c>
      <c r="H148" s="126">
        <f t="shared" si="45"/>
        <v>631669</v>
      </c>
      <c r="I148" s="126">
        <f t="shared" si="45"/>
        <v>0</v>
      </c>
      <c r="J148" s="126">
        <f t="shared" si="45"/>
        <v>22500</v>
      </c>
      <c r="K148" s="126">
        <f t="shared" si="45"/>
        <v>69500</v>
      </c>
      <c r="L148" s="126">
        <f t="shared" si="45"/>
        <v>15300</v>
      </c>
      <c r="M148" s="126">
        <f t="shared" si="45"/>
        <v>738969</v>
      </c>
      <c r="N148" s="126">
        <f t="shared" si="45"/>
        <v>369484.5</v>
      </c>
      <c r="O148" s="126">
        <f t="shared" si="45"/>
        <v>0</v>
      </c>
      <c r="P148" s="126">
        <f t="shared" si="45"/>
        <v>369484.5</v>
      </c>
      <c r="Q148" s="126"/>
      <c r="R148" s="126">
        <f>SUM(R146:R147)</f>
        <v>1071925</v>
      </c>
      <c r="S148" s="126">
        <f>SUM(S146:S147)</f>
        <v>535962.5</v>
      </c>
      <c r="T148" s="126">
        <f>SUM(T146:T147)</f>
        <v>0</v>
      </c>
      <c r="U148" s="126">
        <f>SUM(U146:U147)</f>
        <v>535962.5</v>
      </c>
      <c r="V148" s="83"/>
      <c r="W148" s="126">
        <f>SUM(W146:W147)</f>
        <v>1389325</v>
      </c>
      <c r="X148" s="126">
        <f>SUM(X146:X147)</f>
        <v>694662.5</v>
      </c>
      <c r="Y148" s="126">
        <f>SUM(Y146:Y147)</f>
        <v>0</v>
      </c>
      <c r="Z148" s="126">
        <f>SUM(Z146:Z147)</f>
        <v>694662.5</v>
      </c>
      <c r="AA148"/>
      <c r="AB148" s="83"/>
      <c r="AC148" s="83"/>
      <c r="AD148" s="83"/>
    </row>
    <row r="149" spans="1:30" s="86" customFormat="1" ht="12.75" customHeight="1" thickTop="1">
      <c r="A149" s="73"/>
      <c r="B149" s="111"/>
      <c r="C149" s="93"/>
      <c r="D149" s="112"/>
      <c r="E149" s="82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83"/>
      <c r="W149" s="90"/>
      <c r="X149" s="90"/>
      <c r="Y149" s="90"/>
      <c r="Z149" s="90"/>
      <c r="AA149"/>
      <c r="AB149" s="83"/>
      <c r="AC149" s="83"/>
      <c r="AD149" s="83"/>
    </row>
    <row r="150" spans="1:30" s="86" customFormat="1" ht="12.75" customHeight="1" thickBot="1">
      <c r="A150" s="117">
        <v>7</v>
      </c>
      <c r="B150" s="118" t="s">
        <v>109</v>
      </c>
      <c r="C150" s="93"/>
      <c r="D150" s="11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3"/>
      <c r="R150" s="82"/>
      <c r="S150" s="82"/>
      <c r="T150" s="82"/>
      <c r="U150" s="82"/>
      <c r="V150" s="83"/>
      <c r="W150" s="82"/>
      <c r="X150" s="82"/>
      <c r="Y150" s="82"/>
      <c r="Z150" s="82"/>
      <c r="AA150"/>
      <c r="AB150" s="83"/>
      <c r="AC150" s="83"/>
      <c r="AD150" s="83"/>
    </row>
    <row r="151" spans="1:30" s="86" customFormat="1" ht="12.75" customHeight="1">
      <c r="A151" s="93">
        <v>401</v>
      </c>
      <c r="B151" s="121" t="s">
        <v>77</v>
      </c>
      <c r="C151" s="93"/>
      <c r="D151" s="109" t="s">
        <v>71</v>
      </c>
      <c r="E151" s="97" t="s">
        <v>72</v>
      </c>
      <c r="F151" s="97" t="s">
        <v>72</v>
      </c>
      <c r="G151" s="97" t="s">
        <v>73</v>
      </c>
      <c r="H151" s="97" t="s">
        <v>1</v>
      </c>
      <c r="I151" s="97" t="s">
        <v>74</v>
      </c>
      <c r="J151" s="97" t="s">
        <v>66</v>
      </c>
      <c r="K151" s="97" t="s">
        <v>59</v>
      </c>
      <c r="L151" s="97" t="s">
        <v>18</v>
      </c>
      <c r="M151" s="97" t="s">
        <v>1</v>
      </c>
      <c r="N151" s="97" t="s">
        <v>7</v>
      </c>
      <c r="O151" s="97" t="s">
        <v>75</v>
      </c>
      <c r="P151" s="97" t="s">
        <v>76</v>
      </c>
      <c r="Q151" s="108"/>
      <c r="R151" s="97" t="s">
        <v>1</v>
      </c>
      <c r="S151" s="97" t="s">
        <v>7</v>
      </c>
      <c r="T151" s="97" t="s">
        <v>75</v>
      </c>
      <c r="U151" s="97" t="s">
        <v>76</v>
      </c>
      <c r="V151" s="83"/>
      <c r="W151" s="97" t="s">
        <v>1</v>
      </c>
      <c r="X151" s="97" t="s">
        <v>7</v>
      </c>
      <c r="Y151" s="97" t="s">
        <v>75</v>
      </c>
      <c r="Z151" s="97" t="s">
        <v>76</v>
      </c>
      <c r="AA151"/>
      <c r="AB151" s="83"/>
      <c r="AC151" s="83"/>
      <c r="AD151" s="83"/>
    </row>
    <row r="152" spans="2:30" s="86" customFormat="1" ht="12.75" customHeight="1">
      <c r="B152" s="102" t="s">
        <v>110</v>
      </c>
      <c r="C152" s="93">
        <v>9307</v>
      </c>
      <c r="D152" s="131">
        <v>1</v>
      </c>
      <c r="E152" s="94">
        <v>47750</v>
      </c>
      <c r="F152" s="90">
        <f aca="true" t="shared" si="46" ref="F152:F159">E152*D152</f>
        <v>47750</v>
      </c>
      <c r="G152" s="94">
        <f aca="true" t="shared" si="47" ref="G152:G159">+F152*$C$4</f>
        <v>21965</v>
      </c>
      <c r="H152" s="90">
        <f aca="true" t="shared" si="48" ref="H152:H159">+G152+F152</f>
        <v>69715</v>
      </c>
      <c r="I152" s="94"/>
      <c r="J152" s="94">
        <f aca="true" t="shared" si="49" ref="J152:J159">D152*$C$7</f>
        <v>2500</v>
      </c>
      <c r="K152" s="94">
        <f aca="true" t="shared" si="50" ref="K152:K159">D152*$C$5</f>
        <v>5500</v>
      </c>
      <c r="L152" s="94">
        <f aca="true" t="shared" si="51" ref="L152:L159">D152*$C$6</f>
        <v>1700</v>
      </c>
      <c r="M152" s="90">
        <f aca="true" t="shared" si="52" ref="M152:M159">SUM(H152:L152)</f>
        <v>79415</v>
      </c>
      <c r="N152" s="94">
        <f aca="true" t="shared" si="53" ref="N152:N159">M152*$C$2</f>
        <v>39707.5</v>
      </c>
      <c r="O152" s="90"/>
      <c r="P152" s="90">
        <f aca="true" t="shared" si="54" ref="P152:P159">M152-N152-O152</f>
        <v>39707.5</v>
      </c>
      <c r="Q152" s="83"/>
      <c r="R152" s="90"/>
      <c r="S152" s="90"/>
      <c r="T152" s="90"/>
      <c r="U152" s="90">
        <f aca="true" t="shared" si="55" ref="U152:U159">R152-S152-T152</f>
        <v>0</v>
      </c>
      <c r="V152" s="83"/>
      <c r="W152" s="90"/>
      <c r="X152" s="90"/>
      <c r="Y152" s="90"/>
      <c r="Z152" s="90">
        <f aca="true" t="shared" si="56" ref="Z152:Z159">W152-X152-Y152</f>
        <v>0</v>
      </c>
      <c r="AA152"/>
      <c r="AB152" s="83"/>
      <c r="AC152" s="83"/>
      <c r="AD152" s="83"/>
    </row>
    <row r="153" spans="1:30" s="86" customFormat="1" ht="12.75" customHeight="1">
      <c r="A153" s="73"/>
      <c r="B153" s="102" t="s">
        <v>111</v>
      </c>
      <c r="C153" s="93">
        <v>9206</v>
      </c>
      <c r="D153" s="131">
        <v>3</v>
      </c>
      <c r="E153" s="94">
        <v>47750</v>
      </c>
      <c r="F153" s="90">
        <f t="shared" si="46"/>
        <v>143250</v>
      </c>
      <c r="G153" s="94">
        <f t="shared" si="47"/>
        <v>65895</v>
      </c>
      <c r="H153" s="90">
        <f t="shared" si="48"/>
        <v>209145</v>
      </c>
      <c r="I153" s="94"/>
      <c r="J153" s="94">
        <f t="shared" si="49"/>
        <v>7500</v>
      </c>
      <c r="K153" s="94">
        <f t="shared" si="50"/>
        <v>16500</v>
      </c>
      <c r="L153" s="94">
        <f t="shared" si="51"/>
        <v>5100</v>
      </c>
      <c r="M153" s="90">
        <f t="shared" si="52"/>
        <v>238245</v>
      </c>
      <c r="N153" s="94">
        <f t="shared" si="53"/>
        <v>119122.5</v>
      </c>
      <c r="O153" s="90"/>
      <c r="P153" s="90">
        <f t="shared" si="54"/>
        <v>119122.5</v>
      </c>
      <c r="Q153" s="83"/>
      <c r="R153" s="90"/>
      <c r="S153" s="90"/>
      <c r="T153" s="90"/>
      <c r="U153" s="90">
        <f t="shared" si="55"/>
        <v>0</v>
      </c>
      <c r="V153" s="83"/>
      <c r="W153" s="90"/>
      <c r="X153" s="90"/>
      <c r="Y153" s="90"/>
      <c r="Z153" s="90">
        <f t="shared" si="56"/>
        <v>0</v>
      </c>
      <c r="AA153"/>
      <c r="AB153" s="83"/>
      <c r="AC153" s="83"/>
      <c r="AD153" s="83"/>
    </row>
    <row r="154" spans="1:30" s="86" customFormat="1" ht="12.75" customHeight="1">
      <c r="A154" s="73"/>
      <c r="B154" s="102" t="s">
        <v>112</v>
      </c>
      <c r="C154" s="93">
        <v>9103</v>
      </c>
      <c r="D154" s="131">
        <v>2</v>
      </c>
      <c r="E154" s="94">
        <v>53650</v>
      </c>
      <c r="F154" s="90">
        <f t="shared" si="46"/>
        <v>107300</v>
      </c>
      <c r="G154" s="94">
        <f t="shared" si="47"/>
        <v>49358</v>
      </c>
      <c r="H154" s="90">
        <f t="shared" si="48"/>
        <v>156658</v>
      </c>
      <c r="I154" s="94"/>
      <c r="J154" s="94">
        <f t="shared" si="49"/>
        <v>5000</v>
      </c>
      <c r="K154" s="94">
        <f t="shared" si="50"/>
        <v>11000</v>
      </c>
      <c r="L154" s="94">
        <f t="shared" si="51"/>
        <v>3400</v>
      </c>
      <c r="M154" s="90">
        <f t="shared" si="52"/>
        <v>176058</v>
      </c>
      <c r="N154" s="94">
        <f t="shared" si="53"/>
        <v>88029</v>
      </c>
      <c r="O154" s="90"/>
      <c r="P154" s="90">
        <f t="shared" si="54"/>
        <v>88029</v>
      </c>
      <c r="Q154" s="83"/>
      <c r="R154" s="90"/>
      <c r="S154" s="90"/>
      <c r="T154" s="90"/>
      <c r="U154" s="90">
        <f t="shared" si="55"/>
        <v>0</v>
      </c>
      <c r="V154" s="83"/>
      <c r="W154" s="90"/>
      <c r="X154" s="90"/>
      <c r="Y154" s="90"/>
      <c r="Z154" s="90">
        <f t="shared" si="56"/>
        <v>0</v>
      </c>
      <c r="AA154"/>
      <c r="AB154" s="83"/>
      <c r="AC154" s="83"/>
      <c r="AD154" s="83"/>
    </row>
    <row r="155" spans="1:30" s="86" customFormat="1" ht="12.75" customHeight="1">
      <c r="A155" s="73"/>
      <c r="B155" s="102" t="s">
        <v>113</v>
      </c>
      <c r="C155" s="93">
        <v>9660</v>
      </c>
      <c r="D155" s="131">
        <v>2</v>
      </c>
      <c r="E155" s="94">
        <v>62050</v>
      </c>
      <c r="F155" s="90">
        <f t="shared" si="46"/>
        <v>124100</v>
      </c>
      <c r="G155" s="94">
        <f t="shared" si="47"/>
        <v>57086</v>
      </c>
      <c r="H155" s="90">
        <f t="shared" si="48"/>
        <v>181186</v>
      </c>
      <c r="I155" s="94"/>
      <c r="J155" s="94">
        <f t="shared" si="49"/>
        <v>5000</v>
      </c>
      <c r="K155" s="94">
        <f t="shared" si="50"/>
        <v>11000</v>
      </c>
      <c r="L155" s="94">
        <f t="shared" si="51"/>
        <v>3400</v>
      </c>
      <c r="M155" s="90">
        <f t="shared" si="52"/>
        <v>200586</v>
      </c>
      <c r="N155" s="94">
        <f t="shared" si="53"/>
        <v>100293</v>
      </c>
      <c r="O155" s="90"/>
      <c r="P155" s="90">
        <f t="shared" si="54"/>
        <v>100293</v>
      </c>
      <c r="Q155" s="83"/>
      <c r="R155" s="90"/>
      <c r="S155" s="90"/>
      <c r="T155" s="90"/>
      <c r="U155" s="90">
        <f t="shared" si="55"/>
        <v>0</v>
      </c>
      <c r="V155" s="83"/>
      <c r="W155" s="90"/>
      <c r="X155" s="90"/>
      <c r="Y155" s="90"/>
      <c r="Z155" s="90">
        <f t="shared" si="56"/>
        <v>0</v>
      </c>
      <c r="AA155"/>
      <c r="AB155" s="83"/>
      <c r="AC155" s="83"/>
      <c r="AD155" s="83"/>
    </row>
    <row r="156" spans="1:30" s="86" customFormat="1" ht="12.75" customHeight="1">
      <c r="A156" s="73"/>
      <c r="B156" s="102" t="s">
        <v>114</v>
      </c>
      <c r="C156" s="93">
        <v>2268</v>
      </c>
      <c r="D156" s="131">
        <v>6</v>
      </c>
      <c r="E156" s="94">
        <v>36650</v>
      </c>
      <c r="F156" s="90">
        <f t="shared" si="46"/>
        <v>219900</v>
      </c>
      <c r="G156" s="94">
        <f t="shared" si="47"/>
        <v>101154</v>
      </c>
      <c r="H156" s="90">
        <f t="shared" si="48"/>
        <v>321054</v>
      </c>
      <c r="I156" s="94"/>
      <c r="J156" s="94">
        <f t="shared" si="49"/>
        <v>15000</v>
      </c>
      <c r="K156" s="94">
        <f t="shared" si="50"/>
        <v>33000</v>
      </c>
      <c r="L156" s="94">
        <f t="shared" si="51"/>
        <v>10200</v>
      </c>
      <c r="M156" s="90">
        <f t="shared" si="52"/>
        <v>379254</v>
      </c>
      <c r="N156" s="94">
        <f t="shared" si="53"/>
        <v>189627</v>
      </c>
      <c r="O156" s="90"/>
      <c r="P156" s="90">
        <f t="shared" si="54"/>
        <v>189627</v>
      </c>
      <c r="Q156" s="83"/>
      <c r="R156" s="90"/>
      <c r="S156" s="90"/>
      <c r="T156" s="90"/>
      <c r="U156" s="90">
        <f t="shared" si="55"/>
        <v>0</v>
      </c>
      <c r="V156" s="83"/>
      <c r="W156" s="90"/>
      <c r="X156" s="90"/>
      <c r="Y156" s="90"/>
      <c r="Z156" s="90">
        <f t="shared" si="56"/>
        <v>0</v>
      </c>
      <c r="AA156"/>
      <c r="AB156" s="83"/>
      <c r="AC156" s="83"/>
      <c r="AD156" s="83"/>
    </row>
    <row r="157" spans="1:30" s="86" customFormat="1" ht="12.75" customHeight="1">
      <c r="A157" s="73"/>
      <c r="B157" s="102" t="s">
        <v>115</v>
      </c>
      <c r="C157" s="93">
        <v>9143</v>
      </c>
      <c r="D157" s="131">
        <v>1</v>
      </c>
      <c r="E157" s="94">
        <v>42650</v>
      </c>
      <c r="F157" s="90">
        <f t="shared" si="46"/>
        <v>42650</v>
      </c>
      <c r="G157" s="94">
        <f t="shared" si="47"/>
        <v>19619</v>
      </c>
      <c r="H157" s="90">
        <f t="shared" si="48"/>
        <v>62269</v>
      </c>
      <c r="I157" s="94"/>
      <c r="J157" s="94">
        <f t="shared" si="49"/>
        <v>2500</v>
      </c>
      <c r="K157" s="94">
        <f t="shared" si="50"/>
        <v>5500</v>
      </c>
      <c r="L157" s="94">
        <f t="shared" si="51"/>
        <v>1700</v>
      </c>
      <c r="M157" s="90">
        <f t="shared" si="52"/>
        <v>71969</v>
      </c>
      <c r="N157" s="94">
        <f t="shared" si="53"/>
        <v>35984.5</v>
      </c>
      <c r="O157" s="90"/>
      <c r="P157" s="90">
        <f t="shared" si="54"/>
        <v>35984.5</v>
      </c>
      <c r="Q157" s="83"/>
      <c r="R157" s="90"/>
      <c r="S157" s="90"/>
      <c r="T157" s="90"/>
      <c r="U157" s="90">
        <f t="shared" si="55"/>
        <v>0</v>
      </c>
      <c r="V157" s="83"/>
      <c r="W157" s="90"/>
      <c r="X157" s="90"/>
      <c r="Y157" s="90"/>
      <c r="Z157" s="90">
        <f t="shared" si="56"/>
        <v>0</v>
      </c>
      <c r="AA157"/>
      <c r="AB157" s="83"/>
      <c r="AC157" s="83"/>
      <c r="AD157" s="83"/>
    </row>
    <row r="158" spans="1:30" s="86" customFormat="1" ht="12.75" customHeight="1">
      <c r="A158" s="73"/>
      <c r="B158" s="102" t="s">
        <v>116</v>
      </c>
      <c r="C158" s="93">
        <v>1602</v>
      </c>
      <c r="D158" s="131">
        <v>1</v>
      </c>
      <c r="E158" s="94">
        <v>72650</v>
      </c>
      <c r="F158" s="90">
        <f t="shared" si="46"/>
        <v>72650</v>
      </c>
      <c r="G158" s="94">
        <f t="shared" si="47"/>
        <v>33419</v>
      </c>
      <c r="H158" s="90">
        <f t="shared" si="48"/>
        <v>106069</v>
      </c>
      <c r="I158" s="94"/>
      <c r="J158" s="94">
        <f t="shared" si="49"/>
        <v>2500</v>
      </c>
      <c r="K158" s="94">
        <f t="shared" si="50"/>
        <v>5500</v>
      </c>
      <c r="L158" s="94">
        <f t="shared" si="51"/>
        <v>1700</v>
      </c>
      <c r="M158" s="90">
        <f t="shared" si="52"/>
        <v>115769</v>
      </c>
      <c r="N158" s="94">
        <f t="shared" si="53"/>
        <v>57884.5</v>
      </c>
      <c r="O158" s="90"/>
      <c r="P158" s="90">
        <f t="shared" si="54"/>
        <v>57884.5</v>
      </c>
      <c r="Q158" s="83"/>
      <c r="R158" s="90"/>
      <c r="S158" s="90"/>
      <c r="T158" s="90"/>
      <c r="U158" s="90">
        <f t="shared" si="55"/>
        <v>0</v>
      </c>
      <c r="V158" s="83"/>
      <c r="W158" s="90"/>
      <c r="X158" s="90"/>
      <c r="Y158" s="90"/>
      <c r="Z158" s="90">
        <f t="shared" si="56"/>
        <v>0</v>
      </c>
      <c r="AA158"/>
      <c r="AB158" s="83"/>
      <c r="AC158" s="83"/>
      <c r="AD158" s="83"/>
    </row>
    <row r="159" spans="1:30" s="86" customFormat="1" ht="12.75" customHeight="1" thickBot="1">
      <c r="A159" s="73"/>
      <c r="B159" s="102"/>
      <c r="C159" s="93"/>
      <c r="D159" s="112"/>
      <c r="E159" s="82"/>
      <c r="F159" s="123">
        <f t="shared" si="46"/>
        <v>0</v>
      </c>
      <c r="G159" s="143">
        <f t="shared" si="47"/>
        <v>0</v>
      </c>
      <c r="H159" s="123">
        <f t="shared" si="48"/>
        <v>0</v>
      </c>
      <c r="I159" s="143"/>
      <c r="J159" s="143">
        <f t="shared" si="49"/>
        <v>0</v>
      </c>
      <c r="K159" s="143">
        <f t="shared" si="50"/>
        <v>0</v>
      </c>
      <c r="L159" s="143">
        <f t="shared" si="51"/>
        <v>0</v>
      </c>
      <c r="M159" s="123">
        <f t="shared" si="52"/>
        <v>0</v>
      </c>
      <c r="N159" s="143">
        <f t="shared" si="53"/>
        <v>0</v>
      </c>
      <c r="O159" s="123"/>
      <c r="P159" s="123">
        <f t="shared" si="54"/>
        <v>0</v>
      </c>
      <c r="Q159" s="138"/>
      <c r="R159" s="123"/>
      <c r="S159" s="123"/>
      <c r="T159" s="123"/>
      <c r="U159" s="123">
        <f t="shared" si="55"/>
        <v>0</v>
      </c>
      <c r="V159" s="83"/>
      <c r="W159" s="123"/>
      <c r="X159" s="123"/>
      <c r="Y159" s="123"/>
      <c r="Z159" s="123">
        <f t="shared" si="56"/>
        <v>0</v>
      </c>
      <c r="AA159"/>
      <c r="AB159" s="83"/>
      <c r="AC159" s="83"/>
      <c r="AD159" s="83"/>
    </row>
    <row r="160" spans="1:30" s="86" customFormat="1" ht="12.75" customHeight="1">
      <c r="A160" s="73"/>
      <c r="B160" s="83"/>
      <c r="C160" s="93"/>
      <c r="D160" s="112"/>
      <c r="E160" s="82"/>
      <c r="F160" s="82">
        <f aca="true" t="shared" si="57" ref="F160:P160">SUM(F152:F159)</f>
        <v>757600</v>
      </c>
      <c r="G160" s="82">
        <f t="shared" si="57"/>
        <v>348496</v>
      </c>
      <c r="H160" s="82">
        <f t="shared" si="57"/>
        <v>1106096</v>
      </c>
      <c r="I160" s="82">
        <f t="shared" si="57"/>
        <v>0</v>
      </c>
      <c r="J160" s="82">
        <f t="shared" si="57"/>
        <v>40000</v>
      </c>
      <c r="K160" s="82">
        <f t="shared" si="57"/>
        <v>88000</v>
      </c>
      <c r="L160" s="82">
        <f t="shared" si="57"/>
        <v>27200</v>
      </c>
      <c r="M160" s="82">
        <f t="shared" si="57"/>
        <v>1261296</v>
      </c>
      <c r="N160" s="82">
        <f t="shared" si="57"/>
        <v>630648</v>
      </c>
      <c r="O160" s="82">
        <f t="shared" si="57"/>
        <v>0</v>
      </c>
      <c r="P160" s="82">
        <f t="shared" si="57"/>
        <v>630648</v>
      </c>
      <c r="Q160" s="83"/>
      <c r="R160" s="82">
        <f>SUM(R152:R159)</f>
        <v>0</v>
      </c>
      <c r="S160" s="82">
        <f>SUM(S152:S159)</f>
        <v>0</v>
      </c>
      <c r="T160" s="82">
        <f>SUM(T152:T159)</f>
        <v>0</v>
      </c>
      <c r="U160" s="82">
        <f>SUM(U152:U159)</f>
        <v>0</v>
      </c>
      <c r="V160" s="83"/>
      <c r="W160" s="82">
        <f>SUM(W152:W159)</f>
        <v>0</v>
      </c>
      <c r="X160" s="82">
        <f>SUM(X152:X159)</f>
        <v>0</v>
      </c>
      <c r="Y160" s="82">
        <f>SUM(Y152:Y159)</f>
        <v>0</v>
      </c>
      <c r="Z160" s="82">
        <f>SUM(Z152:Z159)</f>
        <v>0</v>
      </c>
      <c r="AA160"/>
      <c r="AB160" s="83"/>
      <c r="AC160" s="83"/>
      <c r="AD160" s="83"/>
    </row>
    <row r="161" spans="1:30" s="86" customFormat="1" ht="12.75" customHeight="1">
      <c r="A161" s="73"/>
      <c r="B161" s="83"/>
      <c r="C161" s="93"/>
      <c r="D161" s="11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3"/>
      <c r="R161" s="82"/>
      <c r="S161" s="82"/>
      <c r="T161" s="82"/>
      <c r="U161" s="82"/>
      <c r="V161" s="83"/>
      <c r="W161" s="82"/>
      <c r="X161" s="82"/>
      <c r="Y161" s="82"/>
      <c r="Z161" s="82"/>
      <c r="AA161"/>
      <c r="AB161" s="83"/>
      <c r="AC161" s="83"/>
      <c r="AD161" s="83"/>
    </row>
    <row r="162" spans="1:30" s="86" customFormat="1" ht="12.75" customHeight="1">
      <c r="A162" s="73"/>
      <c r="B162" s="83" t="s">
        <v>117</v>
      </c>
      <c r="C162" s="93"/>
      <c r="D162" s="112"/>
      <c r="E162" s="82"/>
      <c r="F162" s="82"/>
      <c r="G162" s="82"/>
      <c r="H162" s="82"/>
      <c r="I162" s="82">
        <v>2790000</v>
      </c>
      <c r="J162" s="82"/>
      <c r="K162" s="82"/>
      <c r="L162" s="82"/>
      <c r="M162" s="90">
        <f>SUM(H162:L162)</f>
        <v>2790000</v>
      </c>
      <c r="N162" s="82">
        <f>M162*C2</f>
        <v>1395000</v>
      </c>
      <c r="O162" s="82"/>
      <c r="P162" s="90">
        <f>M162-N162-O162</f>
        <v>1395000</v>
      </c>
      <c r="Q162" s="83"/>
      <c r="R162" s="90">
        <f>'[10]June'!$G$52</f>
        <v>2574902</v>
      </c>
      <c r="S162" s="90">
        <f>R162*$S$2</f>
        <v>1287451</v>
      </c>
      <c r="T162" s="90"/>
      <c r="U162" s="90">
        <f>R162-S162-T162</f>
        <v>1287451</v>
      </c>
      <c r="V162" s="83"/>
      <c r="W162" s="142">
        <f>2900000</f>
        <v>2900000</v>
      </c>
      <c r="X162" s="90">
        <f>W162*$X$2</f>
        <v>1450000</v>
      </c>
      <c r="Y162" s="90"/>
      <c r="Z162" s="90">
        <f>W162-X162-Y162</f>
        <v>1450000</v>
      </c>
      <c r="AA162"/>
      <c r="AB162" s="83"/>
      <c r="AC162" s="83"/>
      <c r="AD162" s="83"/>
    </row>
    <row r="163" spans="1:30" s="86" customFormat="1" ht="12.75" customHeight="1">
      <c r="A163" s="73"/>
      <c r="B163" s="83" t="s">
        <v>118</v>
      </c>
      <c r="C163" s="93"/>
      <c r="D163" s="112"/>
      <c r="E163" s="82"/>
      <c r="F163" s="82"/>
      <c r="G163" s="82"/>
      <c r="H163" s="82"/>
      <c r="I163" s="82">
        <v>677500</v>
      </c>
      <c r="J163" s="82"/>
      <c r="K163" s="82"/>
      <c r="L163" s="82"/>
      <c r="M163" s="90">
        <f>SUM(H163:L163)</f>
        <v>677500</v>
      </c>
      <c r="N163" s="82">
        <f>M163*0.25</f>
        <v>169375</v>
      </c>
      <c r="O163" s="82"/>
      <c r="P163" s="90">
        <f>M163-N163-O163</f>
        <v>508125</v>
      </c>
      <c r="Q163" s="83"/>
      <c r="R163" s="90">
        <f>'[10]June'!$G$51</f>
        <v>27922043</v>
      </c>
      <c r="S163" s="90">
        <f>R163*0.25</f>
        <v>6980510.75</v>
      </c>
      <c r="T163" s="90"/>
      <c r="U163" s="90">
        <f>R163-S163-T163</f>
        <v>20941532.25</v>
      </c>
      <c r="V163" s="83"/>
      <c r="W163" s="82">
        <v>33838476</v>
      </c>
      <c r="X163" s="139">
        <f>W163-Z163</f>
        <v>9181460.5</v>
      </c>
      <c r="Y163" s="82"/>
      <c r="Z163" s="82">
        <f>(10000*0.5)+(1425180*0.9)+(24676822*0.75)+(2300040*0.5)+(2923434*0.5)+(2500000*0.9)</f>
        <v>24657015.5</v>
      </c>
      <c r="AA163"/>
      <c r="AB163" s="83"/>
      <c r="AC163" s="83"/>
      <c r="AD163" s="83"/>
    </row>
    <row r="164" spans="1:30" s="86" customFormat="1" ht="12.75" customHeight="1">
      <c r="A164" s="73"/>
      <c r="B164" s="83" t="s">
        <v>119</v>
      </c>
      <c r="C164" s="93"/>
      <c r="D164" s="112"/>
      <c r="E164" s="82"/>
      <c r="F164" s="82"/>
      <c r="G164" s="82"/>
      <c r="H164" s="82"/>
      <c r="I164" s="82"/>
      <c r="J164" s="82"/>
      <c r="K164" s="82"/>
      <c r="L164" s="82">
        <v>3240000</v>
      </c>
      <c r="M164" s="90">
        <f>SUM(H164:L164)</f>
        <v>3240000</v>
      </c>
      <c r="N164" s="82">
        <f>M164*C2</f>
        <v>1620000</v>
      </c>
      <c r="O164" s="82"/>
      <c r="P164" s="90">
        <f>M164-N164-O164</f>
        <v>1620000</v>
      </c>
      <c r="Q164" s="83"/>
      <c r="R164" s="82"/>
      <c r="S164" s="82"/>
      <c r="T164" s="82"/>
      <c r="U164" s="90">
        <f>R164-S164-T164</f>
        <v>0</v>
      </c>
      <c r="V164" s="83"/>
      <c r="W164" s="82"/>
      <c r="X164" s="82"/>
      <c r="Y164" s="82"/>
      <c r="Z164" s="90">
        <f>W164-X164-Y164</f>
        <v>0</v>
      </c>
      <c r="AA164"/>
      <c r="AB164" s="83"/>
      <c r="AC164" s="83"/>
      <c r="AD164" s="83"/>
    </row>
    <row r="165" spans="1:30" s="86" customFormat="1" ht="12.75" customHeight="1">
      <c r="A165" s="73"/>
      <c r="B165" s="83" t="s">
        <v>120</v>
      </c>
      <c r="C165" s="93"/>
      <c r="D165" s="112"/>
      <c r="E165" s="82"/>
      <c r="F165" s="82"/>
      <c r="G165" s="82"/>
      <c r="H165" s="82"/>
      <c r="I165" s="82"/>
      <c r="J165" s="82">
        <f>2500*20</f>
        <v>50000</v>
      </c>
      <c r="K165" s="82">
        <f>5500*20</f>
        <v>110000</v>
      </c>
      <c r="L165" s="82">
        <f>(1700*20)</f>
        <v>34000</v>
      </c>
      <c r="M165" s="90">
        <f>SUM(H165:L165)</f>
        <v>194000</v>
      </c>
      <c r="N165" s="82">
        <f>M165*C2</f>
        <v>97000</v>
      </c>
      <c r="O165" s="82"/>
      <c r="P165" s="90">
        <f>M165-N165-O165</f>
        <v>97000</v>
      </c>
      <c r="Q165" s="83"/>
      <c r="R165" s="82"/>
      <c r="S165" s="82"/>
      <c r="T165" s="82"/>
      <c r="U165" s="90">
        <f>R165-S165-T165</f>
        <v>0</v>
      </c>
      <c r="V165" s="83"/>
      <c r="W165" s="82"/>
      <c r="X165" s="82"/>
      <c r="Y165" s="82"/>
      <c r="Z165" s="90">
        <f>W165-X165-Y165</f>
        <v>0</v>
      </c>
      <c r="AA165"/>
      <c r="AB165" s="83"/>
      <c r="AC165" s="83"/>
      <c r="AD165" s="83"/>
    </row>
    <row r="166" spans="1:30" s="86" customFormat="1" ht="12.75" customHeight="1">
      <c r="A166" s="73"/>
      <c r="B166" s="83"/>
      <c r="C166" s="93"/>
      <c r="D166" s="11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3"/>
      <c r="R166" s="82"/>
      <c r="S166" s="82"/>
      <c r="T166" s="82"/>
      <c r="U166" s="90">
        <f>R166-S166-T166</f>
        <v>0</v>
      </c>
      <c r="V166" s="83"/>
      <c r="W166" s="82"/>
      <c r="X166" s="82"/>
      <c r="Y166" s="82"/>
      <c r="Z166" s="90">
        <f>W166-X166-Y166</f>
        <v>0</v>
      </c>
      <c r="AA166"/>
      <c r="AB166" s="83"/>
      <c r="AC166" s="83"/>
      <c r="AD166" s="83"/>
    </row>
    <row r="167" spans="1:30" s="86" customFormat="1" ht="12.75" customHeight="1" thickBot="1">
      <c r="A167" s="73"/>
      <c r="B167" s="111" t="s">
        <v>79</v>
      </c>
      <c r="C167" s="93"/>
      <c r="D167" s="112"/>
      <c r="E167" s="82"/>
      <c r="F167" s="126">
        <f aca="true" t="shared" si="58" ref="F167:N167">SUM(F160:F166)</f>
        <v>757600</v>
      </c>
      <c r="G167" s="126">
        <f t="shared" si="58"/>
        <v>348496</v>
      </c>
      <c r="H167" s="126">
        <f t="shared" si="58"/>
        <v>1106096</v>
      </c>
      <c r="I167" s="126">
        <f t="shared" si="58"/>
        <v>3467500</v>
      </c>
      <c r="J167" s="126">
        <f t="shared" si="58"/>
        <v>90000</v>
      </c>
      <c r="K167" s="126">
        <f t="shared" si="58"/>
        <v>198000</v>
      </c>
      <c r="L167" s="126">
        <f t="shared" si="58"/>
        <v>3301200</v>
      </c>
      <c r="M167" s="126">
        <f t="shared" si="58"/>
        <v>8162796</v>
      </c>
      <c r="N167" s="126">
        <f t="shared" si="58"/>
        <v>3912023</v>
      </c>
      <c r="O167" s="126"/>
      <c r="P167" s="126">
        <f>SUM(P160:P166)</f>
        <v>4250773</v>
      </c>
      <c r="Q167" s="83"/>
      <c r="R167" s="126">
        <f>SUM(R160:R166)</f>
        <v>30496945</v>
      </c>
      <c r="S167" s="126">
        <f>SUM(S160:S166)</f>
        <v>8267961.75</v>
      </c>
      <c r="T167" s="126">
        <f>SUM(T160:T166)</f>
        <v>0</v>
      </c>
      <c r="U167" s="126">
        <f>SUM(U160:U166)</f>
        <v>22228983.25</v>
      </c>
      <c r="V167" s="83"/>
      <c r="W167" s="126">
        <f>SUM(W160:W166)</f>
        <v>36738476</v>
      </c>
      <c r="X167" s="126">
        <f>SUM(X160:X166)</f>
        <v>10631460.5</v>
      </c>
      <c r="Y167" s="126">
        <f>SUM(Y160:Y166)</f>
        <v>0</v>
      </c>
      <c r="Z167" s="126">
        <f>SUM(Z160:Z166)</f>
        <v>26107015.5</v>
      </c>
      <c r="AA167"/>
      <c r="AB167" s="83"/>
      <c r="AC167" s="83"/>
      <c r="AD167" s="83"/>
    </row>
    <row r="168" spans="1:30" s="86" customFormat="1" ht="12.75" customHeight="1" thickTop="1">
      <c r="A168" s="73"/>
      <c r="B168" s="120"/>
      <c r="C168" s="93"/>
      <c r="D168" s="11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3"/>
      <c r="R168" s="82"/>
      <c r="S168" s="82"/>
      <c r="T168" s="82"/>
      <c r="U168" s="82"/>
      <c r="V168" s="83"/>
      <c r="W168" s="82"/>
      <c r="X168" s="82"/>
      <c r="Y168" s="82"/>
      <c r="Z168" s="82"/>
      <c r="AA168"/>
      <c r="AB168" s="83"/>
      <c r="AC168" s="83"/>
      <c r="AD168" s="83"/>
    </row>
    <row r="169" spans="1:30" s="86" customFormat="1" ht="12.75" customHeight="1">
      <c r="A169" s="73"/>
      <c r="B169" s="128" t="s">
        <v>80</v>
      </c>
      <c r="C169" s="93"/>
      <c r="D169" s="11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3"/>
      <c r="R169" s="144"/>
      <c r="S169" s="82"/>
      <c r="T169" s="82"/>
      <c r="U169" s="82"/>
      <c r="V169" s="83"/>
      <c r="W169" s="144"/>
      <c r="X169" s="82"/>
      <c r="Y169" s="82"/>
      <c r="Z169" s="82"/>
      <c r="AA169"/>
      <c r="AB169" s="83"/>
      <c r="AC169" s="83"/>
      <c r="AD169" s="83"/>
    </row>
    <row r="170" spans="1:30" s="86" customFormat="1" ht="12.75" customHeight="1">
      <c r="A170" s="73"/>
      <c r="B170" s="102" t="str">
        <f>I1</f>
        <v>200-1010-07</v>
      </c>
      <c r="C170" s="93"/>
      <c r="D170" s="112"/>
      <c r="E170" s="82"/>
      <c r="F170" s="82">
        <f aca="true" t="shared" si="59" ref="F170:L170">F157+F158</f>
        <v>115300</v>
      </c>
      <c r="G170" s="82">
        <f t="shared" si="59"/>
        <v>53038</v>
      </c>
      <c r="H170" s="82">
        <f t="shared" si="59"/>
        <v>168338</v>
      </c>
      <c r="I170" s="82">
        <f t="shared" si="59"/>
        <v>0</v>
      </c>
      <c r="J170" s="82">
        <f t="shared" si="59"/>
        <v>5000</v>
      </c>
      <c r="K170" s="82">
        <f t="shared" si="59"/>
        <v>11000</v>
      </c>
      <c r="L170" s="82">
        <f t="shared" si="59"/>
        <v>3400</v>
      </c>
      <c r="M170" s="90">
        <f>SUM(H170:L170)</f>
        <v>187738</v>
      </c>
      <c r="N170" s="82">
        <f>M170*$C$2</f>
        <v>93869</v>
      </c>
      <c r="O170" s="82"/>
      <c r="P170" s="90">
        <f>M170-N170-O170</f>
        <v>93869</v>
      </c>
      <c r="Q170" s="83"/>
      <c r="R170" s="82"/>
      <c r="S170" s="90">
        <f>R170*$S$2</f>
        <v>0</v>
      </c>
      <c r="T170" s="90"/>
      <c r="U170" s="90">
        <f>R170-S170-T170</f>
        <v>0</v>
      </c>
      <c r="V170" s="83"/>
      <c r="W170" s="90"/>
      <c r="X170" s="90">
        <f>W170*$X$2</f>
        <v>0</v>
      </c>
      <c r="Y170" s="90"/>
      <c r="Z170" s="90">
        <f>W170-X170-Y170</f>
        <v>0</v>
      </c>
      <c r="AA170"/>
      <c r="AB170" s="83"/>
      <c r="AC170" s="83"/>
      <c r="AD170" s="83"/>
    </row>
    <row r="171" spans="1:30" s="86" customFormat="1" ht="12.75" customHeight="1">
      <c r="A171" s="73"/>
      <c r="B171" s="102" t="str">
        <f>H4</f>
        <v>200-1010-04</v>
      </c>
      <c r="C171" s="93"/>
      <c r="D171" s="112"/>
      <c r="E171" s="82"/>
      <c r="F171" s="82"/>
      <c r="G171" s="82"/>
      <c r="H171" s="82"/>
      <c r="I171" s="82"/>
      <c r="J171" s="82">
        <f>J165</f>
        <v>50000</v>
      </c>
      <c r="K171" s="82">
        <f>K165</f>
        <v>110000</v>
      </c>
      <c r="L171" s="82">
        <f>L165</f>
        <v>34000</v>
      </c>
      <c r="M171" s="90">
        <f>SUM(H171:L171)</f>
        <v>194000</v>
      </c>
      <c r="N171" s="82">
        <f>M171*$C$2</f>
        <v>97000</v>
      </c>
      <c r="O171" s="82"/>
      <c r="P171" s="90">
        <f>M171-N171-O171</f>
        <v>97000</v>
      </c>
      <c r="Q171" s="83"/>
      <c r="R171" s="82"/>
      <c r="S171" s="90">
        <f>R171*$S$2</f>
        <v>0</v>
      </c>
      <c r="T171" s="90"/>
      <c r="U171" s="90">
        <f>R171-S171-T171</f>
        <v>0</v>
      </c>
      <c r="V171" s="83"/>
      <c r="W171" s="90"/>
      <c r="X171" s="90">
        <f>W171*$X$2</f>
        <v>0</v>
      </c>
      <c r="Y171" s="90"/>
      <c r="Z171" s="90">
        <f>W171-X171-Y171</f>
        <v>0</v>
      </c>
      <c r="AA171"/>
      <c r="AB171" s="83"/>
      <c r="AC171" s="83"/>
      <c r="AD171" s="83"/>
    </row>
    <row r="172" spans="1:30" s="86" customFormat="1" ht="12.75" customHeight="1">
      <c r="A172" s="73"/>
      <c r="B172" s="102" t="str">
        <f>J3</f>
        <v>200-1010-88</v>
      </c>
      <c r="C172" s="93"/>
      <c r="D172" s="112"/>
      <c r="E172" s="82"/>
      <c r="F172" s="82">
        <f aca="true" t="shared" si="60" ref="F172:L172">F152+F153+F154+F155+F156</f>
        <v>642300</v>
      </c>
      <c r="G172" s="82">
        <f t="shared" si="60"/>
        <v>295458</v>
      </c>
      <c r="H172" s="82">
        <f t="shared" si="60"/>
        <v>937758</v>
      </c>
      <c r="I172" s="82">
        <f t="shared" si="60"/>
        <v>0</v>
      </c>
      <c r="J172" s="82">
        <f t="shared" si="60"/>
        <v>35000</v>
      </c>
      <c r="K172" s="82">
        <f t="shared" si="60"/>
        <v>77000</v>
      </c>
      <c r="L172" s="82">
        <f t="shared" si="60"/>
        <v>23800</v>
      </c>
      <c r="M172" s="90">
        <f>SUM(H172:L172)</f>
        <v>1073558</v>
      </c>
      <c r="N172" s="82">
        <f>M172*$C$2</f>
        <v>536779</v>
      </c>
      <c r="O172" s="82"/>
      <c r="P172" s="90">
        <f>M172-N172-O172</f>
        <v>536779</v>
      </c>
      <c r="Q172" s="83"/>
      <c r="R172" s="82"/>
      <c r="S172" s="90">
        <f>R172*$S$2</f>
        <v>0</v>
      </c>
      <c r="T172" s="90"/>
      <c r="U172" s="90">
        <f>R172-S172-T172</f>
        <v>0</v>
      </c>
      <c r="V172" s="83"/>
      <c r="W172" s="90"/>
      <c r="X172" s="90">
        <f>W172*$X$2</f>
        <v>0</v>
      </c>
      <c r="Y172" s="90"/>
      <c r="Z172" s="90">
        <f>W172-X172-Y172</f>
        <v>0</v>
      </c>
      <c r="AA172"/>
      <c r="AB172" s="83"/>
      <c r="AC172" s="83"/>
      <c r="AD172" s="83"/>
    </row>
    <row r="173" spans="1:30" s="86" customFormat="1" ht="12.75" customHeight="1">
      <c r="A173" s="73"/>
      <c r="B173" s="102" t="str">
        <f>J4</f>
        <v>200-1030-01</v>
      </c>
      <c r="C173" s="93"/>
      <c r="D173" s="112"/>
      <c r="E173" s="82"/>
      <c r="F173" s="82">
        <f>F162+F164+F165</f>
        <v>0</v>
      </c>
      <c r="G173" s="82"/>
      <c r="H173" s="82"/>
      <c r="I173" s="82">
        <f>I162</f>
        <v>2790000</v>
      </c>
      <c r="J173" s="82"/>
      <c r="K173" s="82"/>
      <c r="L173" s="82">
        <f>L164</f>
        <v>3240000</v>
      </c>
      <c r="M173" s="90">
        <f>SUM(H173:L173)</f>
        <v>6030000</v>
      </c>
      <c r="N173" s="82">
        <f>N162+N164</f>
        <v>3015000</v>
      </c>
      <c r="O173" s="82"/>
      <c r="P173" s="90">
        <f>M173-N173-O173</f>
        <v>3015000</v>
      </c>
      <c r="Q173" s="83"/>
      <c r="R173" s="82"/>
      <c r="S173" s="90">
        <f>R173*$S$2</f>
        <v>0</v>
      </c>
      <c r="T173" s="90"/>
      <c r="U173" s="90">
        <f>R173-S173-T173</f>
        <v>0</v>
      </c>
      <c r="V173" s="83"/>
      <c r="W173" s="90"/>
      <c r="X173" s="90">
        <f>W173*$X$2</f>
        <v>0</v>
      </c>
      <c r="Y173" s="90"/>
      <c r="Z173" s="90">
        <f>W173-X173-Y173</f>
        <v>0</v>
      </c>
      <c r="AA173"/>
      <c r="AB173" s="83"/>
      <c r="AC173" s="83"/>
      <c r="AD173" s="83"/>
    </row>
    <row r="174" spans="1:30" s="86" customFormat="1" ht="12.75" customHeight="1">
      <c r="A174" s="73"/>
      <c r="B174" s="83" t="str">
        <f>J5</f>
        <v>200-1030-88</v>
      </c>
      <c r="C174" s="93"/>
      <c r="D174" s="112"/>
      <c r="E174" s="82"/>
      <c r="F174" s="82"/>
      <c r="G174" s="82"/>
      <c r="H174" s="82"/>
      <c r="I174" s="82">
        <f>I163</f>
        <v>677500</v>
      </c>
      <c r="J174" s="82"/>
      <c r="K174" s="82"/>
      <c r="L174" s="82"/>
      <c r="M174" s="90">
        <f>SUM(H174:L174)</f>
        <v>677500</v>
      </c>
      <c r="N174" s="82">
        <f>N163</f>
        <v>169375</v>
      </c>
      <c r="O174" s="82"/>
      <c r="P174" s="82">
        <f>+M174-N174</f>
        <v>508125</v>
      </c>
      <c r="Q174" s="83"/>
      <c r="R174" s="90"/>
      <c r="S174" s="90">
        <f>R174*$S$2</f>
        <v>0</v>
      </c>
      <c r="T174" s="90"/>
      <c r="U174" s="90">
        <f>R174-S174-T174</f>
        <v>0</v>
      </c>
      <c r="V174" s="83"/>
      <c r="W174" s="90"/>
      <c r="X174" s="90">
        <f>W174*$X$2</f>
        <v>0</v>
      </c>
      <c r="Y174" s="90"/>
      <c r="Z174" s="90">
        <f>W174-X174-Y174</f>
        <v>0</v>
      </c>
      <c r="AA174"/>
      <c r="AB174" s="83"/>
      <c r="AC174" s="83"/>
      <c r="AD174" s="83"/>
    </row>
    <row r="175" spans="1:30" s="86" customFormat="1" ht="12.75" customHeight="1" thickBot="1">
      <c r="A175" s="73"/>
      <c r="B175" s="111"/>
      <c r="C175" s="93"/>
      <c r="D175" s="112"/>
      <c r="E175" s="82"/>
      <c r="F175" s="126">
        <f aca="true" t="shared" si="61" ref="F175:P175">SUM(F170:F174)</f>
        <v>757600</v>
      </c>
      <c r="G175" s="126">
        <f t="shared" si="61"/>
        <v>348496</v>
      </c>
      <c r="H175" s="126">
        <f t="shared" si="61"/>
        <v>1106096</v>
      </c>
      <c r="I175" s="126">
        <f t="shared" si="61"/>
        <v>3467500</v>
      </c>
      <c r="J175" s="126">
        <f t="shared" si="61"/>
        <v>90000</v>
      </c>
      <c r="K175" s="126">
        <f t="shared" si="61"/>
        <v>198000</v>
      </c>
      <c r="L175" s="126">
        <f t="shared" si="61"/>
        <v>3301200</v>
      </c>
      <c r="M175" s="126">
        <f t="shared" si="61"/>
        <v>8162796</v>
      </c>
      <c r="N175" s="126">
        <f t="shared" si="61"/>
        <v>3912023</v>
      </c>
      <c r="O175" s="126">
        <f t="shared" si="61"/>
        <v>0</v>
      </c>
      <c r="P175" s="126">
        <f t="shared" si="61"/>
        <v>4250773</v>
      </c>
      <c r="Q175" s="83"/>
      <c r="R175" s="126">
        <f>SUM(R170:R174)</f>
        <v>0</v>
      </c>
      <c r="S175" s="126">
        <f>SUM(S170:S174)</f>
        <v>0</v>
      </c>
      <c r="T175" s="126">
        <f>SUM(T170:T174)</f>
        <v>0</v>
      </c>
      <c r="U175" s="126">
        <f>SUM(U170:U174)</f>
        <v>0</v>
      </c>
      <c r="V175" s="83"/>
      <c r="W175" s="126">
        <f>SUM(W170:W174)</f>
        <v>0</v>
      </c>
      <c r="X175" s="126">
        <f>SUM(X170:X174)</f>
        <v>0</v>
      </c>
      <c r="Y175" s="126">
        <f>SUM(Y170:Y174)</f>
        <v>0</v>
      </c>
      <c r="Z175" s="126">
        <f>SUM(Z170:Z174)</f>
        <v>0</v>
      </c>
      <c r="AA175"/>
      <c r="AB175" s="83"/>
      <c r="AC175" s="83"/>
      <c r="AD175" s="83"/>
    </row>
    <row r="176" spans="1:30" s="86" customFormat="1" ht="12.75" customHeight="1" thickTop="1">
      <c r="A176" s="73"/>
      <c r="B176" s="111"/>
      <c r="C176" s="93"/>
      <c r="D176" s="112"/>
      <c r="E176" s="82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83"/>
      <c r="R176" s="90"/>
      <c r="S176" s="90"/>
      <c r="T176" s="90"/>
      <c r="U176" s="90"/>
      <c r="V176" s="83"/>
      <c r="W176" s="90"/>
      <c r="X176" s="90"/>
      <c r="Y176" s="90"/>
      <c r="Z176" s="90"/>
      <c r="AA176"/>
      <c r="AB176" s="83"/>
      <c r="AC176" s="83"/>
      <c r="AD176" s="83"/>
    </row>
    <row r="177" spans="1:30" s="86" customFormat="1" ht="12.75" customHeight="1" thickBot="1">
      <c r="A177" s="117">
        <v>8</v>
      </c>
      <c r="B177" s="118" t="s">
        <v>121</v>
      </c>
      <c r="C177" s="93"/>
      <c r="D177" s="11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3"/>
      <c r="R177" s="82"/>
      <c r="S177" s="82"/>
      <c r="T177" s="82"/>
      <c r="U177" s="82"/>
      <c r="V177" s="83"/>
      <c r="W177" s="82"/>
      <c r="X177" s="82"/>
      <c r="Y177" s="82"/>
      <c r="Z177" s="82"/>
      <c r="AA177"/>
      <c r="AB177" s="83"/>
      <c r="AC177" s="83"/>
      <c r="AD177" s="83"/>
    </row>
    <row r="178" spans="1:30" s="86" customFormat="1" ht="12.75" customHeight="1">
      <c r="A178" s="93">
        <v>537</v>
      </c>
      <c r="B178" s="121" t="s">
        <v>77</v>
      </c>
      <c r="C178" s="93"/>
      <c r="D178" s="109" t="s">
        <v>71</v>
      </c>
      <c r="E178" s="97" t="s">
        <v>72</v>
      </c>
      <c r="F178" s="97" t="s">
        <v>72</v>
      </c>
      <c r="G178" s="97" t="s">
        <v>73</v>
      </c>
      <c r="H178" s="97" t="s">
        <v>1</v>
      </c>
      <c r="I178" s="97" t="s">
        <v>74</v>
      </c>
      <c r="J178" s="97" t="s">
        <v>66</v>
      </c>
      <c r="K178" s="97" t="s">
        <v>59</v>
      </c>
      <c r="L178" s="97" t="s">
        <v>18</v>
      </c>
      <c r="M178" s="97" t="s">
        <v>1</v>
      </c>
      <c r="N178" s="97" t="s">
        <v>7</v>
      </c>
      <c r="O178" s="97" t="s">
        <v>75</v>
      </c>
      <c r="P178" s="97" t="s">
        <v>76</v>
      </c>
      <c r="Q178" s="108"/>
      <c r="R178" s="97" t="s">
        <v>1</v>
      </c>
      <c r="S178" s="97" t="s">
        <v>7</v>
      </c>
      <c r="T178" s="97" t="s">
        <v>75</v>
      </c>
      <c r="U178" s="97" t="s">
        <v>76</v>
      </c>
      <c r="V178" s="83"/>
      <c r="W178" s="97" t="s">
        <v>1</v>
      </c>
      <c r="X178" s="97" t="s">
        <v>7</v>
      </c>
      <c r="Y178" s="97" t="s">
        <v>75</v>
      </c>
      <c r="Z178" s="97" t="s">
        <v>76</v>
      </c>
      <c r="AA178"/>
      <c r="AB178" s="83"/>
      <c r="AC178" s="83"/>
      <c r="AD178" s="83"/>
    </row>
    <row r="179" spans="1:30" s="86" customFormat="1" ht="12.75" customHeight="1">
      <c r="A179" s="73"/>
      <c r="B179" s="102" t="s">
        <v>122</v>
      </c>
      <c r="C179" s="93">
        <v>3261</v>
      </c>
      <c r="D179" s="131">
        <v>2</v>
      </c>
      <c r="E179" s="94">
        <v>57450</v>
      </c>
      <c r="F179" s="90">
        <f aca="true" t="shared" si="62" ref="F179:F184">E179*D179</f>
        <v>114900</v>
      </c>
      <c r="G179" s="94">
        <f aca="true" t="shared" si="63" ref="G179:G184">+F179*$C$4</f>
        <v>52854</v>
      </c>
      <c r="H179" s="90">
        <f aca="true" t="shared" si="64" ref="H179:H184">+G179+F179</f>
        <v>167754</v>
      </c>
      <c r="I179" s="94"/>
      <c r="J179" s="94">
        <f aca="true" t="shared" si="65" ref="J179:J184">D179*$C$7</f>
        <v>5000</v>
      </c>
      <c r="K179" s="94">
        <f aca="true" t="shared" si="66" ref="K179:K184">D179*$C$5</f>
        <v>11000</v>
      </c>
      <c r="L179" s="94">
        <f aca="true" t="shared" si="67" ref="L179:L184">D179*$C$6</f>
        <v>3400</v>
      </c>
      <c r="M179" s="90">
        <f aca="true" t="shared" si="68" ref="M179:M184">SUM(H179:L179)</f>
        <v>187154</v>
      </c>
      <c r="N179" s="94">
        <f aca="true" t="shared" si="69" ref="N179:N184">M179*$C$2</f>
        <v>93577</v>
      </c>
      <c r="O179" s="90"/>
      <c r="P179" s="90">
        <f aca="true" t="shared" si="70" ref="P179:P184">M179-N179-O179</f>
        <v>93577</v>
      </c>
      <c r="Q179" s="83"/>
      <c r="R179" s="90"/>
      <c r="S179" s="90"/>
      <c r="T179" s="90"/>
      <c r="U179" s="90">
        <f aca="true" t="shared" si="71" ref="U179:U184">R179-S179-T179</f>
        <v>0</v>
      </c>
      <c r="V179" s="83"/>
      <c r="W179" s="90"/>
      <c r="X179" s="90">
        <f>W179*$X$2</f>
        <v>0</v>
      </c>
      <c r="Y179" s="90"/>
      <c r="Z179" s="90">
        <f aca="true" t="shared" si="72" ref="Z179:Z184">W179-X179-Y179</f>
        <v>0</v>
      </c>
      <c r="AA179"/>
      <c r="AB179" s="83"/>
      <c r="AC179" s="83"/>
      <c r="AD179" s="83"/>
    </row>
    <row r="180" spans="1:30" s="86" customFormat="1" ht="12.75" customHeight="1">
      <c r="A180" s="73"/>
      <c r="B180" s="102" t="s">
        <v>123</v>
      </c>
      <c r="C180" s="93">
        <v>9590</v>
      </c>
      <c r="D180" s="131">
        <v>10</v>
      </c>
      <c r="E180" s="94">
        <v>51250</v>
      </c>
      <c r="F180" s="90">
        <f t="shared" si="62"/>
        <v>512500</v>
      </c>
      <c r="G180" s="94">
        <f t="shared" si="63"/>
        <v>235750</v>
      </c>
      <c r="H180" s="90">
        <f t="shared" si="64"/>
        <v>748250</v>
      </c>
      <c r="I180" s="94"/>
      <c r="J180" s="94">
        <f t="shared" si="65"/>
        <v>25000</v>
      </c>
      <c r="K180" s="94">
        <f t="shared" si="66"/>
        <v>55000</v>
      </c>
      <c r="L180" s="94">
        <f t="shared" si="67"/>
        <v>17000</v>
      </c>
      <c r="M180" s="90">
        <f t="shared" si="68"/>
        <v>845250</v>
      </c>
      <c r="N180" s="94">
        <f t="shared" si="69"/>
        <v>422625</v>
      </c>
      <c r="O180" s="90"/>
      <c r="P180" s="90">
        <f t="shared" si="70"/>
        <v>422625</v>
      </c>
      <c r="Q180" s="83"/>
      <c r="R180" s="90"/>
      <c r="S180" s="90"/>
      <c r="T180" s="90"/>
      <c r="U180" s="90">
        <f t="shared" si="71"/>
        <v>0</v>
      </c>
      <c r="V180" s="83"/>
      <c r="W180" s="90"/>
      <c r="X180" s="90">
        <f>W180*$X$2</f>
        <v>0</v>
      </c>
      <c r="Y180" s="90"/>
      <c r="Z180" s="90">
        <f t="shared" si="72"/>
        <v>0</v>
      </c>
      <c r="AA180"/>
      <c r="AB180" s="83"/>
      <c r="AC180" s="83"/>
      <c r="AD180" s="83"/>
    </row>
    <row r="181" spans="1:30" s="86" customFormat="1" ht="12.75" customHeight="1">
      <c r="A181" s="73"/>
      <c r="B181" s="102" t="s">
        <v>124</v>
      </c>
      <c r="C181" s="93">
        <v>2438</v>
      </c>
      <c r="D181" s="131">
        <v>2</v>
      </c>
      <c r="E181" s="94">
        <v>40050</v>
      </c>
      <c r="F181" s="90">
        <f t="shared" si="62"/>
        <v>80100</v>
      </c>
      <c r="G181" s="94">
        <f t="shared" si="63"/>
        <v>36846</v>
      </c>
      <c r="H181" s="90">
        <f t="shared" si="64"/>
        <v>116946</v>
      </c>
      <c r="I181" s="94"/>
      <c r="J181" s="94">
        <f t="shared" si="65"/>
        <v>5000</v>
      </c>
      <c r="K181" s="94">
        <f t="shared" si="66"/>
        <v>11000</v>
      </c>
      <c r="L181" s="94">
        <f t="shared" si="67"/>
        <v>3400</v>
      </c>
      <c r="M181" s="90">
        <f t="shared" si="68"/>
        <v>136346</v>
      </c>
      <c r="N181" s="94">
        <f t="shared" si="69"/>
        <v>68173</v>
      </c>
      <c r="O181" s="90"/>
      <c r="P181" s="90">
        <f t="shared" si="70"/>
        <v>68173</v>
      </c>
      <c r="Q181" s="83"/>
      <c r="R181" s="90"/>
      <c r="S181" s="90"/>
      <c r="T181" s="90"/>
      <c r="U181" s="90">
        <f t="shared" si="71"/>
        <v>0</v>
      </c>
      <c r="V181" s="83"/>
      <c r="W181" s="90"/>
      <c r="X181" s="90">
        <f>W181*$X$2</f>
        <v>0</v>
      </c>
      <c r="Y181" s="90"/>
      <c r="Z181" s="90">
        <f t="shared" si="72"/>
        <v>0</v>
      </c>
      <c r="AA181"/>
      <c r="AB181" s="83"/>
      <c r="AC181" s="83"/>
      <c r="AD181" s="83"/>
    </row>
    <row r="182" spans="1:30" s="86" customFormat="1" ht="12.75" customHeight="1">
      <c r="A182" s="73"/>
      <c r="B182" s="102" t="s">
        <v>125</v>
      </c>
      <c r="C182" s="93">
        <v>2438</v>
      </c>
      <c r="D182" s="131">
        <v>1</v>
      </c>
      <c r="E182" s="94">
        <v>40050</v>
      </c>
      <c r="F182" s="90">
        <f t="shared" si="62"/>
        <v>40050</v>
      </c>
      <c r="G182" s="94">
        <f t="shared" si="63"/>
        <v>18423</v>
      </c>
      <c r="H182" s="90">
        <f t="shared" si="64"/>
        <v>58473</v>
      </c>
      <c r="I182" s="94"/>
      <c r="J182" s="94">
        <f t="shared" si="65"/>
        <v>2500</v>
      </c>
      <c r="K182" s="94">
        <f t="shared" si="66"/>
        <v>5500</v>
      </c>
      <c r="L182" s="94">
        <f t="shared" si="67"/>
        <v>1700</v>
      </c>
      <c r="M182" s="90">
        <f t="shared" si="68"/>
        <v>68173</v>
      </c>
      <c r="N182" s="94">
        <f t="shared" si="69"/>
        <v>34086.5</v>
      </c>
      <c r="O182" s="90"/>
      <c r="P182" s="90">
        <f t="shared" si="70"/>
        <v>34086.5</v>
      </c>
      <c r="Q182" s="83"/>
      <c r="R182" s="90"/>
      <c r="S182" s="90"/>
      <c r="T182" s="90"/>
      <c r="U182" s="90">
        <f t="shared" si="71"/>
        <v>0</v>
      </c>
      <c r="V182" s="83"/>
      <c r="W182" s="90"/>
      <c r="X182" s="90">
        <f>W182*$X$2</f>
        <v>0</v>
      </c>
      <c r="Y182" s="90"/>
      <c r="Z182" s="90">
        <f t="shared" si="72"/>
        <v>0</v>
      </c>
      <c r="AA182"/>
      <c r="AB182" s="83"/>
      <c r="AC182" s="83"/>
      <c r="AD182" s="83"/>
    </row>
    <row r="183" spans="1:30" s="86" customFormat="1" ht="12.75" customHeight="1">
      <c r="A183" s="73"/>
      <c r="B183" s="102" t="s">
        <v>126</v>
      </c>
      <c r="C183" s="93">
        <v>4500</v>
      </c>
      <c r="D183" s="131">
        <v>2</v>
      </c>
      <c r="E183" s="94">
        <v>35700</v>
      </c>
      <c r="F183" s="90">
        <f t="shared" si="62"/>
        <v>71400</v>
      </c>
      <c r="G183" s="94">
        <f t="shared" si="63"/>
        <v>32844</v>
      </c>
      <c r="H183" s="90">
        <f t="shared" si="64"/>
        <v>104244</v>
      </c>
      <c r="I183" s="94"/>
      <c r="J183" s="94">
        <f t="shared" si="65"/>
        <v>5000</v>
      </c>
      <c r="K183" s="94">
        <f t="shared" si="66"/>
        <v>11000</v>
      </c>
      <c r="L183" s="94">
        <f t="shared" si="67"/>
        <v>3400</v>
      </c>
      <c r="M183" s="90">
        <f t="shared" si="68"/>
        <v>123644</v>
      </c>
      <c r="N183" s="94">
        <f t="shared" si="69"/>
        <v>61822</v>
      </c>
      <c r="O183" s="90"/>
      <c r="P183" s="90">
        <f t="shared" si="70"/>
        <v>61822</v>
      </c>
      <c r="Q183" s="83"/>
      <c r="R183" s="90"/>
      <c r="S183" s="90"/>
      <c r="T183" s="90"/>
      <c r="U183" s="90">
        <f t="shared" si="71"/>
        <v>0</v>
      </c>
      <c r="V183" s="83"/>
      <c r="W183" s="90"/>
      <c r="X183" s="90">
        <f>W183*$X$2</f>
        <v>0</v>
      </c>
      <c r="Y183" s="90"/>
      <c r="Z183" s="90">
        <f t="shared" si="72"/>
        <v>0</v>
      </c>
      <c r="AA183"/>
      <c r="AB183" s="83"/>
      <c r="AC183" s="83"/>
      <c r="AD183" s="83"/>
    </row>
    <row r="184" spans="1:30" s="86" customFormat="1" ht="12.75" customHeight="1" thickBot="1">
      <c r="A184" s="73"/>
      <c r="B184" s="102"/>
      <c r="C184" s="93"/>
      <c r="D184" s="112"/>
      <c r="E184" s="82"/>
      <c r="F184" s="123">
        <f t="shared" si="62"/>
        <v>0</v>
      </c>
      <c r="G184" s="143">
        <f t="shared" si="63"/>
        <v>0</v>
      </c>
      <c r="H184" s="123">
        <f t="shared" si="64"/>
        <v>0</v>
      </c>
      <c r="I184" s="143"/>
      <c r="J184" s="143">
        <f t="shared" si="65"/>
        <v>0</v>
      </c>
      <c r="K184" s="143">
        <f t="shared" si="66"/>
        <v>0</v>
      </c>
      <c r="L184" s="143">
        <f t="shared" si="67"/>
        <v>0</v>
      </c>
      <c r="M184" s="123">
        <f t="shared" si="68"/>
        <v>0</v>
      </c>
      <c r="N184" s="143">
        <f t="shared" si="69"/>
        <v>0</v>
      </c>
      <c r="O184" s="123"/>
      <c r="P184" s="123">
        <f t="shared" si="70"/>
        <v>0</v>
      </c>
      <c r="Q184" s="138"/>
      <c r="R184" s="123"/>
      <c r="S184" s="123"/>
      <c r="T184" s="123"/>
      <c r="U184" s="123">
        <f t="shared" si="71"/>
        <v>0</v>
      </c>
      <c r="V184" s="83"/>
      <c r="W184" s="123"/>
      <c r="X184" s="123"/>
      <c r="Y184" s="123"/>
      <c r="Z184" s="123">
        <f t="shared" si="72"/>
        <v>0</v>
      </c>
      <c r="AA184"/>
      <c r="AB184" s="83"/>
      <c r="AC184" s="83"/>
      <c r="AD184" s="83"/>
    </row>
    <row r="185" spans="1:30" s="86" customFormat="1" ht="12.75" customHeight="1">
      <c r="A185" s="73"/>
      <c r="B185" s="102"/>
      <c r="C185" s="93"/>
      <c r="D185" s="112"/>
      <c r="E185" s="82"/>
      <c r="F185" s="82">
        <f aca="true" t="shared" si="73" ref="F185:P185">SUM(F179:F184)</f>
        <v>818950</v>
      </c>
      <c r="G185" s="82">
        <f t="shared" si="73"/>
        <v>376717</v>
      </c>
      <c r="H185" s="82">
        <f t="shared" si="73"/>
        <v>1195667</v>
      </c>
      <c r="I185" s="82">
        <f t="shared" si="73"/>
        <v>0</v>
      </c>
      <c r="J185" s="82">
        <f t="shared" si="73"/>
        <v>42500</v>
      </c>
      <c r="K185" s="82">
        <f t="shared" si="73"/>
        <v>93500</v>
      </c>
      <c r="L185" s="82">
        <f t="shared" si="73"/>
        <v>28900</v>
      </c>
      <c r="M185" s="82">
        <f t="shared" si="73"/>
        <v>1360567</v>
      </c>
      <c r="N185" s="82">
        <f t="shared" si="73"/>
        <v>680283.5</v>
      </c>
      <c r="O185" s="82">
        <f t="shared" si="73"/>
        <v>0</v>
      </c>
      <c r="P185" s="82">
        <f t="shared" si="73"/>
        <v>680283.5</v>
      </c>
      <c r="Q185" s="83"/>
      <c r="R185" s="82">
        <f>SUM(R179:R184)</f>
        <v>0</v>
      </c>
      <c r="S185" s="82">
        <f>SUM(S179:S184)</f>
        <v>0</v>
      </c>
      <c r="T185" s="82">
        <f>SUM(T179:T184)</f>
        <v>0</v>
      </c>
      <c r="U185" s="82">
        <f>SUM(U179:U184)</f>
        <v>0</v>
      </c>
      <c r="V185" s="83"/>
      <c r="W185" s="82">
        <f>SUM(W179:W184)</f>
        <v>0</v>
      </c>
      <c r="X185" s="82">
        <f>SUM(X179:X184)</f>
        <v>0</v>
      </c>
      <c r="Y185" s="82">
        <f>SUM(Y179:Y184)</f>
        <v>0</v>
      </c>
      <c r="Z185" s="82">
        <f>SUM(Z179:Z184)</f>
        <v>0</v>
      </c>
      <c r="AA185"/>
      <c r="AB185" s="83"/>
      <c r="AC185" s="83"/>
      <c r="AD185" s="83"/>
    </row>
    <row r="186" spans="1:30" s="86" customFormat="1" ht="12.75" customHeight="1">
      <c r="A186" s="73"/>
      <c r="B186" s="120"/>
      <c r="C186" s="93"/>
      <c r="D186" s="11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3"/>
      <c r="R186" s="82"/>
      <c r="S186" s="82"/>
      <c r="T186" s="82"/>
      <c r="U186" s="82"/>
      <c r="V186" s="83"/>
      <c r="W186" s="82"/>
      <c r="X186" s="82"/>
      <c r="Y186" s="82"/>
      <c r="Z186" s="82"/>
      <c r="AA186"/>
      <c r="AB186" s="83"/>
      <c r="AC186" s="83"/>
      <c r="AD186" s="83"/>
    </row>
    <row r="187" spans="1:30" s="86" customFormat="1" ht="12.75" customHeight="1">
      <c r="A187" s="73"/>
      <c r="B187" s="83" t="s">
        <v>127</v>
      </c>
      <c r="C187" s="93"/>
      <c r="D187" s="112"/>
      <c r="E187" s="82"/>
      <c r="F187" s="82"/>
      <c r="G187" s="82"/>
      <c r="H187" s="82"/>
      <c r="I187" s="82"/>
      <c r="J187" s="82"/>
      <c r="K187" s="82"/>
      <c r="L187" s="82">
        <f>(16238038-4000000)+(4000000-M185)</f>
        <v>14877471</v>
      </c>
      <c r="M187" s="90">
        <f>SUM(H187:L187)</f>
        <v>14877471</v>
      </c>
      <c r="N187" s="82">
        <f>(12238031*C1)+((4000000-M185)*C2)+2</f>
        <v>5627811.362774999</v>
      </c>
      <c r="O187" s="82"/>
      <c r="P187" s="82">
        <f>+M187-N187-O187</f>
        <v>9249659.637225002</v>
      </c>
      <c r="Q187" s="83"/>
      <c r="R187" s="90"/>
      <c r="S187" s="90">
        <f>R187*$S$1</f>
        <v>0</v>
      </c>
      <c r="T187" s="90"/>
      <c r="U187" s="90">
        <f>R187-S187-T187</f>
        <v>0</v>
      </c>
      <c r="V187" s="83"/>
      <c r="W187" s="90"/>
      <c r="X187" s="90">
        <f>W187*$X$1</f>
        <v>0</v>
      </c>
      <c r="Y187" s="90"/>
      <c r="Z187" s="90">
        <f>W187-X187-Y187</f>
        <v>0</v>
      </c>
      <c r="AA187"/>
      <c r="AB187" s="83"/>
      <c r="AC187" s="83"/>
      <c r="AD187" s="83"/>
    </row>
    <row r="188" spans="1:30" s="86" customFormat="1" ht="12.75" customHeight="1">
      <c r="A188" s="73"/>
      <c r="B188" s="120"/>
      <c r="C188" s="93"/>
      <c r="D188" s="11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3"/>
      <c r="R188" s="82"/>
      <c r="S188" s="82"/>
      <c r="T188" s="82"/>
      <c r="U188" s="82"/>
      <c r="V188" s="83"/>
      <c r="W188" s="82"/>
      <c r="X188" s="82"/>
      <c r="Y188" s="82"/>
      <c r="Z188" s="82"/>
      <c r="AA188"/>
      <c r="AB188" s="83"/>
      <c r="AC188" s="83"/>
      <c r="AD188" s="83"/>
    </row>
    <row r="189" spans="1:30" s="86" customFormat="1" ht="12.75" customHeight="1" thickBot="1">
      <c r="A189" s="73"/>
      <c r="B189" s="111" t="s">
        <v>79</v>
      </c>
      <c r="C189" s="93"/>
      <c r="D189" s="112"/>
      <c r="E189" s="82"/>
      <c r="F189" s="126">
        <f aca="true" t="shared" si="74" ref="F189:N189">SUM(F185:F188)</f>
        <v>818950</v>
      </c>
      <c r="G189" s="126">
        <f t="shared" si="74"/>
        <v>376717</v>
      </c>
      <c r="H189" s="126">
        <f t="shared" si="74"/>
        <v>1195667</v>
      </c>
      <c r="I189" s="126">
        <f t="shared" si="74"/>
        <v>0</v>
      </c>
      <c r="J189" s="126">
        <f t="shared" si="74"/>
        <v>42500</v>
      </c>
      <c r="K189" s="126">
        <f t="shared" si="74"/>
        <v>93500</v>
      </c>
      <c r="L189" s="126">
        <f t="shared" si="74"/>
        <v>14906371</v>
      </c>
      <c r="M189" s="126">
        <f t="shared" si="74"/>
        <v>16238038</v>
      </c>
      <c r="N189" s="126">
        <f t="shared" si="74"/>
        <v>6308094.862774999</v>
      </c>
      <c r="O189" s="126"/>
      <c r="P189" s="126">
        <f>SUM(P185:P188)</f>
        <v>9929943.137225002</v>
      </c>
      <c r="Q189" s="83"/>
      <c r="R189" s="126">
        <f>SUM(R185:R188)</f>
        <v>0</v>
      </c>
      <c r="S189" s="126">
        <f>SUM(S185:S188)</f>
        <v>0</v>
      </c>
      <c r="T189" s="126">
        <f>SUM(T185:T188)</f>
        <v>0</v>
      </c>
      <c r="U189" s="126">
        <f>SUM(U185:U188)</f>
        <v>0</v>
      </c>
      <c r="V189" s="83"/>
      <c r="W189" s="126">
        <f>SUM(W185:W188)</f>
        <v>0</v>
      </c>
      <c r="X189" s="126">
        <f>SUM(X185:X188)</f>
        <v>0</v>
      </c>
      <c r="Y189" s="126">
        <f>SUM(Y185:Y188)</f>
        <v>0</v>
      </c>
      <c r="Z189" s="126">
        <f>SUM(Z185:Z188)</f>
        <v>0</v>
      </c>
      <c r="AA189"/>
      <c r="AB189" s="83"/>
      <c r="AC189" s="83"/>
      <c r="AD189" s="83"/>
    </row>
    <row r="190" spans="1:30" s="86" customFormat="1" ht="12.75" customHeight="1" thickTop="1">
      <c r="A190" s="73"/>
      <c r="B190" s="120"/>
      <c r="C190" s="93"/>
      <c r="D190" s="11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3"/>
      <c r="R190" s="82"/>
      <c r="S190" s="82"/>
      <c r="T190" s="82"/>
      <c r="U190" s="82"/>
      <c r="V190" s="83"/>
      <c r="W190" s="82"/>
      <c r="X190" s="82"/>
      <c r="Y190" s="82"/>
      <c r="Z190" s="82"/>
      <c r="AA190"/>
      <c r="AB190" s="83"/>
      <c r="AC190" s="83"/>
      <c r="AD190" s="83"/>
    </row>
    <row r="191" spans="1:30" s="86" customFormat="1" ht="12.75" customHeight="1">
      <c r="A191" s="73"/>
      <c r="B191" s="128" t="s">
        <v>80</v>
      </c>
      <c r="C191" s="93"/>
      <c r="D191" s="11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3"/>
      <c r="R191" s="82"/>
      <c r="S191" s="82"/>
      <c r="T191" s="82"/>
      <c r="U191" s="82"/>
      <c r="V191" s="83"/>
      <c r="W191" s="82"/>
      <c r="X191" s="82"/>
      <c r="Y191" s="82"/>
      <c r="Z191" s="82"/>
      <c r="AA191"/>
      <c r="AB191" s="83"/>
      <c r="AC191" s="83"/>
      <c r="AD191" s="83"/>
    </row>
    <row r="192" spans="1:30" s="86" customFormat="1" ht="12.75" customHeight="1">
      <c r="A192" s="73"/>
      <c r="B192" s="102" t="str">
        <f>J1</f>
        <v>200-1010-15</v>
      </c>
      <c r="C192" s="93"/>
      <c r="D192" s="112"/>
      <c r="E192" s="82"/>
      <c r="F192" s="82">
        <f aca="true" t="shared" si="75" ref="F192:K192">F189</f>
        <v>818950</v>
      </c>
      <c r="G192" s="82">
        <f t="shared" si="75"/>
        <v>376717</v>
      </c>
      <c r="H192" s="82">
        <f t="shared" si="75"/>
        <v>1195667</v>
      </c>
      <c r="I192" s="82">
        <f t="shared" si="75"/>
        <v>0</v>
      </c>
      <c r="J192" s="82">
        <f t="shared" si="75"/>
        <v>42500</v>
      </c>
      <c r="K192" s="82">
        <f t="shared" si="75"/>
        <v>93500</v>
      </c>
      <c r="L192" s="82">
        <f>+L185</f>
        <v>28900</v>
      </c>
      <c r="M192" s="90">
        <f>SUM(H192:L192)</f>
        <v>1360567</v>
      </c>
      <c r="N192" s="82">
        <f>M192*C2</f>
        <v>680283.5</v>
      </c>
      <c r="O192" s="82"/>
      <c r="P192" s="82">
        <f>M192-N192-O192</f>
        <v>680283.5</v>
      </c>
      <c r="Q192" s="83"/>
      <c r="R192" s="82"/>
      <c r="S192" s="82"/>
      <c r="T192" s="82"/>
      <c r="U192" s="82">
        <f>+R192-S192-T192</f>
        <v>0</v>
      </c>
      <c r="V192" s="83"/>
      <c r="W192" s="82"/>
      <c r="X192" s="90">
        <f>W192*$X$2</f>
        <v>0</v>
      </c>
      <c r="Y192" s="90"/>
      <c r="Z192" s="90">
        <f>W192-X192-Y192</f>
        <v>0</v>
      </c>
      <c r="AA192"/>
      <c r="AB192" s="83"/>
      <c r="AC192" s="83"/>
      <c r="AD192" s="83"/>
    </row>
    <row r="193" spans="1:30" s="86" customFormat="1" ht="12.75" customHeight="1">
      <c r="A193" s="73"/>
      <c r="B193" s="102" t="str">
        <f>+J4</f>
        <v>200-1030-01</v>
      </c>
      <c r="C193" s="93"/>
      <c r="D193" s="112"/>
      <c r="E193" s="82"/>
      <c r="F193" s="82"/>
      <c r="G193" s="82"/>
      <c r="H193" s="82"/>
      <c r="I193" s="82"/>
      <c r="J193" s="82"/>
      <c r="K193" s="82"/>
      <c r="L193" s="82">
        <f>4000000-M185</f>
        <v>2639433</v>
      </c>
      <c r="M193" s="90">
        <f>SUM(H193:L193)</f>
        <v>2639433</v>
      </c>
      <c r="N193" s="82">
        <f>+M193*0.5</f>
        <v>1319716.5</v>
      </c>
      <c r="O193" s="82"/>
      <c r="P193" s="82">
        <f>M193-N193-O193</f>
        <v>1319716.5</v>
      </c>
      <c r="Q193" s="83"/>
      <c r="R193" s="82"/>
      <c r="S193" s="82"/>
      <c r="T193" s="82"/>
      <c r="U193" s="82"/>
      <c r="V193" s="83"/>
      <c r="W193" s="82"/>
      <c r="X193" s="90">
        <f>W193*$X$2</f>
        <v>0</v>
      </c>
      <c r="Y193" s="90"/>
      <c r="Z193" s="90">
        <f>W193-X193-Y193</f>
        <v>0</v>
      </c>
      <c r="AA193"/>
      <c r="AB193" s="83"/>
      <c r="AC193" s="83"/>
      <c r="AD193" s="83"/>
    </row>
    <row r="194" spans="1:30" s="86" customFormat="1" ht="12.75" customHeight="1">
      <c r="A194" s="73"/>
      <c r="B194" s="83" t="str">
        <f>K5</f>
        <v>340-1020-01</v>
      </c>
      <c r="C194" s="93"/>
      <c r="D194" s="112"/>
      <c r="E194" s="82"/>
      <c r="F194" s="82"/>
      <c r="G194" s="82"/>
      <c r="H194" s="82"/>
      <c r="I194" s="82"/>
      <c r="J194" s="82">
        <f>+J187</f>
        <v>0</v>
      </c>
      <c r="K194" s="82"/>
      <c r="L194" s="82">
        <v>12238038</v>
      </c>
      <c r="M194" s="90">
        <f>SUM(H194:L194)</f>
        <v>12238038</v>
      </c>
      <c r="N194" s="82">
        <f>M194*C1</f>
        <v>4308095.326949999</v>
      </c>
      <c r="O194" s="82"/>
      <c r="P194" s="82">
        <f>+M194-N194-O194</f>
        <v>7929942.673050001</v>
      </c>
      <c r="Q194" s="83"/>
      <c r="R194" s="90"/>
      <c r="S194" s="90">
        <f>R194*$S$1</f>
        <v>0</v>
      </c>
      <c r="T194" s="90"/>
      <c r="U194" s="90">
        <f>R194-S194-T194</f>
        <v>0</v>
      </c>
      <c r="V194" s="83"/>
      <c r="W194" s="90"/>
      <c r="X194" s="90">
        <f>W194*$X$1</f>
        <v>0</v>
      </c>
      <c r="Y194" s="90"/>
      <c r="Z194" s="90">
        <f>W194-X194-Y194</f>
        <v>0</v>
      </c>
      <c r="AA194"/>
      <c r="AB194" s="83"/>
      <c r="AC194" s="83"/>
      <c r="AD194" s="83"/>
    </row>
    <row r="195" spans="1:30" s="86" customFormat="1" ht="12.75" customHeight="1" thickBot="1">
      <c r="A195" s="73"/>
      <c r="B195" s="111"/>
      <c r="C195" s="93"/>
      <c r="D195" s="112"/>
      <c r="E195" s="82"/>
      <c r="F195" s="126">
        <f aca="true" t="shared" si="76" ref="F195:P195">SUM(F192:F194)</f>
        <v>818950</v>
      </c>
      <c r="G195" s="126">
        <f t="shared" si="76"/>
        <v>376717</v>
      </c>
      <c r="H195" s="126">
        <f t="shared" si="76"/>
        <v>1195667</v>
      </c>
      <c r="I195" s="126">
        <f t="shared" si="76"/>
        <v>0</v>
      </c>
      <c r="J195" s="126">
        <f t="shared" si="76"/>
        <v>42500</v>
      </c>
      <c r="K195" s="126">
        <f t="shared" si="76"/>
        <v>93500</v>
      </c>
      <c r="L195" s="126">
        <f t="shared" si="76"/>
        <v>14906371</v>
      </c>
      <c r="M195" s="126">
        <f t="shared" si="76"/>
        <v>16238038</v>
      </c>
      <c r="N195" s="126">
        <f t="shared" si="76"/>
        <v>6308095.326949999</v>
      </c>
      <c r="O195" s="126">
        <f t="shared" si="76"/>
        <v>0</v>
      </c>
      <c r="P195" s="126">
        <f t="shared" si="76"/>
        <v>9929942.673050001</v>
      </c>
      <c r="Q195" s="83"/>
      <c r="R195" s="126">
        <f>SUM(R192:R194)</f>
        <v>0</v>
      </c>
      <c r="S195" s="126">
        <f>SUM(S192:S194)</f>
        <v>0</v>
      </c>
      <c r="T195" s="126">
        <f>SUM(T192:T194)</f>
        <v>0</v>
      </c>
      <c r="U195" s="126">
        <f>SUM(U192:U194)</f>
        <v>0</v>
      </c>
      <c r="V195" s="83"/>
      <c r="W195" s="126">
        <f>SUM(W192:W194)</f>
        <v>0</v>
      </c>
      <c r="X195" s="126">
        <f>SUM(X192:X194)</f>
        <v>0</v>
      </c>
      <c r="Y195" s="126">
        <f>SUM(Y192:Y194)</f>
        <v>0</v>
      </c>
      <c r="Z195" s="126">
        <f>SUM(Z192:Z194)</f>
        <v>0</v>
      </c>
      <c r="AA195"/>
      <c r="AB195" s="83"/>
      <c r="AC195" s="83"/>
      <c r="AD195" s="83"/>
    </row>
    <row r="196" spans="1:30" s="86" customFormat="1" ht="12.75" customHeight="1" thickTop="1">
      <c r="A196" s="73"/>
      <c r="B196" s="111"/>
      <c r="C196" s="93"/>
      <c r="D196" s="112"/>
      <c r="E196" s="82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83"/>
      <c r="R196" s="90"/>
      <c r="S196" s="90"/>
      <c r="T196" s="90"/>
      <c r="U196" s="90"/>
      <c r="V196" s="83"/>
      <c r="W196" s="90"/>
      <c r="X196" s="90"/>
      <c r="Y196" s="90"/>
      <c r="Z196" s="90"/>
      <c r="AA196"/>
      <c r="AB196" s="83"/>
      <c r="AC196" s="83"/>
      <c r="AD196" s="83"/>
    </row>
    <row r="197" spans="1:30" s="86" customFormat="1" ht="12.75" customHeight="1" thickBot="1">
      <c r="A197" s="106">
        <v>9</v>
      </c>
      <c r="B197" s="118" t="s">
        <v>128</v>
      </c>
      <c r="C197" s="93"/>
      <c r="D197" s="11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3"/>
      <c r="R197" s="82"/>
      <c r="S197" s="82"/>
      <c r="T197" s="82"/>
      <c r="U197" s="82"/>
      <c r="V197" s="83"/>
      <c r="W197" s="82"/>
      <c r="X197" s="82"/>
      <c r="Y197" s="82"/>
      <c r="Z197" s="82"/>
      <c r="AA197"/>
      <c r="AB197" s="83"/>
      <c r="AC197" s="83"/>
      <c r="AD197" s="83"/>
    </row>
    <row r="198" spans="1:30" s="86" customFormat="1" ht="12.75" customHeight="1">
      <c r="A198" s="106"/>
      <c r="B198" s="121" t="s">
        <v>77</v>
      </c>
      <c r="C198" s="93"/>
      <c r="D198" s="109" t="s">
        <v>71</v>
      </c>
      <c r="E198" s="97" t="s">
        <v>72</v>
      </c>
      <c r="F198" s="97" t="s">
        <v>72</v>
      </c>
      <c r="G198" s="97" t="s">
        <v>73</v>
      </c>
      <c r="H198" s="97" t="s">
        <v>1</v>
      </c>
      <c r="I198" s="97" t="s">
        <v>74</v>
      </c>
      <c r="J198" s="97" t="s">
        <v>66</v>
      </c>
      <c r="K198" s="97" t="s">
        <v>59</v>
      </c>
      <c r="L198" s="97" t="s">
        <v>18</v>
      </c>
      <c r="M198" s="97" t="s">
        <v>1</v>
      </c>
      <c r="N198" s="97" t="s">
        <v>7</v>
      </c>
      <c r="O198" s="97" t="s">
        <v>75</v>
      </c>
      <c r="P198" s="97" t="s">
        <v>76</v>
      </c>
      <c r="Q198" s="108"/>
      <c r="R198" s="97" t="s">
        <v>1</v>
      </c>
      <c r="S198" s="97" t="s">
        <v>7</v>
      </c>
      <c r="T198" s="97" t="s">
        <v>75</v>
      </c>
      <c r="U198" s="97" t="s">
        <v>76</v>
      </c>
      <c r="V198" s="83"/>
      <c r="W198" s="97" t="s">
        <v>1</v>
      </c>
      <c r="X198" s="97" t="s">
        <v>7</v>
      </c>
      <c r="Y198" s="97" t="s">
        <v>75</v>
      </c>
      <c r="Z198" s="97" t="s">
        <v>76</v>
      </c>
      <c r="AA198"/>
      <c r="AB198" s="83"/>
      <c r="AC198" s="83"/>
      <c r="AD198" s="83"/>
    </row>
    <row r="199" spans="1:30" s="86" customFormat="1" ht="12.75" customHeight="1">
      <c r="A199" s="106"/>
      <c r="B199" s="121"/>
      <c r="C199" s="93"/>
      <c r="D199" s="131"/>
      <c r="E199" s="94"/>
      <c r="F199" s="90">
        <f>E199*D199</f>
        <v>0</v>
      </c>
      <c r="G199" s="94">
        <f>+F199*$C$4</f>
        <v>0</v>
      </c>
      <c r="H199" s="90">
        <f>+G199+F199</f>
        <v>0</v>
      </c>
      <c r="I199" s="94"/>
      <c r="J199" s="94">
        <f>D199*$C$7</f>
        <v>0</v>
      </c>
      <c r="K199" s="94">
        <f>D199*$C$5</f>
        <v>0</v>
      </c>
      <c r="L199" s="94">
        <f>D199*$C$6</f>
        <v>0</v>
      </c>
      <c r="M199" s="90">
        <f>SUM(H199:L199)</f>
        <v>0</v>
      </c>
      <c r="N199" s="94">
        <f>M199*$C$2</f>
        <v>0</v>
      </c>
      <c r="O199" s="90"/>
      <c r="P199" s="90">
        <f>M199-N199-O199</f>
        <v>0</v>
      </c>
      <c r="Q199" s="83"/>
      <c r="R199" s="90"/>
      <c r="S199" s="90"/>
      <c r="T199" s="90"/>
      <c r="U199" s="90">
        <f>R199-S199-T199</f>
        <v>0</v>
      </c>
      <c r="V199" s="83"/>
      <c r="W199" s="90"/>
      <c r="X199" s="90"/>
      <c r="Y199" s="90"/>
      <c r="Z199" s="90">
        <f>W199-X199-Y199</f>
        <v>0</v>
      </c>
      <c r="AA199"/>
      <c r="AB199" s="83"/>
      <c r="AC199" s="83"/>
      <c r="AD199" s="83"/>
    </row>
    <row r="200" spans="1:30" s="86" customFormat="1" ht="12.75" customHeight="1" thickBot="1">
      <c r="A200" s="93">
        <v>803</v>
      </c>
      <c r="B200" s="83" t="s">
        <v>129</v>
      </c>
      <c r="C200" s="93">
        <v>9476</v>
      </c>
      <c r="D200" s="112">
        <v>1</v>
      </c>
      <c r="E200" s="82">
        <v>43900</v>
      </c>
      <c r="F200" s="123">
        <f>E200*D200</f>
        <v>43900</v>
      </c>
      <c r="G200" s="143">
        <f>+F200*$C$4</f>
        <v>20194</v>
      </c>
      <c r="H200" s="123">
        <f>+G200+F200</f>
        <v>64094</v>
      </c>
      <c r="I200" s="143"/>
      <c r="J200" s="143">
        <f>D200*$C$7</f>
        <v>2500</v>
      </c>
      <c r="K200" s="143">
        <f>D200*$C$5</f>
        <v>5500</v>
      </c>
      <c r="L200" s="143">
        <f>D200*$C$6</f>
        <v>1700</v>
      </c>
      <c r="M200" s="123">
        <f>SUM(H200:L200)</f>
        <v>73794</v>
      </c>
      <c r="N200" s="143">
        <f>M200*$C$2</f>
        <v>36897</v>
      </c>
      <c r="O200" s="123"/>
      <c r="P200" s="123">
        <f>M200-N200-O200</f>
        <v>36897</v>
      </c>
      <c r="Q200" s="138"/>
      <c r="R200" s="145">
        <v>83000</v>
      </c>
      <c r="S200" s="123">
        <f>R200*$S$2</f>
        <v>41500</v>
      </c>
      <c r="T200" s="123"/>
      <c r="U200" s="123">
        <f>R200-S200-T200</f>
        <v>41500</v>
      </c>
      <c r="V200" s="83"/>
      <c r="W200" s="145">
        <v>87800</v>
      </c>
      <c r="X200" s="123">
        <f>W200*$X$2</f>
        <v>43900</v>
      </c>
      <c r="Y200" s="123"/>
      <c r="Z200" s="123">
        <f>W200-X200-Y200</f>
        <v>43900</v>
      </c>
      <c r="AA200"/>
      <c r="AB200" s="83"/>
      <c r="AC200" s="83"/>
      <c r="AD200" s="83"/>
    </row>
    <row r="201" spans="1:30" s="86" customFormat="1" ht="12.75" customHeight="1">
      <c r="A201" s="106"/>
      <c r="B201" s="120"/>
      <c r="C201" s="93"/>
      <c r="D201" s="112"/>
      <c r="E201" s="82"/>
      <c r="F201" s="82">
        <f aca="true" t="shared" si="77" ref="F201:P201">SUM(F199:F200)</f>
        <v>43900</v>
      </c>
      <c r="G201" s="82">
        <f t="shared" si="77"/>
        <v>20194</v>
      </c>
      <c r="H201" s="82">
        <f t="shared" si="77"/>
        <v>64094</v>
      </c>
      <c r="I201" s="82">
        <f t="shared" si="77"/>
        <v>0</v>
      </c>
      <c r="J201" s="82">
        <f t="shared" si="77"/>
        <v>2500</v>
      </c>
      <c r="K201" s="82">
        <f t="shared" si="77"/>
        <v>5500</v>
      </c>
      <c r="L201" s="82">
        <f t="shared" si="77"/>
        <v>1700</v>
      </c>
      <c r="M201" s="82">
        <f t="shared" si="77"/>
        <v>73794</v>
      </c>
      <c r="N201" s="82">
        <f t="shared" si="77"/>
        <v>36897</v>
      </c>
      <c r="O201" s="82">
        <f t="shared" si="77"/>
        <v>0</v>
      </c>
      <c r="P201" s="82">
        <f t="shared" si="77"/>
        <v>36897</v>
      </c>
      <c r="Q201" s="83"/>
      <c r="R201" s="82">
        <f>SUM(R199:R200)</f>
        <v>83000</v>
      </c>
      <c r="S201" s="82">
        <f>SUM(S199:S200)</f>
        <v>41500</v>
      </c>
      <c r="T201" s="82">
        <f>SUM(T199:T200)</f>
        <v>0</v>
      </c>
      <c r="U201" s="82">
        <f>SUM(U199:U200)</f>
        <v>41500</v>
      </c>
      <c r="V201" s="83"/>
      <c r="W201" s="82">
        <f>SUM(W199:W200)</f>
        <v>87800</v>
      </c>
      <c r="X201" s="82">
        <f>SUM(X199:X200)</f>
        <v>43900</v>
      </c>
      <c r="Y201" s="82">
        <f>SUM(Y199:Y200)</f>
        <v>0</v>
      </c>
      <c r="Z201" s="82">
        <f>SUM(Z199:Z200)</f>
        <v>43900</v>
      </c>
      <c r="AA201"/>
      <c r="AB201" s="83"/>
      <c r="AC201" s="83"/>
      <c r="AD201" s="83"/>
    </row>
    <row r="202" spans="1:30" s="86" customFormat="1" ht="12.75" customHeight="1">
      <c r="A202" s="93">
        <v>802</v>
      </c>
      <c r="B202" s="83" t="s">
        <v>130</v>
      </c>
      <c r="C202" s="93"/>
      <c r="D202" s="112"/>
      <c r="E202" s="82"/>
      <c r="F202" s="82"/>
      <c r="G202" s="82"/>
      <c r="H202" s="82"/>
      <c r="I202" s="82">
        <v>72000</v>
      </c>
      <c r="J202" s="82"/>
      <c r="K202" s="82"/>
      <c r="L202" s="82">
        <v>0</v>
      </c>
      <c r="M202" s="90">
        <f>SUM(H202:L202)</f>
        <v>72000</v>
      </c>
      <c r="N202" s="82">
        <v>18000</v>
      </c>
      <c r="O202" s="82"/>
      <c r="P202" s="82">
        <f>+M202-N202-O202</f>
        <v>54000</v>
      </c>
      <c r="Q202" s="83"/>
      <c r="R202" s="82"/>
      <c r="S202" s="82"/>
      <c r="T202" s="82"/>
      <c r="U202" s="82">
        <f>+R202-S202-T202</f>
        <v>0</v>
      </c>
      <c r="V202" s="83"/>
      <c r="W202" s="82"/>
      <c r="X202" s="82"/>
      <c r="Y202" s="82"/>
      <c r="Z202" s="82">
        <f>+W202-X202-Y202</f>
        <v>0</v>
      </c>
      <c r="AA202"/>
      <c r="AB202" s="83"/>
      <c r="AC202" s="83"/>
      <c r="AD202" s="83"/>
    </row>
    <row r="203" spans="1:30" s="86" customFormat="1" ht="12.75" customHeight="1">
      <c r="A203" s="93">
        <v>803</v>
      </c>
      <c r="B203" s="83" t="s">
        <v>131</v>
      </c>
      <c r="C203" s="93"/>
      <c r="D203" s="112"/>
      <c r="E203" s="82"/>
      <c r="F203" s="82"/>
      <c r="G203" s="82"/>
      <c r="H203" s="82"/>
      <c r="I203" s="82"/>
      <c r="J203" s="82"/>
      <c r="K203" s="82"/>
      <c r="L203" s="82">
        <f>188935-49815</f>
        <v>139120</v>
      </c>
      <c r="M203" s="90">
        <f>SUM(H203:L203)</f>
        <v>139120</v>
      </c>
      <c r="N203" s="82">
        <f>M203*C2</f>
        <v>69560</v>
      </c>
      <c r="O203" s="82"/>
      <c r="P203" s="82">
        <f>+M203-N203-O203</f>
        <v>69560</v>
      </c>
      <c r="Q203" s="83"/>
      <c r="R203" s="90"/>
      <c r="S203" s="82"/>
      <c r="T203" s="82"/>
      <c r="U203" s="82">
        <f>+R203-S203-T203</f>
        <v>0</v>
      </c>
      <c r="V203" s="83"/>
      <c r="W203" s="90"/>
      <c r="X203" s="82"/>
      <c r="Y203" s="82"/>
      <c r="Z203" s="82">
        <f>+W203-X203-Y203</f>
        <v>0</v>
      </c>
      <c r="AA203"/>
      <c r="AB203" s="83"/>
      <c r="AC203" s="83"/>
      <c r="AD203" s="83"/>
    </row>
    <row r="204" spans="1:30" s="86" customFormat="1" ht="12.75" customHeight="1">
      <c r="A204" s="106"/>
      <c r="B204" s="83" t="s">
        <v>132</v>
      </c>
      <c r="C204" s="93"/>
      <c r="D204" s="112"/>
      <c r="E204" s="82"/>
      <c r="F204" s="82"/>
      <c r="G204" s="82"/>
      <c r="H204" s="82"/>
      <c r="I204" s="82"/>
      <c r="J204" s="82"/>
      <c r="K204" s="82"/>
      <c r="L204" s="82">
        <v>0</v>
      </c>
      <c r="M204" s="82">
        <f>SUM(H204:L204)</f>
        <v>0</v>
      </c>
      <c r="N204" s="82">
        <v>646309</v>
      </c>
      <c r="O204" s="82"/>
      <c r="P204" s="82">
        <f>M204-N204-O204</f>
        <v>-646309</v>
      </c>
      <c r="Q204" s="83"/>
      <c r="R204" s="82"/>
      <c r="S204" s="82"/>
      <c r="T204" s="82"/>
      <c r="U204" s="82">
        <f>+R204-S204-T204</f>
        <v>0</v>
      </c>
      <c r="V204" s="83"/>
      <c r="W204" s="82"/>
      <c r="X204" s="82"/>
      <c r="Y204" s="82"/>
      <c r="Z204" s="82">
        <f>+W204-X204-Y204</f>
        <v>0</v>
      </c>
      <c r="AA204"/>
      <c r="AB204" s="83"/>
      <c r="AC204" s="83"/>
      <c r="AD204" s="83"/>
    </row>
    <row r="205" spans="1:30" s="86" customFormat="1" ht="12.75" customHeight="1" thickBot="1">
      <c r="A205" s="106"/>
      <c r="B205" s="111" t="s">
        <v>79</v>
      </c>
      <c r="C205" s="93"/>
      <c r="D205" s="112"/>
      <c r="E205" s="82"/>
      <c r="F205" s="126">
        <f aca="true" t="shared" si="78" ref="F205:P205">SUM(F201:F204)</f>
        <v>43900</v>
      </c>
      <c r="G205" s="126">
        <f t="shared" si="78"/>
        <v>20194</v>
      </c>
      <c r="H205" s="126">
        <f t="shared" si="78"/>
        <v>64094</v>
      </c>
      <c r="I205" s="126">
        <f t="shared" si="78"/>
        <v>72000</v>
      </c>
      <c r="J205" s="126">
        <f t="shared" si="78"/>
        <v>2500</v>
      </c>
      <c r="K205" s="126">
        <f t="shared" si="78"/>
        <v>5500</v>
      </c>
      <c r="L205" s="126">
        <f t="shared" si="78"/>
        <v>140820</v>
      </c>
      <c r="M205" s="126">
        <f t="shared" si="78"/>
        <v>284914</v>
      </c>
      <c r="N205" s="126">
        <f t="shared" si="78"/>
        <v>770766</v>
      </c>
      <c r="O205" s="126">
        <f t="shared" si="78"/>
        <v>0</v>
      </c>
      <c r="P205" s="126">
        <f t="shared" si="78"/>
        <v>-485852</v>
      </c>
      <c r="Q205" s="83"/>
      <c r="R205" s="126">
        <f>SUM(R201:R204)</f>
        <v>83000</v>
      </c>
      <c r="S205" s="126">
        <f>SUM(S201:S204)</f>
        <v>41500</v>
      </c>
      <c r="T205" s="126">
        <f>SUM(T201:T204)</f>
        <v>0</v>
      </c>
      <c r="U205" s="126">
        <f>SUM(U201:U204)</f>
        <v>41500</v>
      </c>
      <c r="V205" s="83"/>
      <c r="W205" s="126">
        <f>SUM(W201:W204)</f>
        <v>87800</v>
      </c>
      <c r="X205" s="126">
        <f>SUM(X201:X204)</f>
        <v>43900</v>
      </c>
      <c r="Y205" s="126">
        <f>SUM(Y201:Y204)</f>
        <v>0</v>
      </c>
      <c r="Z205" s="126">
        <f>SUM(Z201:Z204)</f>
        <v>43900</v>
      </c>
      <c r="AA205"/>
      <c r="AB205" s="83"/>
      <c r="AC205" s="83"/>
      <c r="AD205" s="83"/>
    </row>
    <row r="206" spans="1:30" s="86" customFormat="1" ht="12.75" customHeight="1" thickTop="1">
      <c r="A206" s="106"/>
      <c r="B206" s="120"/>
      <c r="C206" s="93"/>
      <c r="D206" s="11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3"/>
      <c r="R206" s="82"/>
      <c r="S206" s="82"/>
      <c r="T206" s="82"/>
      <c r="U206" s="82"/>
      <c r="V206" s="83"/>
      <c r="W206" s="82"/>
      <c r="X206" s="82"/>
      <c r="Y206" s="82"/>
      <c r="Z206" s="82"/>
      <c r="AA206"/>
      <c r="AB206" s="83"/>
      <c r="AC206" s="83"/>
      <c r="AD206" s="83"/>
    </row>
    <row r="207" spans="1:30" s="86" customFormat="1" ht="12.75" customHeight="1">
      <c r="A207" s="106"/>
      <c r="B207" s="128" t="s">
        <v>80</v>
      </c>
      <c r="C207" s="93"/>
      <c r="D207" s="11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3"/>
      <c r="R207" s="82"/>
      <c r="S207" s="82"/>
      <c r="T207" s="82"/>
      <c r="U207" s="82"/>
      <c r="V207" s="83"/>
      <c r="W207" s="82"/>
      <c r="X207" s="82"/>
      <c r="Y207" s="82"/>
      <c r="Z207" s="82"/>
      <c r="AA207"/>
      <c r="AB207" s="83"/>
      <c r="AC207" s="83"/>
      <c r="AD207" s="83"/>
    </row>
    <row r="208" spans="1:30" s="86" customFormat="1" ht="12.75" customHeight="1">
      <c r="A208" s="106"/>
      <c r="B208" s="102" t="str">
        <f>J3</f>
        <v>200-1010-88</v>
      </c>
      <c r="C208" s="93"/>
      <c r="D208" s="112"/>
      <c r="E208" s="82"/>
      <c r="F208" s="82">
        <f>F201</f>
        <v>43900</v>
      </c>
      <c r="G208" s="82">
        <f>G200</f>
        <v>20194</v>
      </c>
      <c r="H208" s="90">
        <f>+G208+F208</f>
        <v>64094</v>
      </c>
      <c r="I208" s="82">
        <f>+I205</f>
        <v>72000</v>
      </c>
      <c r="J208" s="82">
        <f>J201</f>
        <v>2500</v>
      </c>
      <c r="K208" s="82">
        <f>K201</f>
        <v>5500</v>
      </c>
      <c r="L208" s="82">
        <f>L201+L203+L204</f>
        <v>140820</v>
      </c>
      <c r="M208" s="90">
        <f>SUM(H208:L208)</f>
        <v>284914</v>
      </c>
      <c r="N208" s="82">
        <f>+N205</f>
        <v>770766</v>
      </c>
      <c r="O208" s="82"/>
      <c r="P208" s="82">
        <f>M208-N208-O208</f>
        <v>-485852</v>
      </c>
      <c r="Q208" s="83"/>
      <c r="R208" s="82"/>
      <c r="S208" s="90">
        <f>R208*$S$2</f>
        <v>0</v>
      </c>
      <c r="T208" s="90"/>
      <c r="U208" s="90">
        <f>R208-S208-T208</f>
        <v>0</v>
      </c>
      <c r="V208" s="83"/>
      <c r="W208" s="90"/>
      <c r="X208" s="90">
        <f>W208*$X$2</f>
        <v>0</v>
      </c>
      <c r="Y208" s="90"/>
      <c r="Z208" s="90">
        <f>W208-X208-Y208</f>
        <v>0</v>
      </c>
      <c r="AA208"/>
      <c r="AB208" s="83"/>
      <c r="AC208" s="83"/>
      <c r="AD208" s="83"/>
    </row>
    <row r="209" spans="1:30" s="86" customFormat="1" ht="12.75" customHeight="1">
      <c r="A209" s="106"/>
      <c r="B209" s="83"/>
      <c r="C209" s="93"/>
      <c r="D209" s="112"/>
      <c r="E209" s="82"/>
      <c r="F209" s="82"/>
      <c r="G209" s="82"/>
      <c r="H209" s="82"/>
      <c r="I209" s="82">
        <v>0</v>
      </c>
      <c r="J209" s="82">
        <f>+J203</f>
        <v>0</v>
      </c>
      <c r="K209" s="82"/>
      <c r="L209" s="82"/>
      <c r="M209" s="90">
        <f>SUM(H209:L209)</f>
        <v>0</v>
      </c>
      <c r="N209" s="82">
        <v>0</v>
      </c>
      <c r="O209" s="82"/>
      <c r="P209" s="82">
        <f>+M209-N209</f>
        <v>0</v>
      </c>
      <c r="Q209" s="83"/>
      <c r="R209" s="90"/>
      <c r="S209" s="82"/>
      <c r="T209" s="82"/>
      <c r="U209" s="82">
        <f>+R209-S209-T209</f>
        <v>0</v>
      </c>
      <c r="V209" s="83"/>
      <c r="W209" s="90"/>
      <c r="X209" s="82"/>
      <c r="Y209" s="82"/>
      <c r="Z209" s="82">
        <f>+W209-X209-Y209</f>
        <v>0</v>
      </c>
      <c r="AA209"/>
      <c r="AB209" s="83"/>
      <c r="AC209" s="83"/>
      <c r="AD209" s="83"/>
    </row>
    <row r="210" spans="1:30" s="86" customFormat="1" ht="12.75" customHeight="1" thickBot="1">
      <c r="A210" s="106"/>
      <c r="B210" s="111"/>
      <c r="C210" s="93"/>
      <c r="D210" s="112"/>
      <c r="E210" s="82"/>
      <c r="F210" s="126">
        <f aca="true" t="shared" si="79" ref="F210:P210">SUM(F208:F209)</f>
        <v>43900</v>
      </c>
      <c r="G210" s="126">
        <f t="shared" si="79"/>
        <v>20194</v>
      </c>
      <c r="H210" s="126">
        <f t="shared" si="79"/>
        <v>64094</v>
      </c>
      <c r="I210" s="126">
        <f t="shared" si="79"/>
        <v>72000</v>
      </c>
      <c r="J210" s="126">
        <f t="shared" si="79"/>
        <v>2500</v>
      </c>
      <c r="K210" s="126">
        <f t="shared" si="79"/>
        <v>5500</v>
      </c>
      <c r="L210" s="126">
        <f t="shared" si="79"/>
        <v>140820</v>
      </c>
      <c r="M210" s="126">
        <f t="shared" si="79"/>
        <v>284914</v>
      </c>
      <c r="N210" s="126">
        <f t="shared" si="79"/>
        <v>770766</v>
      </c>
      <c r="O210" s="126">
        <f t="shared" si="79"/>
        <v>0</v>
      </c>
      <c r="P210" s="126">
        <f t="shared" si="79"/>
        <v>-485852</v>
      </c>
      <c r="Q210" s="83"/>
      <c r="R210" s="126">
        <f>SUM(R208:R209)</f>
        <v>0</v>
      </c>
      <c r="S210" s="126">
        <f>SUM(S208:S209)</f>
        <v>0</v>
      </c>
      <c r="T210" s="126">
        <f>SUM(T208:T209)</f>
        <v>0</v>
      </c>
      <c r="U210" s="126">
        <f>SUM(U208:U209)</f>
        <v>0</v>
      </c>
      <c r="V210" s="83"/>
      <c r="W210" s="126">
        <f>SUM(W208:W209)</f>
        <v>0</v>
      </c>
      <c r="X210" s="126">
        <f>SUM(X208:X209)</f>
        <v>0</v>
      </c>
      <c r="Y210" s="126">
        <f>SUM(Y208:Y209)</f>
        <v>0</v>
      </c>
      <c r="Z210" s="126">
        <f>SUM(Z208:Z209)</f>
        <v>0</v>
      </c>
      <c r="AA210"/>
      <c r="AB210" s="83"/>
      <c r="AC210" s="83"/>
      <c r="AD210" s="83"/>
    </row>
    <row r="211" spans="1:30" s="86" customFormat="1" ht="12.75" customHeight="1" thickTop="1">
      <c r="A211" s="73"/>
      <c r="B211" s="111"/>
      <c r="C211" s="93"/>
      <c r="D211" s="112"/>
      <c r="E211" s="82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83"/>
      <c r="V211" s="83"/>
      <c r="W211" s="90"/>
      <c r="X211" s="90"/>
      <c r="Y211" s="90"/>
      <c r="Z211" s="90"/>
      <c r="AA211"/>
      <c r="AB211" s="83"/>
      <c r="AC211" s="83"/>
      <c r="AD211" s="83"/>
    </row>
    <row r="212" spans="1:29" ht="12.75" customHeight="1" thickBot="1">
      <c r="A212" s="117">
        <v>10</v>
      </c>
      <c r="B212" s="118" t="s">
        <v>10</v>
      </c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3"/>
      <c r="R212" s="82"/>
      <c r="S212" s="82"/>
      <c r="T212" s="82"/>
      <c r="U212" s="82"/>
      <c r="V212" s="83"/>
      <c r="W212" s="82"/>
      <c r="X212" s="82"/>
      <c r="Y212" s="82"/>
      <c r="Z212" s="82"/>
      <c r="AA212"/>
      <c r="AB212" s="83"/>
      <c r="AC212" s="83"/>
    </row>
    <row r="213" spans="1:30" s="107" customFormat="1" ht="0.75" customHeight="1">
      <c r="A213" s="117"/>
      <c r="B213" s="121" t="s">
        <v>77</v>
      </c>
      <c r="C213" s="93"/>
      <c r="D213" s="112"/>
      <c r="E213" s="82"/>
      <c r="F213" s="97" t="s">
        <v>72</v>
      </c>
      <c r="G213" s="97" t="s">
        <v>73</v>
      </c>
      <c r="H213" s="97" t="s">
        <v>1</v>
      </c>
      <c r="I213" s="97" t="s">
        <v>74</v>
      </c>
      <c r="J213" s="97" t="s">
        <v>66</v>
      </c>
      <c r="K213" s="97" t="s">
        <v>59</v>
      </c>
      <c r="L213" s="97" t="s">
        <v>18</v>
      </c>
      <c r="M213" s="97" t="s">
        <v>1</v>
      </c>
      <c r="N213" s="97" t="s">
        <v>7</v>
      </c>
      <c r="O213" s="97" t="s">
        <v>75</v>
      </c>
      <c r="P213" s="97" t="s">
        <v>76</v>
      </c>
      <c r="Q213" s="108"/>
      <c r="R213" s="97" t="s">
        <v>1</v>
      </c>
      <c r="S213" s="97" t="s">
        <v>7</v>
      </c>
      <c r="T213" s="97" t="s">
        <v>75</v>
      </c>
      <c r="U213" s="97" t="s">
        <v>76</v>
      </c>
      <c r="V213" s="83"/>
      <c r="W213" s="97" t="s">
        <v>1</v>
      </c>
      <c r="X213" s="97" t="s">
        <v>7</v>
      </c>
      <c r="Y213" s="97" t="s">
        <v>75</v>
      </c>
      <c r="Z213" s="97" t="s">
        <v>76</v>
      </c>
      <c r="AA213"/>
      <c r="AB213" s="83"/>
      <c r="AC213" s="83"/>
      <c r="AD213" s="111"/>
    </row>
    <row r="214" spans="1:30" s="86" customFormat="1" ht="12.75" customHeight="1" hidden="1">
      <c r="A214" s="117"/>
      <c r="B214" s="146"/>
      <c r="C214" s="93"/>
      <c r="D214" s="112"/>
      <c r="E214" s="147"/>
      <c r="F214" s="90"/>
      <c r="G214" s="94"/>
      <c r="H214" s="90"/>
      <c r="I214" s="94"/>
      <c r="J214" s="94"/>
      <c r="K214" s="94"/>
      <c r="L214" s="94"/>
      <c r="M214" s="90">
        <f>SUM(H214:L214)</f>
        <v>0</v>
      </c>
      <c r="N214" s="94">
        <f>M214*$C$1</f>
        <v>0</v>
      </c>
      <c r="O214" s="90"/>
      <c r="P214" s="90">
        <f>M214-N214</f>
        <v>0</v>
      </c>
      <c r="Q214" s="83"/>
      <c r="R214" s="90"/>
      <c r="S214" s="90">
        <f>R214*$C$3</f>
        <v>0</v>
      </c>
      <c r="T214" s="90" t="e">
        <f>+#REF!</f>
        <v>#REF!</v>
      </c>
      <c r="U214" s="90">
        <f>R214-S214</f>
        <v>0</v>
      </c>
      <c r="V214" s="83"/>
      <c r="W214" s="90"/>
      <c r="X214" s="90">
        <f>W214*$C$3</f>
        <v>0</v>
      </c>
      <c r="Y214" s="90" t="e">
        <f>+#REF!</f>
        <v>#REF!</v>
      </c>
      <c r="Z214" s="90">
        <f>W214-X214</f>
        <v>0</v>
      </c>
      <c r="AA214"/>
      <c r="AB214" s="83"/>
      <c r="AC214" s="83"/>
      <c r="AD214" s="83"/>
    </row>
    <row r="215" spans="1:30" s="86" customFormat="1" ht="12.75" customHeight="1" hidden="1">
      <c r="A215" s="106"/>
      <c r="B215" s="146"/>
      <c r="C215" s="93"/>
      <c r="D215" s="112"/>
      <c r="E215" s="147"/>
      <c r="F215" s="82">
        <f>+E215*D215</f>
        <v>0</v>
      </c>
      <c r="G215" s="82">
        <f>+F215*$C$4</f>
        <v>0</v>
      </c>
      <c r="H215" s="82">
        <f>+G215+F215</f>
        <v>0</v>
      </c>
      <c r="I215" s="82"/>
      <c r="J215" s="82">
        <f>+$C$7*D215</f>
        <v>0</v>
      </c>
      <c r="K215" s="82">
        <f>$C$5*D215</f>
        <v>0</v>
      </c>
      <c r="L215" s="82">
        <f>+$C$6*D215</f>
        <v>0</v>
      </c>
      <c r="M215" s="82">
        <f>SUM(H215:L215)</f>
        <v>0</v>
      </c>
      <c r="N215" s="82">
        <f>+M215*$C$2</f>
        <v>0</v>
      </c>
      <c r="O215" s="82"/>
      <c r="P215" s="82">
        <f>+M215-N215-O215</f>
        <v>0</v>
      </c>
      <c r="Q215" s="83"/>
      <c r="R215" s="82"/>
      <c r="S215" s="82">
        <f>+R215*0.5</f>
        <v>0</v>
      </c>
      <c r="T215" s="82"/>
      <c r="U215" s="82">
        <f>+R215-S215-T215</f>
        <v>0</v>
      </c>
      <c r="V215" s="83"/>
      <c r="W215" s="82"/>
      <c r="X215" s="82">
        <f>+W215*0.5</f>
        <v>0</v>
      </c>
      <c r="Y215" s="82"/>
      <c r="Z215" s="82">
        <f>+W215-X215-Y215</f>
        <v>0</v>
      </c>
      <c r="AA215"/>
      <c r="AB215" s="83"/>
      <c r="AC215" s="83"/>
      <c r="AD215" s="83"/>
    </row>
    <row r="216" spans="1:30" s="86" customFormat="1" ht="12.75" customHeight="1" hidden="1" thickBot="1">
      <c r="A216" s="106"/>
      <c r="B216" s="83"/>
      <c r="C216" s="93"/>
      <c r="D216" s="112"/>
      <c r="E216" s="82"/>
      <c r="F216" s="123">
        <f>+E216*D216</f>
        <v>0</v>
      </c>
      <c r="G216" s="123">
        <f>+F216*$C$4</f>
        <v>0</v>
      </c>
      <c r="H216" s="123">
        <f>+G216+F216</f>
        <v>0</v>
      </c>
      <c r="I216" s="123"/>
      <c r="J216" s="123">
        <f>+$C$7*D216</f>
        <v>0</v>
      </c>
      <c r="K216" s="123">
        <f>$C$5*D216</f>
        <v>0</v>
      </c>
      <c r="L216" s="123">
        <f>+$C$6*D216</f>
        <v>0</v>
      </c>
      <c r="M216" s="123">
        <f>SUM(H216:L216)</f>
        <v>0</v>
      </c>
      <c r="N216" s="123">
        <f>+M216*$C$2</f>
        <v>0</v>
      </c>
      <c r="O216" s="123"/>
      <c r="P216" s="123">
        <f>+M216-N216-O216</f>
        <v>0</v>
      </c>
      <c r="Q216" s="138"/>
      <c r="R216" s="123"/>
      <c r="S216" s="123">
        <f>+R216*0.5</f>
        <v>0</v>
      </c>
      <c r="T216" s="123"/>
      <c r="U216" s="123">
        <f>+R216-S216-T216</f>
        <v>0</v>
      </c>
      <c r="V216" s="83"/>
      <c r="W216" s="123"/>
      <c r="X216" s="123">
        <f>+W216*0.5</f>
        <v>0</v>
      </c>
      <c r="Y216" s="123"/>
      <c r="Z216" s="123">
        <f>+W216-X216-Y216</f>
        <v>0</v>
      </c>
      <c r="AA216"/>
      <c r="AB216" s="83"/>
      <c r="AC216" s="83"/>
      <c r="AD216" s="83"/>
    </row>
    <row r="217" spans="1:30" s="86" customFormat="1" ht="12.75" customHeight="1">
      <c r="A217" s="73"/>
      <c r="B217" s="83"/>
      <c r="C217" s="93"/>
      <c r="D217" s="112"/>
      <c r="E217" s="82"/>
      <c r="F217" s="82">
        <f aca="true" t="shared" si="80" ref="F217:P217">SUM(F214:F216)</f>
        <v>0</v>
      </c>
      <c r="G217" s="82">
        <f t="shared" si="80"/>
        <v>0</v>
      </c>
      <c r="H217" s="82">
        <f t="shared" si="80"/>
        <v>0</v>
      </c>
      <c r="I217" s="82">
        <f t="shared" si="80"/>
        <v>0</v>
      </c>
      <c r="J217" s="82">
        <f t="shared" si="80"/>
        <v>0</v>
      </c>
      <c r="K217" s="82">
        <f t="shared" si="80"/>
        <v>0</v>
      </c>
      <c r="L217" s="82">
        <f t="shared" si="80"/>
        <v>0</v>
      </c>
      <c r="M217" s="82">
        <f t="shared" si="80"/>
        <v>0</v>
      </c>
      <c r="N217" s="82">
        <f t="shared" si="80"/>
        <v>0</v>
      </c>
      <c r="O217" s="82">
        <f t="shared" si="80"/>
        <v>0</v>
      </c>
      <c r="P217" s="82">
        <f t="shared" si="80"/>
        <v>0</v>
      </c>
      <c r="Q217" s="82"/>
      <c r="R217" s="82"/>
      <c r="S217" s="82"/>
      <c r="T217" s="82"/>
      <c r="U217" s="82"/>
      <c r="V217" s="83"/>
      <c r="W217" s="82"/>
      <c r="X217" s="82"/>
      <c r="Y217" s="82"/>
      <c r="Z217" s="82"/>
      <c r="AA217"/>
      <c r="AB217" s="83"/>
      <c r="AC217" s="83"/>
      <c r="AD217" s="83"/>
    </row>
    <row r="218" spans="1:30" s="86" customFormat="1" ht="12.75" customHeight="1">
      <c r="A218" s="113"/>
      <c r="B218" s="83" t="s">
        <v>133</v>
      </c>
      <c r="C218" s="93"/>
      <c r="D218" s="112"/>
      <c r="E218" s="82"/>
      <c r="F218" s="82"/>
      <c r="G218" s="82"/>
      <c r="H218" s="82"/>
      <c r="I218" s="82"/>
      <c r="J218" s="82"/>
      <c r="K218" s="82"/>
      <c r="L218" s="82">
        <v>1500000</v>
      </c>
      <c r="M218" s="82">
        <f>SUM(H218:L218)</f>
        <v>1500000</v>
      </c>
      <c r="N218" s="82">
        <f>M218*$C$1</f>
        <v>528037.4999999999</v>
      </c>
      <c r="O218" s="82"/>
      <c r="P218" s="82">
        <f>+M218-N218-O218</f>
        <v>971962.5000000001</v>
      </c>
      <c r="Q218" s="82"/>
      <c r="R218" s="82"/>
      <c r="S218" s="90"/>
      <c r="T218" s="82"/>
      <c r="U218" s="90">
        <f>R218-S218</f>
        <v>0</v>
      </c>
      <c r="V218" s="83"/>
      <c r="W218" s="82"/>
      <c r="X218" s="90"/>
      <c r="Y218" s="82"/>
      <c r="Z218" s="90">
        <f>W218-X218</f>
        <v>0</v>
      </c>
      <c r="AA218"/>
      <c r="AB218" s="83"/>
      <c r="AC218" s="83"/>
      <c r="AD218" s="83"/>
    </row>
    <row r="219" spans="2:29" ht="12.75" customHeight="1">
      <c r="B219" s="83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3"/>
      <c r="R219" s="82"/>
      <c r="S219" s="82"/>
      <c r="T219" s="82"/>
      <c r="U219" s="82"/>
      <c r="V219" s="83"/>
      <c r="W219" s="82"/>
      <c r="X219" s="82"/>
      <c r="Y219" s="82"/>
      <c r="Z219" s="82"/>
      <c r="AA219"/>
      <c r="AB219" s="83"/>
      <c r="AC219" s="83"/>
    </row>
    <row r="220" spans="1:30" s="86" customFormat="1" ht="12.75" customHeight="1" thickBot="1">
      <c r="A220" s="73"/>
      <c r="C220" s="93"/>
      <c r="D220" s="112"/>
      <c r="E220" s="82"/>
      <c r="F220" s="126">
        <f aca="true" t="shared" si="81" ref="F220:P220">SUM(F217:F219)</f>
        <v>0</v>
      </c>
      <c r="G220" s="126">
        <f t="shared" si="81"/>
        <v>0</v>
      </c>
      <c r="H220" s="126">
        <f t="shared" si="81"/>
        <v>0</v>
      </c>
      <c r="I220" s="126">
        <f t="shared" si="81"/>
        <v>0</v>
      </c>
      <c r="J220" s="126">
        <f t="shared" si="81"/>
        <v>0</v>
      </c>
      <c r="K220" s="126">
        <f t="shared" si="81"/>
        <v>0</v>
      </c>
      <c r="L220" s="126">
        <f t="shared" si="81"/>
        <v>1500000</v>
      </c>
      <c r="M220" s="126">
        <f t="shared" si="81"/>
        <v>1500000</v>
      </c>
      <c r="N220" s="126">
        <f t="shared" si="81"/>
        <v>528037.4999999999</v>
      </c>
      <c r="O220" s="126">
        <f t="shared" si="81"/>
        <v>0</v>
      </c>
      <c r="P220" s="126">
        <f t="shared" si="81"/>
        <v>971962.5000000001</v>
      </c>
      <c r="Q220" s="83"/>
      <c r="R220" s="126">
        <f>SUM(R217:R219)</f>
        <v>0</v>
      </c>
      <c r="S220" s="126">
        <f>SUM(S217:S219)</f>
        <v>0</v>
      </c>
      <c r="T220" s="126">
        <f>SUM(T217:T219)</f>
        <v>0</v>
      </c>
      <c r="U220" s="126">
        <f>SUM(U217:U219)</f>
        <v>0</v>
      </c>
      <c r="V220" s="83"/>
      <c r="W220" s="126">
        <f>SUM(W217:W219)</f>
        <v>0</v>
      </c>
      <c r="X220" s="126">
        <f>SUM(X217:X219)</f>
        <v>0</v>
      </c>
      <c r="Y220" s="126">
        <f>SUM(Y217:Y219)</f>
        <v>0</v>
      </c>
      <c r="Z220" s="126">
        <f>SUM(Z217:Z219)</f>
        <v>0</v>
      </c>
      <c r="AA220"/>
      <c r="AB220" s="83"/>
      <c r="AC220" s="83"/>
      <c r="AD220" s="83"/>
    </row>
    <row r="221" spans="6:29" ht="12.75" customHeight="1" thickTop="1"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3"/>
      <c r="R221" s="82"/>
      <c r="S221" s="82"/>
      <c r="T221" s="82"/>
      <c r="U221" s="82"/>
      <c r="V221" s="83"/>
      <c r="W221" s="82"/>
      <c r="X221" s="82"/>
      <c r="Y221" s="82"/>
      <c r="Z221" s="82"/>
      <c r="AA221"/>
      <c r="AB221" s="83"/>
      <c r="AC221" s="83"/>
    </row>
    <row r="222" spans="1:30" s="107" customFormat="1" ht="12.75" customHeight="1">
      <c r="A222" s="73"/>
      <c r="B222" s="128" t="s">
        <v>80</v>
      </c>
      <c r="C222" s="93"/>
      <c r="D222" s="11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3"/>
      <c r="R222" s="82"/>
      <c r="S222" s="82"/>
      <c r="T222" s="82"/>
      <c r="U222" s="82"/>
      <c r="V222" s="83"/>
      <c r="W222" s="82"/>
      <c r="X222" s="82"/>
      <c r="Y222" s="82"/>
      <c r="Z222" s="82"/>
      <c r="AA222"/>
      <c r="AB222" s="83"/>
      <c r="AC222" s="83"/>
      <c r="AD222" s="111"/>
    </row>
    <row r="223" spans="1:30" s="86" customFormat="1" ht="12.75" customHeight="1">
      <c r="A223" s="117"/>
      <c r="B223" s="129" t="str">
        <f>K5</f>
        <v>340-1020-01</v>
      </c>
      <c r="C223" s="93"/>
      <c r="D223" s="112"/>
      <c r="E223" s="82"/>
      <c r="F223" s="82"/>
      <c r="G223" s="82"/>
      <c r="H223" s="90">
        <f>+G223+F223</f>
        <v>0</v>
      </c>
      <c r="I223" s="82">
        <v>0</v>
      </c>
      <c r="J223" s="82"/>
      <c r="K223" s="82"/>
      <c r="L223" s="82">
        <f>SUM(L218:L218)</f>
        <v>1500000</v>
      </c>
      <c r="M223" s="90">
        <f>SUM(H223:L223)</f>
        <v>1500000</v>
      </c>
      <c r="N223" s="82">
        <f>SUM(N218:N218)</f>
        <v>528037.4999999999</v>
      </c>
      <c r="O223" s="82"/>
      <c r="P223" s="82">
        <f>M223-N223</f>
        <v>971962.5000000001</v>
      </c>
      <c r="Q223" s="83"/>
      <c r="R223" s="90">
        <f>R220</f>
        <v>0</v>
      </c>
      <c r="S223" s="90">
        <f>R223*$C$3</f>
        <v>0</v>
      </c>
      <c r="T223" s="90"/>
      <c r="U223" s="90">
        <f>R223-S223</f>
        <v>0</v>
      </c>
      <c r="V223" s="83"/>
      <c r="W223" s="90">
        <f>W220</f>
        <v>0</v>
      </c>
      <c r="X223" s="90">
        <f>W223*$C$3</f>
        <v>0</v>
      </c>
      <c r="Y223" s="90"/>
      <c r="Z223" s="90">
        <f>W223-X223</f>
        <v>0</v>
      </c>
      <c r="AA223"/>
      <c r="AB223" s="83"/>
      <c r="AC223" s="83"/>
      <c r="AD223" s="83"/>
    </row>
    <row r="224" spans="1:30" s="86" customFormat="1" ht="12.75" customHeight="1" thickBot="1">
      <c r="A224" s="106"/>
      <c r="B224" s="83"/>
      <c r="C224" s="93"/>
      <c r="D224" s="112"/>
      <c r="E224" s="82"/>
      <c r="F224" s="126">
        <f aca="true" t="shared" si="82" ref="F224:P224">SUM(F223:F223)</f>
        <v>0</v>
      </c>
      <c r="G224" s="126">
        <f t="shared" si="82"/>
        <v>0</v>
      </c>
      <c r="H224" s="126">
        <f t="shared" si="82"/>
        <v>0</v>
      </c>
      <c r="I224" s="126">
        <f t="shared" si="82"/>
        <v>0</v>
      </c>
      <c r="J224" s="126">
        <f t="shared" si="82"/>
        <v>0</v>
      </c>
      <c r="K224" s="126">
        <f t="shared" si="82"/>
        <v>0</v>
      </c>
      <c r="L224" s="126">
        <f t="shared" si="82"/>
        <v>1500000</v>
      </c>
      <c r="M224" s="126">
        <f t="shared" si="82"/>
        <v>1500000</v>
      </c>
      <c r="N224" s="126">
        <f t="shared" si="82"/>
        <v>528037.4999999999</v>
      </c>
      <c r="O224" s="126">
        <f t="shared" si="82"/>
        <v>0</v>
      </c>
      <c r="P224" s="126">
        <f t="shared" si="82"/>
        <v>971962.5000000001</v>
      </c>
      <c r="Q224" s="83"/>
      <c r="R224" s="126">
        <f>SUM(R223:R223)</f>
        <v>0</v>
      </c>
      <c r="S224" s="126">
        <f>SUM(S223:S223)</f>
        <v>0</v>
      </c>
      <c r="T224" s="126">
        <f>SUM(T223:T223)</f>
        <v>0</v>
      </c>
      <c r="U224" s="126">
        <f>SUM(U223:U223)</f>
        <v>0</v>
      </c>
      <c r="V224" s="83"/>
      <c r="W224" s="126">
        <f>SUM(W223:W223)</f>
        <v>0</v>
      </c>
      <c r="X224" s="126">
        <f>SUM(X223:X223)</f>
        <v>0</v>
      </c>
      <c r="Y224" s="126">
        <f>SUM(Y223:Y223)</f>
        <v>0</v>
      </c>
      <c r="Z224" s="126">
        <f>SUM(Z223:Z223)</f>
        <v>0</v>
      </c>
      <c r="AA224"/>
      <c r="AB224" s="83"/>
      <c r="AC224" s="83"/>
      <c r="AD224" s="83"/>
    </row>
    <row r="225" spans="1:30" s="107" customFormat="1" ht="12.75" customHeight="1" thickTop="1">
      <c r="A225" s="73"/>
      <c r="B225" s="111"/>
      <c r="C225" s="93"/>
      <c r="D225" s="112"/>
      <c r="E225" s="82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83"/>
      <c r="R225" s="90"/>
      <c r="S225" s="90"/>
      <c r="T225" s="90"/>
      <c r="U225" s="90"/>
      <c r="V225" s="83"/>
      <c r="W225" s="90"/>
      <c r="X225" s="90"/>
      <c r="Y225" s="90"/>
      <c r="Z225" s="90"/>
      <c r="AA225"/>
      <c r="AB225" s="83"/>
      <c r="AC225" s="83"/>
      <c r="AD225" s="111"/>
    </row>
    <row r="226" spans="1:29" ht="12.75" customHeight="1" thickBot="1">
      <c r="A226" s="117">
        <v>11</v>
      </c>
      <c r="B226" s="118" t="s">
        <v>14</v>
      </c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3"/>
      <c r="R226" s="82"/>
      <c r="S226" s="82"/>
      <c r="T226" s="82"/>
      <c r="U226" s="82"/>
      <c r="V226" s="83"/>
      <c r="W226" s="82"/>
      <c r="X226" s="82"/>
      <c r="Y226" s="82"/>
      <c r="Z226" s="82"/>
      <c r="AA226"/>
      <c r="AB226" s="83"/>
      <c r="AC226" s="83"/>
    </row>
    <row r="227" spans="1:30" s="107" customFormat="1" ht="0.75" customHeight="1">
      <c r="A227" s="117"/>
      <c r="B227" s="121" t="s">
        <v>77</v>
      </c>
      <c r="C227" s="93"/>
      <c r="D227" s="112"/>
      <c r="E227" s="82"/>
      <c r="F227" s="97" t="s">
        <v>72</v>
      </c>
      <c r="G227" s="97" t="s">
        <v>73</v>
      </c>
      <c r="H227" s="97" t="s">
        <v>1</v>
      </c>
      <c r="I227" s="97" t="s">
        <v>74</v>
      </c>
      <c r="J227" s="97" t="s">
        <v>66</v>
      </c>
      <c r="K227" s="97" t="s">
        <v>59</v>
      </c>
      <c r="L227" s="97" t="s">
        <v>18</v>
      </c>
      <c r="M227" s="97" t="s">
        <v>1</v>
      </c>
      <c r="N227" s="97" t="s">
        <v>7</v>
      </c>
      <c r="O227" s="97" t="s">
        <v>75</v>
      </c>
      <c r="P227" s="97" t="s">
        <v>76</v>
      </c>
      <c r="Q227" s="108"/>
      <c r="R227" s="97" t="s">
        <v>1</v>
      </c>
      <c r="S227" s="97" t="s">
        <v>7</v>
      </c>
      <c r="T227" s="97" t="s">
        <v>75</v>
      </c>
      <c r="U227" s="97" t="s">
        <v>76</v>
      </c>
      <c r="V227" s="83"/>
      <c r="W227" s="97" t="s">
        <v>1</v>
      </c>
      <c r="X227" s="97" t="s">
        <v>7</v>
      </c>
      <c r="Y227" s="97" t="s">
        <v>75</v>
      </c>
      <c r="Z227" s="97" t="s">
        <v>76</v>
      </c>
      <c r="AA227"/>
      <c r="AB227" s="83"/>
      <c r="AC227" s="83"/>
      <c r="AD227" s="111"/>
    </row>
    <row r="228" spans="1:30" s="107" customFormat="1" ht="12.75" customHeight="1" hidden="1">
      <c r="A228" s="113"/>
      <c r="B228" s="102"/>
      <c r="C228" s="93"/>
      <c r="D228" s="112"/>
      <c r="E228" s="82"/>
      <c r="F228" s="82">
        <f>+E228*D228</f>
        <v>0</v>
      </c>
      <c r="G228" s="82">
        <f>+F228*$C$4</f>
        <v>0</v>
      </c>
      <c r="H228" s="82">
        <f>+G228+F228</f>
        <v>0</v>
      </c>
      <c r="I228" s="82"/>
      <c r="J228" s="82">
        <f>+$C$7*D228</f>
        <v>0</v>
      </c>
      <c r="K228" s="82">
        <f>$C$5*D228</f>
        <v>0</v>
      </c>
      <c r="L228" s="82">
        <f>+$C$6*D228</f>
        <v>0</v>
      </c>
      <c r="M228" s="82">
        <f>SUM(H228:L228)</f>
        <v>0</v>
      </c>
      <c r="N228" s="82">
        <f>+M228*$C$2</f>
        <v>0</v>
      </c>
      <c r="O228" s="82"/>
      <c r="P228" s="82">
        <f>+M228-N228-O228</f>
        <v>0</v>
      </c>
      <c r="Q228" s="83"/>
      <c r="R228" s="82"/>
      <c r="S228" s="82">
        <f>+R228*0.5</f>
        <v>0</v>
      </c>
      <c r="T228" s="82"/>
      <c r="U228" s="82">
        <f>+R228-S228-T228</f>
        <v>0</v>
      </c>
      <c r="V228" s="83"/>
      <c r="W228" s="82"/>
      <c r="X228" s="82">
        <f>+W228*0.5</f>
        <v>0</v>
      </c>
      <c r="Y228" s="82"/>
      <c r="Z228" s="82">
        <f>+W228-X228-Y228</f>
        <v>0</v>
      </c>
      <c r="AA228"/>
      <c r="AB228" s="83"/>
      <c r="AC228" s="83"/>
      <c r="AD228" s="111"/>
    </row>
    <row r="229" spans="1:29" ht="12.75" customHeight="1" hidden="1" thickBot="1">
      <c r="A229" s="73"/>
      <c r="B229" s="102"/>
      <c r="F229" s="123">
        <f>+E229*D229</f>
        <v>0</v>
      </c>
      <c r="G229" s="123">
        <f>+F229*$C$4</f>
        <v>0</v>
      </c>
      <c r="H229" s="123">
        <f>+G229+F229</f>
        <v>0</v>
      </c>
      <c r="I229" s="123"/>
      <c r="J229" s="123">
        <f>+$C$7*D229</f>
        <v>0</v>
      </c>
      <c r="K229" s="123">
        <f>$C$5*D229</f>
        <v>0</v>
      </c>
      <c r="L229" s="123">
        <f>+$C$6*D229</f>
        <v>0</v>
      </c>
      <c r="M229" s="123">
        <f>SUM(H229:L229)</f>
        <v>0</v>
      </c>
      <c r="N229" s="123">
        <f>+M229*$C$2</f>
        <v>0</v>
      </c>
      <c r="O229" s="123"/>
      <c r="P229" s="123">
        <f>+M229-N229-O229</f>
        <v>0</v>
      </c>
      <c r="Q229" s="138"/>
      <c r="R229" s="123"/>
      <c r="S229" s="123">
        <f>+R229*0.5</f>
        <v>0</v>
      </c>
      <c r="T229" s="123"/>
      <c r="U229" s="123">
        <f>+R229-S229-T229</f>
        <v>0</v>
      </c>
      <c r="V229" s="83"/>
      <c r="W229" s="123"/>
      <c r="X229" s="123">
        <f>+W229*0.5</f>
        <v>0</v>
      </c>
      <c r="Y229" s="123"/>
      <c r="Z229" s="123">
        <f>+W229-X229-Y229</f>
        <v>0</v>
      </c>
      <c r="AA229"/>
      <c r="AB229" s="83"/>
      <c r="AC229" s="83"/>
    </row>
    <row r="230" spans="1:30" s="86" customFormat="1" ht="12.75" customHeight="1">
      <c r="A230" s="122"/>
      <c r="B230" s="83"/>
      <c r="C230" s="93"/>
      <c r="D230" s="112"/>
      <c r="E230" s="82"/>
      <c r="F230" s="82">
        <f aca="true" t="shared" si="83" ref="F230:P230">SUM(F228:F229)</f>
        <v>0</v>
      </c>
      <c r="G230" s="82">
        <f t="shared" si="83"/>
        <v>0</v>
      </c>
      <c r="H230" s="82">
        <f t="shared" si="83"/>
        <v>0</v>
      </c>
      <c r="I230" s="82">
        <f t="shared" si="83"/>
        <v>0</v>
      </c>
      <c r="J230" s="82">
        <f t="shared" si="83"/>
        <v>0</v>
      </c>
      <c r="K230" s="82">
        <f t="shared" si="83"/>
        <v>0</v>
      </c>
      <c r="L230" s="82">
        <f t="shared" si="83"/>
        <v>0</v>
      </c>
      <c r="M230" s="82">
        <f t="shared" si="83"/>
        <v>0</v>
      </c>
      <c r="N230" s="82">
        <f t="shared" si="83"/>
        <v>0</v>
      </c>
      <c r="O230" s="82">
        <f t="shared" si="83"/>
        <v>0</v>
      </c>
      <c r="P230" s="82">
        <f t="shared" si="83"/>
        <v>0</v>
      </c>
      <c r="Q230" s="83"/>
      <c r="R230" s="82"/>
      <c r="S230" s="82"/>
      <c r="T230" s="82">
        <f>SUM(T228:T229)</f>
        <v>0</v>
      </c>
      <c r="U230" s="82"/>
      <c r="V230" s="83"/>
      <c r="W230" s="82"/>
      <c r="X230" s="82"/>
      <c r="Y230" s="82">
        <f>SUM(Y228:Y229)</f>
        <v>0</v>
      </c>
      <c r="Z230" s="82"/>
      <c r="AA230"/>
      <c r="AB230" s="83"/>
      <c r="AC230" s="83"/>
      <c r="AD230" s="83"/>
    </row>
    <row r="231" spans="1:29" ht="12.75" customHeight="1">
      <c r="A231" s="148"/>
      <c r="B231" s="83" t="s">
        <v>134</v>
      </c>
      <c r="F231" s="82"/>
      <c r="G231" s="82"/>
      <c r="H231" s="82"/>
      <c r="I231" s="82"/>
      <c r="J231" s="82"/>
      <c r="K231" s="82"/>
      <c r="L231" s="82">
        <v>902095</v>
      </c>
      <c r="M231" s="82">
        <f>SUM(H231:L231)</f>
        <v>902095</v>
      </c>
      <c r="N231" s="82">
        <f>M231*$C$1</f>
        <v>317559.9923749999</v>
      </c>
      <c r="O231" s="82"/>
      <c r="P231" s="82">
        <f>+M231-N231-O231</f>
        <v>584535.0076250001</v>
      </c>
      <c r="Q231" s="82"/>
      <c r="R231" s="82"/>
      <c r="S231" s="90"/>
      <c r="T231" s="82"/>
      <c r="U231" s="90">
        <f>R231-S231</f>
        <v>0</v>
      </c>
      <c r="V231" s="83"/>
      <c r="W231" s="82"/>
      <c r="X231" s="90"/>
      <c r="Y231" s="82"/>
      <c r="Z231" s="90">
        <f>W231-X231</f>
        <v>0</v>
      </c>
      <c r="AA231"/>
      <c r="AB231" s="83"/>
      <c r="AC231" s="83"/>
    </row>
    <row r="232" spans="1:27" s="83" customFormat="1" ht="12.75" customHeight="1">
      <c r="A232" s="148"/>
      <c r="B232" s="83" t="s">
        <v>135</v>
      </c>
      <c r="C232" s="93"/>
      <c r="D232" s="112"/>
      <c r="E232" s="82"/>
      <c r="F232" s="82"/>
      <c r="G232" s="82"/>
      <c r="H232" s="82"/>
      <c r="I232" s="82"/>
      <c r="J232" s="82"/>
      <c r="K232" s="82"/>
      <c r="L232" s="82">
        <v>1681815</v>
      </c>
      <c r="M232" s="82">
        <f>SUM(H232:L232)</f>
        <v>1681815</v>
      </c>
      <c r="N232" s="82">
        <f>M232*$C$1</f>
        <v>592040.9253749999</v>
      </c>
      <c r="O232" s="82"/>
      <c r="P232" s="82">
        <f>+M232-N232-O232</f>
        <v>1089774.0746250001</v>
      </c>
      <c r="Q232" s="82"/>
      <c r="R232" s="82"/>
      <c r="S232" s="90"/>
      <c r="T232" s="82"/>
      <c r="U232" s="90">
        <f>R232-S232</f>
        <v>0</v>
      </c>
      <c r="W232" s="82"/>
      <c r="X232" s="90"/>
      <c r="Y232" s="82"/>
      <c r="Z232" s="90">
        <f>W232-X232</f>
        <v>0</v>
      </c>
      <c r="AA232"/>
    </row>
    <row r="233" spans="1:27" s="83" customFormat="1" ht="12.75" customHeight="1">
      <c r="A233" s="148"/>
      <c r="B233" s="83" t="s">
        <v>136</v>
      </c>
      <c r="C233" s="93"/>
      <c r="D233" s="112"/>
      <c r="E233" s="82"/>
      <c r="F233" s="82"/>
      <c r="G233" s="82"/>
      <c r="H233" s="82"/>
      <c r="I233" s="82"/>
      <c r="J233" s="82"/>
      <c r="K233" s="82"/>
      <c r="L233" s="82">
        <v>993744</v>
      </c>
      <c r="M233" s="82">
        <f>SUM(H233:L233)</f>
        <v>993744</v>
      </c>
      <c r="N233" s="82">
        <f>M233*$C$1</f>
        <v>349822.73159999994</v>
      </c>
      <c r="O233" s="82"/>
      <c r="P233" s="82">
        <f>+M233-N233-O233</f>
        <v>643921.2684000001</v>
      </c>
      <c r="R233" s="82"/>
      <c r="S233" s="90"/>
      <c r="T233" s="90"/>
      <c r="U233" s="90">
        <f>R233-S233</f>
        <v>0</v>
      </c>
      <c r="W233" s="82"/>
      <c r="X233" s="90"/>
      <c r="Y233" s="90"/>
      <c r="Z233" s="90">
        <f>W233-X233</f>
        <v>0</v>
      </c>
      <c r="AA233"/>
    </row>
    <row r="234" spans="1:30" s="86" customFormat="1" ht="12.75" customHeight="1">
      <c r="A234" s="117"/>
      <c r="B234" s="83"/>
      <c r="C234" s="93"/>
      <c r="D234" s="83"/>
      <c r="E234" s="82"/>
      <c r="F234" s="82"/>
      <c r="G234" s="82"/>
      <c r="H234" s="90"/>
      <c r="I234" s="82"/>
      <c r="J234" s="82"/>
      <c r="K234" s="82"/>
      <c r="L234" s="82"/>
      <c r="M234" s="90">
        <f>SUM(H234:L234)</f>
        <v>0</v>
      </c>
      <c r="N234" s="82"/>
      <c r="O234" s="82"/>
      <c r="P234" s="82">
        <f>M234-N234</f>
        <v>0</v>
      </c>
      <c r="Q234" s="83"/>
      <c r="R234" s="90"/>
      <c r="S234" s="90"/>
      <c r="T234" s="90"/>
      <c r="U234" s="90"/>
      <c r="V234" s="83"/>
      <c r="W234" s="90"/>
      <c r="X234" s="90"/>
      <c r="Y234" s="90"/>
      <c r="Z234" s="90"/>
      <c r="AA234"/>
      <c r="AB234" s="83"/>
      <c r="AC234" s="83"/>
      <c r="AD234" s="83"/>
    </row>
    <row r="235" spans="2:29" ht="12.75" customHeight="1" thickBot="1">
      <c r="B235" s="83" t="s">
        <v>79</v>
      </c>
      <c r="C235" s="133"/>
      <c r="D235" s="83"/>
      <c r="E235" s="149"/>
      <c r="F235" s="126">
        <f aca="true" t="shared" si="84" ref="F235:P235">SUM(F230:F234)</f>
        <v>0</v>
      </c>
      <c r="G235" s="126">
        <f t="shared" si="84"/>
        <v>0</v>
      </c>
      <c r="H235" s="126">
        <f t="shared" si="84"/>
        <v>0</v>
      </c>
      <c r="I235" s="126">
        <f t="shared" si="84"/>
        <v>0</v>
      </c>
      <c r="J235" s="126">
        <f t="shared" si="84"/>
        <v>0</v>
      </c>
      <c r="K235" s="126">
        <f t="shared" si="84"/>
        <v>0</v>
      </c>
      <c r="L235" s="126">
        <f t="shared" si="84"/>
        <v>3577654</v>
      </c>
      <c r="M235" s="126">
        <f t="shared" si="84"/>
        <v>3577654</v>
      </c>
      <c r="N235" s="126">
        <f t="shared" si="84"/>
        <v>1259423.6493499996</v>
      </c>
      <c r="O235" s="126">
        <f t="shared" si="84"/>
        <v>0</v>
      </c>
      <c r="P235" s="126">
        <f t="shared" si="84"/>
        <v>2318230.3506500004</v>
      </c>
      <c r="Q235" s="83"/>
      <c r="R235" s="126">
        <f>SUM(R230:R234)</f>
        <v>0</v>
      </c>
      <c r="S235" s="126">
        <f>SUM(S230:S234)</f>
        <v>0</v>
      </c>
      <c r="T235" s="126">
        <f>SUM(T230:T234)</f>
        <v>0</v>
      </c>
      <c r="U235" s="126">
        <f>SUM(U230:U234)</f>
        <v>0</v>
      </c>
      <c r="V235" s="83"/>
      <c r="W235" s="126">
        <f>SUM(W230:W234)</f>
        <v>0</v>
      </c>
      <c r="X235" s="126">
        <f>SUM(X230:X234)</f>
        <v>0</v>
      </c>
      <c r="Y235" s="126">
        <f>SUM(Y230:Y234)</f>
        <v>0</v>
      </c>
      <c r="Z235" s="126">
        <f>SUM(Z230:Z234)</f>
        <v>0</v>
      </c>
      <c r="AA235"/>
      <c r="AB235" s="83"/>
      <c r="AC235" s="83"/>
    </row>
    <row r="236" spans="1:30" s="107" customFormat="1" ht="12.75" customHeight="1" thickTop="1">
      <c r="A236" s="73"/>
      <c r="B236" s="120"/>
      <c r="C236" s="133"/>
      <c r="D236" s="120"/>
      <c r="E236" s="67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3"/>
      <c r="R236" s="82"/>
      <c r="S236" s="82"/>
      <c r="T236" s="82"/>
      <c r="U236" s="82"/>
      <c r="V236" s="83"/>
      <c r="W236" s="82"/>
      <c r="X236" s="82"/>
      <c r="Y236" s="82"/>
      <c r="Z236" s="82"/>
      <c r="AA236"/>
      <c r="AB236" s="83"/>
      <c r="AC236" s="83"/>
      <c r="AD236" s="111"/>
    </row>
    <row r="237" spans="1:30" s="107" customFormat="1" ht="12.75" customHeight="1">
      <c r="A237" s="117"/>
      <c r="B237" s="128" t="s">
        <v>80</v>
      </c>
      <c r="C237" s="93"/>
      <c r="D237" s="112"/>
      <c r="E237" s="82"/>
      <c r="L237" s="82"/>
      <c r="M237" s="82"/>
      <c r="N237" s="82"/>
      <c r="O237" s="82"/>
      <c r="P237" s="82"/>
      <c r="Q237" s="83"/>
      <c r="R237" s="82"/>
      <c r="S237" s="82"/>
      <c r="T237" s="82"/>
      <c r="U237" s="82"/>
      <c r="V237" s="83"/>
      <c r="W237" s="82"/>
      <c r="X237" s="82"/>
      <c r="Y237" s="82"/>
      <c r="Z237" s="82"/>
      <c r="AA237"/>
      <c r="AB237" s="83"/>
      <c r="AC237" s="83"/>
      <c r="AD237" s="111"/>
    </row>
    <row r="238" spans="1:30" s="86" customFormat="1" ht="12.75" customHeight="1">
      <c r="A238" s="106"/>
      <c r="B238" s="129" t="str">
        <f>K5</f>
        <v>340-1020-01</v>
      </c>
      <c r="C238" s="93"/>
      <c r="D238" s="112"/>
      <c r="E238" s="82"/>
      <c r="L238" s="82">
        <f>+L235</f>
        <v>3577654</v>
      </c>
      <c r="M238" s="90">
        <f>SUM(H238:L238)</f>
        <v>3577654</v>
      </c>
      <c r="N238" s="82">
        <f>M238*$C$1</f>
        <v>1259423.6493499996</v>
      </c>
      <c r="O238" s="82"/>
      <c r="P238" s="82">
        <f>M238-N238</f>
        <v>2318230.3506500004</v>
      </c>
      <c r="Q238" s="83"/>
      <c r="R238" s="82"/>
      <c r="S238" s="90"/>
      <c r="T238" s="90"/>
      <c r="U238" s="90">
        <f>R238-S238</f>
        <v>0</v>
      </c>
      <c r="V238" s="83"/>
      <c r="W238" s="82"/>
      <c r="X238" s="90"/>
      <c r="Y238" s="90"/>
      <c r="Z238" s="90">
        <f>W238-X238</f>
        <v>0</v>
      </c>
      <c r="AA238"/>
      <c r="AB238" s="83"/>
      <c r="AC238" s="83"/>
      <c r="AD238" s="83"/>
    </row>
    <row r="239" spans="1:29" ht="12.75" customHeight="1" thickBot="1">
      <c r="A239" s="106"/>
      <c r="B239" s="86"/>
      <c r="F239" s="126">
        <f aca="true" t="shared" si="85" ref="F239:P239">SUM(F238:F238)</f>
        <v>0</v>
      </c>
      <c r="G239" s="126">
        <f t="shared" si="85"/>
        <v>0</v>
      </c>
      <c r="H239" s="126">
        <f t="shared" si="85"/>
        <v>0</v>
      </c>
      <c r="I239" s="126">
        <f t="shared" si="85"/>
        <v>0</v>
      </c>
      <c r="J239" s="126">
        <f t="shared" si="85"/>
        <v>0</v>
      </c>
      <c r="K239" s="126">
        <f t="shared" si="85"/>
        <v>0</v>
      </c>
      <c r="L239" s="126">
        <f t="shared" si="85"/>
        <v>3577654</v>
      </c>
      <c r="M239" s="126">
        <f t="shared" si="85"/>
        <v>3577654</v>
      </c>
      <c r="N239" s="126">
        <f t="shared" si="85"/>
        <v>1259423.6493499996</v>
      </c>
      <c r="O239" s="126">
        <f t="shared" si="85"/>
        <v>0</v>
      </c>
      <c r="P239" s="126">
        <f t="shared" si="85"/>
        <v>2318230.3506500004</v>
      </c>
      <c r="Q239" s="83"/>
      <c r="R239" s="126">
        <f>SUM(R238:R238)</f>
        <v>0</v>
      </c>
      <c r="S239" s="126">
        <f>SUM(S238:S238)</f>
        <v>0</v>
      </c>
      <c r="T239" s="126">
        <f>SUM(T238:T238)</f>
        <v>0</v>
      </c>
      <c r="U239" s="126">
        <f>SUM(U238:U238)</f>
        <v>0</v>
      </c>
      <c r="V239" s="83"/>
      <c r="W239" s="126">
        <f>SUM(W238:W238)</f>
        <v>0</v>
      </c>
      <c r="X239" s="126">
        <f>SUM(X238:X238)</f>
        <v>0</v>
      </c>
      <c r="Y239" s="126">
        <f>SUM(Y238:Y238)</f>
        <v>0</v>
      </c>
      <c r="Z239" s="126">
        <f>SUM(Z238:Z238)</f>
        <v>0</v>
      </c>
      <c r="AA239"/>
      <c r="AB239" s="83"/>
      <c r="AC239" s="83"/>
    </row>
    <row r="240" spans="1:29" ht="12.75" customHeight="1" thickTop="1">
      <c r="A240" s="73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3"/>
      <c r="R240" s="82"/>
      <c r="S240" s="82"/>
      <c r="T240" s="82"/>
      <c r="U240" s="82"/>
      <c r="V240" s="83"/>
      <c r="W240" s="82"/>
      <c r="X240" s="82"/>
      <c r="Y240" s="82"/>
      <c r="Z240" s="82"/>
      <c r="AA240"/>
      <c r="AB240" s="83"/>
      <c r="AC240" s="83"/>
    </row>
    <row r="241" spans="1:30" s="107" customFormat="1" ht="15" customHeight="1" thickBot="1">
      <c r="A241" s="117">
        <v>12</v>
      </c>
      <c r="B241" s="150" t="s">
        <v>137</v>
      </c>
      <c r="C241" s="93"/>
      <c r="D241" s="11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3"/>
      <c r="R241" s="82"/>
      <c r="S241" s="82"/>
      <c r="T241" s="82"/>
      <c r="U241" s="82"/>
      <c r="V241" s="83"/>
      <c r="W241" s="82"/>
      <c r="X241" s="82"/>
      <c r="Y241" s="82"/>
      <c r="Z241" s="82"/>
      <c r="AA241"/>
      <c r="AB241" s="83"/>
      <c r="AC241" s="83"/>
      <c r="AD241" s="111"/>
    </row>
    <row r="242" spans="1:30" s="86" customFormat="1" ht="12.75" customHeight="1" hidden="1">
      <c r="A242" s="117"/>
      <c r="B242" s="121" t="s">
        <v>77</v>
      </c>
      <c r="C242" s="93"/>
      <c r="D242" s="112"/>
      <c r="E242" s="82"/>
      <c r="F242" s="97" t="s">
        <v>72</v>
      </c>
      <c r="G242" s="97" t="s">
        <v>73</v>
      </c>
      <c r="H242" s="97" t="s">
        <v>1</v>
      </c>
      <c r="I242" s="97" t="s">
        <v>74</v>
      </c>
      <c r="J242" s="97" t="s">
        <v>66</v>
      </c>
      <c r="K242" s="97" t="s">
        <v>59</v>
      </c>
      <c r="L242" s="97" t="s">
        <v>18</v>
      </c>
      <c r="M242" s="97" t="s">
        <v>1</v>
      </c>
      <c r="N242" s="97" t="s">
        <v>7</v>
      </c>
      <c r="O242" s="97" t="s">
        <v>75</v>
      </c>
      <c r="P242" s="97" t="s">
        <v>76</v>
      </c>
      <c r="Q242" s="108"/>
      <c r="R242" s="97" t="s">
        <v>1</v>
      </c>
      <c r="S242" s="97" t="s">
        <v>7</v>
      </c>
      <c r="T242" s="97" t="s">
        <v>75</v>
      </c>
      <c r="U242" s="97" t="s">
        <v>76</v>
      </c>
      <c r="V242" s="83"/>
      <c r="W242" s="97" t="s">
        <v>1</v>
      </c>
      <c r="X242" s="97" t="s">
        <v>7</v>
      </c>
      <c r="Y242" s="97" t="s">
        <v>75</v>
      </c>
      <c r="Z242" s="97" t="s">
        <v>76</v>
      </c>
      <c r="AA242"/>
      <c r="AB242" s="83"/>
      <c r="AC242" s="83"/>
      <c r="AD242" s="83"/>
    </row>
    <row r="243" spans="1:30" s="86" customFormat="1" ht="0.75" customHeight="1">
      <c r="A243" s="113"/>
      <c r="B243" s="102"/>
      <c r="C243" s="93"/>
      <c r="D243" s="112"/>
      <c r="E243" s="82"/>
      <c r="F243" s="82">
        <f>+E243*D243</f>
        <v>0</v>
      </c>
      <c r="G243" s="82">
        <f>+F243*$C$4</f>
        <v>0</v>
      </c>
      <c r="H243" s="82">
        <f>+G243+F243</f>
        <v>0</v>
      </c>
      <c r="I243" s="82"/>
      <c r="J243" s="82">
        <f>+$C$7*D243</f>
        <v>0</v>
      </c>
      <c r="K243" s="82">
        <f>$C$5*D243</f>
        <v>0</v>
      </c>
      <c r="L243" s="82">
        <f>+$C$6*D243</f>
        <v>0</v>
      </c>
      <c r="M243" s="82">
        <f>SUM(H243:L243)</f>
        <v>0</v>
      </c>
      <c r="N243" s="82">
        <f>+M243*$C$2</f>
        <v>0</v>
      </c>
      <c r="O243" s="82"/>
      <c r="P243" s="82">
        <f>+M243-N243-O243</f>
        <v>0</v>
      </c>
      <c r="Q243" s="83"/>
      <c r="R243" s="82"/>
      <c r="S243" s="82">
        <f>+R243*0.5</f>
        <v>0</v>
      </c>
      <c r="T243" s="82"/>
      <c r="U243" s="82">
        <f>+R243-S243-T243</f>
        <v>0</v>
      </c>
      <c r="V243" s="83"/>
      <c r="W243" s="82"/>
      <c r="X243" s="82">
        <f>+W243*0.5</f>
        <v>0</v>
      </c>
      <c r="Y243" s="82"/>
      <c r="Z243" s="82">
        <f>+W243-X243-Y243</f>
        <v>0</v>
      </c>
      <c r="AA243"/>
      <c r="AB243" s="83"/>
      <c r="AC243" s="83"/>
      <c r="AD243" s="83"/>
    </row>
    <row r="244" spans="1:30" s="86" customFormat="1" ht="12.75" customHeight="1" hidden="1" thickBot="1">
      <c r="A244" s="106"/>
      <c r="B244" s="83"/>
      <c r="C244" s="141"/>
      <c r="D244" s="112"/>
      <c r="E244" s="82"/>
      <c r="F244" s="123">
        <f>+E244*D244</f>
        <v>0</v>
      </c>
      <c r="G244" s="123">
        <f>+F244*$C$4</f>
        <v>0</v>
      </c>
      <c r="H244" s="123">
        <f>+G244+F244</f>
        <v>0</v>
      </c>
      <c r="I244" s="123"/>
      <c r="J244" s="123">
        <f>+$C$7*D244</f>
        <v>0</v>
      </c>
      <c r="K244" s="123">
        <f>$C$5*D244</f>
        <v>0</v>
      </c>
      <c r="L244" s="123">
        <f>+$C$6*D244</f>
        <v>0</v>
      </c>
      <c r="M244" s="123">
        <f>SUM(H244:L244)</f>
        <v>0</v>
      </c>
      <c r="N244" s="123">
        <f>+M244*$C$2</f>
        <v>0</v>
      </c>
      <c r="O244" s="123"/>
      <c r="P244" s="123">
        <f>+M244-N244-O244</f>
        <v>0</v>
      </c>
      <c r="Q244" s="138"/>
      <c r="R244" s="123"/>
      <c r="S244" s="123">
        <f>+R244*0.5</f>
        <v>0</v>
      </c>
      <c r="T244" s="123"/>
      <c r="U244" s="123">
        <f>+R244-S244-T244</f>
        <v>0</v>
      </c>
      <c r="V244" s="83"/>
      <c r="W244" s="123"/>
      <c r="X244" s="123">
        <f>+W244*0.5</f>
        <v>0</v>
      </c>
      <c r="Y244" s="123"/>
      <c r="Z244" s="123">
        <f>+W244-X244-Y244</f>
        <v>0</v>
      </c>
      <c r="AA244"/>
      <c r="AB244" s="83"/>
      <c r="AC244" s="83"/>
      <c r="AD244" s="83"/>
    </row>
    <row r="245" spans="1:29" ht="12.75" customHeight="1">
      <c r="A245" s="106"/>
      <c r="B245" s="83"/>
      <c r="F245" s="82">
        <f aca="true" t="shared" si="86" ref="F245:P245">SUM(F243:F244)</f>
        <v>0</v>
      </c>
      <c r="G245" s="82">
        <f t="shared" si="86"/>
        <v>0</v>
      </c>
      <c r="H245" s="82">
        <f t="shared" si="86"/>
        <v>0</v>
      </c>
      <c r="I245" s="82">
        <f t="shared" si="86"/>
        <v>0</v>
      </c>
      <c r="J245" s="82">
        <f t="shared" si="86"/>
        <v>0</v>
      </c>
      <c r="K245" s="82">
        <f t="shared" si="86"/>
        <v>0</v>
      </c>
      <c r="L245" s="82">
        <f t="shared" si="86"/>
        <v>0</v>
      </c>
      <c r="M245" s="82">
        <f t="shared" si="86"/>
        <v>0</v>
      </c>
      <c r="N245" s="82">
        <f t="shared" si="86"/>
        <v>0</v>
      </c>
      <c r="O245" s="82">
        <f t="shared" si="86"/>
        <v>0</v>
      </c>
      <c r="P245" s="82">
        <f t="shared" si="86"/>
        <v>0</v>
      </c>
      <c r="Q245" s="83"/>
      <c r="R245" s="82"/>
      <c r="S245" s="82"/>
      <c r="T245" s="82"/>
      <c r="U245" s="82"/>
      <c r="V245" s="83"/>
      <c r="W245" s="82"/>
      <c r="X245" s="82"/>
      <c r="Y245" s="82"/>
      <c r="Z245" s="82"/>
      <c r="AA245"/>
      <c r="AB245" s="83"/>
      <c r="AC245" s="83"/>
    </row>
    <row r="246" spans="1:30" s="86" customFormat="1" ht="12.75" customHeight="1">
      <c r="A246" s="93">
        <v>510</v>
      </c>
      <c r="B246" s="83" t="s">
        <v>138</v>
      </c>
      <c r="C246" s="93"/>
      <c r="D246" s="112"/>
      <c r="E246" s="82"/>
      <c r="F246" s="82"/>
      <c r="G246" s="82"/>
      <c r="H246" s="82"/>
      <c r="I246" s="82"/>
      <c r="J246" s="82"/>
      <c r="K246" s="82"/>
      <c r="L246" s="82">
        <f>'[9]FY10 BR list for MF'!$E$9</f>
        <v>451584</v>
      </c>
      <c r="M246" s="90">
        <f aca="true" t="shared" si="87" ref="M246:M252">SUM(H246:L246)</f>
        <v>451584</v>
      </c>
      <c r="N246" s="82">
        <f aca="true" t="shared" si="88" ref="N246:N252">M246*$C$1</f>
        <v>158968.85759999996</v>
      </c>
      <c r="O246" s="82"/>
      <c r="P246" s="82">
        <f aca="true" t="shared" si="89" ref="P246:P252">M246-N246-O246</f>
        <v>292615.1424</v>
      </c>
      <c r="Q246" s="83"/>
      <c r="R246" s="82"/>
      <c r="S246" s="82"/>
      <c r="T246" s="82"/>
      <c r="U246" s="82">
        <f aca="true" t="shared" si="90" ref="U246:U252">R246-S246-T246</f>
        <v>0</v>
      </c>
      <c r="V246" s="83"/>
      <c r="W246" s="82"/>
      <c r="X246" s="82"/>
      <c r="Y246" s="82"/>
      <c r="Z246" s="82">
        <f aca="true" t="shared" si="91" ref="Z246:Z252">W246-X246-Y246</f>
        <v>0</v>
      </c>
      <c r="AA246"/>
      <c r="AB246" s="83"/>
      <c r="AC246" s="83"/>
      <c r="AD246" s="83"/>
    </row>
    <row r="247" spans="1:30" s="86" customFormat="1" ht="12.75" customHeight="1">
      <c r="A247" s="93">
        <v>507</v>
      </c>
      <c r="B247" s="83" t="s">
        <v>139</v>
      </c>
      <c r="C247" s="93"/>
      <c r="D247" s="112"/>
      <c r="E247" s="82"/>
      <c r="F247" s="82"/>
      <c r="G247" s="82"/>
      <c r="H247" s="82"/>
      <c r="I247" s="82"/>
      <c r="J247" s="82"/>
      <c r="K247" s="82"/>
      <c r="L247" s="82">
        <f>'[9]FY10 BR list for MF'!$E$6</f>
        <v>2642834</v>
      </c>
      <c r="M247" s="90">
        <f t="shared" si="87"/>
        <v>2642834</v>
      </c>
      <c r="N247" s="82">
        <f t="shared" si="88"/>
        <v>930343.6388499998</v>
      </c>
      <c r="O247" s="82"/>
      <c r="P247" s="82">
        <f t="shared" si="89"/>
        <v>1712490.3611500002</v>
      </c>
      <c r="Q247" s="83"/>
      <c r="R247" s="82"/>
      <c r="S247" s="82"/>
      <c r="T247" s="82"/>
      <c r="U247" s="82">
        <f t="shared" si="90"/>
        <v>0</v>
      </c>
      <c r="V247" s="83"/>
      <c r="W247" s="82"/>
      <c r="X247" s="82"/>
      <c r="Y247" s="82"/>
      <c r="Z247" s="82">
        <f t="shared" si="91"/>
        <v>0</v>
      </c>
      <c r="AA247"/>
      <c r="AB247" s="83"/>
      <c r="AC247" s="83"/>
      <c r="AD247" s="83"/>
    </row>
    <row r="248" spans="1:30" s="86" customFormat="1" ht="12.75" customHeight="1">
      <c r="A248" s="93">
        <v>511</v>
      </c>
      <c r="B248" s="83" t="s">
        <v>140</v>
      </c>
      <c r="C248" s="93"/>
      <c r="D248" s="112"/>
      <c r="E248" s="82"/>
      <c r="F248" s="82"/>
      <c r="G248" s="82"/>
      <c r="H248" s="82"/>
      <c r="I248" s="82"/>
      <c r="J248" s="82"/>
      <c r="K248" s="82"/>
      <c r="L248" s="82">
        <f>'[9]FY10 BR list for MF'!$E$10</f>
        <v>1056000</v>
      </c>
      <c r="M248" s="90">
        <f t="shared" si="87"/>
        <v>1056000</v>
      </c>
      <c r="N248" s="82">
        <f t="shared" si="88"/>
        <v>371738.3999999999</v>
      </c>
      <c r="O248" s="82"/>
      <c r="P248" s="82">
        <f t="shared" si="89"/>
        <v>684261.6000000001</v>
      </c>
      <c r="Q248" s="83"/>
      <c r="R248" s="82"/>
      <c r="S248" s="82"/>
      <c r="T248" s="82"/>
      <c r="U248" s="82">
        <f t="shared" si="90"/>
        <v>0</v>
      </c>
      <c r="V248" s="83"/>
      <c r="W248" s="82"/>
      <c r="X248" s="82"/>
      <c r="Y248" s="82"/>
      <c r="Z248" s="82">
        <f t="shared" si="91"/>
        <v>0</v>
      </c>
      <c r="AA248"/>
      <c r="AB248" s="83"/>
      <c r="AC248" s="83"/>
      <c r="AD248" s="83"/>
    </row>
    <row r="249" spans="1:30" s="86" customFormat="1" ht="12.75" customHeight="1">
      <c r="A249" s="93">
        <v>527</v>
      </c>
      <c r="B249" s="83" t="s">
        <v>141</v>
      </c>
      <c r="C249" s="93"/>
      <c r="D249" s="112"/>
      <c r="E249" s="82"/>
      <c r="F249" s="82"/>
      <c r="G249" s="82"/>
      <c r="H249" s="82"/>
      <c r="I249" s="82"/>
      <c r="J249" s="82"/>
      <c r="K249" s="82"/>
      <c r="L249" s="82">
        <v>2787578</v>
      </c>
      <c r="M249" s="90">
        <f t="shared" si="87"/>
        <v>2787578</v>
      </c>
      <c r="N249" s="82">
        <f t="shared" si="88"/>
        <v>981297.1454499998</v>
      </c>
      <c r="O249" s="82"/>
      <c r="P249" s="82">
        <f t="shared" si="89"/>
        <v>1806280.8545500003</v>
      </c>
      <c r="Q249" s="83"/>
      <c r="R249" s="82"/>
      <c r="S249" s="82"/>
      <c r="T249" s="82"/>
      <c r="U249" s="82">
        <f t="shared" si="90"/>
        <v>0</v>
      </c>
      <c r="V249" s="83"/>
      <c r="W249" s="82"/>
      <c r="X249" s="82"/>
      <c r="Y249" s="82"/>
      <c r="Z249" s="82">
        <f t="shared" si="91"/>
        <v>0</v>
      </c>
      <c r="AA249"/>
      <c r="AB249" s="83"/>
      <c r="AC249" s="83"/>
      <c r="AD249" s="83"/>
    </row>
    <row r="250" spans="1:30" s="86" customFormat="1" ht="12.75" customHeight="1">
      <c r="A250" s="93">
        <v>508</v>
      </c>
      <c r="B250" s="83" t="s">
        <v>142</v>
      </c>
      <c r="C250" s="93"/>
      <c r="D250" s="112"/>
      <c r="E250" s="82"/>
      <c r="F250" s="82"/>
      <c r="G250" s="82"/>
      <c r="H250" s="82"/>
      <c r="I250" s="82"/>
      <c r="J250" s="82"/>
      <c r="K250" s="82"/>
      <c r="L250" s="82">
        <f>'[9]FY10 BR list for MF'!$E$7</f>
        <v>176400</v>
      </c>
      <c r="M250" s="90">
        <f t="shared" si="87"/>
        <v>176400</v>
      </c>
      <c r="N250" s="82">
        <f t="shared" si="88"/>
        <v>62097.209999999985</v>
      </c>
      <c r="O250" s="82"/>
      <c r="P250" s="82">
        <f t="shared" si="89"/>
        <v>114302.79000000001</v>
      </c>
      <c r="Q250" s="83"/>
      <c r="R250" s="82"/>
      <c r="S250" s="82"/>
      <c r="T250" s="82"/>
      <c r="U250" s="82">
        <f t="shared" si="90"/>
        <v>0</v>
      </c>
      <c r="V250" s="83"/>
      <c r="W250" s="82"/>
      <c r="X250" s="82"/>
      <c r="Y250" s="82"/>
      <c r="Z250" s="82">
        <f t="shared" si="91"/>
        <v>0</v>
      </c>
      <c r="AA250"/>
      <c r="AB250" s="83"/>
      <c r="AC250" s="83"/>
      <c r="AD250" s="83"/>
    </row>
    <row r="251" spans="1:29" ht="12.75" customHeight="1">
      <c r="A251" s="93">
        <v>505</v>
      </c>
      <c r="B251" s="83" t="s">
        <v>143</v>
      </c>
      <c r="F251" s="82"/>
      <c r="G251" s="82"/>
      <c r="H251" s="82"/>
      <c r="I251" s="82"/>
      <c r="J251" s="82"/>
      <c r="K251" s="82"/>
      <c r="L251" s="82">
        <f>'[9]FY10Initial BR '!$G$66</f>
        <v>80000</v>
      </c>
      <c r="M251" s="90">
        <f t="shared" si="87"/>
        <v>80000</v>
      </c>
      <c r="N251" s="82">
        <f t="shared" si="88"/>
        <v>28161.999999999993</v>
      </c>
      <c r="O251" s="82"/>
      <c r="P251" s="82">
        <f t="shared" si="89"/>
        <v>51838.00000000001</v>
      </c>
      <c r="Q251" s="83"/>
      <c r="R251" s="82"/>
      <c r="S251" s="82"/>
      <c r="T251" s="90"/>
      <c r="U251" s="82">
        <f t="shared" si="90"/>
        <v>0</v>
      </c>
      <c r="V251" s="83"/>
      <c r="W251" s="82"/>
      <c r="X251" s="82"/>
      <c r="Y251" s="90"/>
      <c r="Z251" s="82">
        <f t="shared" si="91"/>
        <v>0</v>
      </c>
      <c r="AA251"/>
      <c r="AB251" s="83"/>
      <c r="AC251" s="83"/>
    </row>
    <row r="252" spans="1:30" s="86" customFormat="1" ht="12.75" customHeight="1">
      <c r="A252" s="93">
        <v>519</v>
      </c>
      <c r="B252" s="86" t="s">
        <v>144</v>
      </c>
      <c r="C252" s="93"/>
      <c r="D252" s="112"/>
      <c r="E252" s="82"/>
      <c r="F252" s="82"/>
      <c r="G252" s="82"/>
      <c r="H252" s="82"/>
      <c r="I252" s="82"/>
      <c r="J252" s="82"/>
      <c r="K252" s="82"/>
      <c r="L252" s="82">
        <f>'[9]FY10 BR list for MF'!$E$14</f>
        <v>17041392</v>
      </c>
      <c r="M252" s="99">
        <f t="shared" si="87"/>
        <v>17041392</v>
      </c>
      <c r="N252" s="82">
        <f t="shared" si="88"/>
        <v>5998996.018799999</v>
      </c>
      <c r="O252" s="82"/>
      <c r="P252" s="82">
        <f t="shared" si="89"/>
        <v>11042395.981200002</v>
      </c>
      <c r="Q252" s="83"/>
      <c r="R252" s="82"/>
      <c r="S252" s="82"/>
      <c r="T252" s="82"/>
      <c r="U252" s="82">
        <f t="shared" si="90"/>
        <v>0</v>
      </c>
      <c r="V252" s="83"/>
      <c r="W252" s="82"/>
      <c r="X252" s="82"/>
      <c r="Y252" s="82"/>
      <c r="Z252" s="82">
        <f t="shared" si="91"/>
        <v>0</v>
      </c>
      <c r="AA252"/>
      <c r="AB252" s="83"/>
      <c r="AC252" s="83"/>
      <c r="AD252" s="83"/>
    </row>
    <row r="253" spans="1:29" ht="12.75" customHeight="1" thickBot="1">
      <c r="A253" s="73"/>
      <c r="B253" s="83" t="s">
        <v>79</v>
      </c>
      <c r="F253" s="126">
        <f aca="true" t="shared" si="92" ref="F253:P253">SUM(F245:F252)</f>
        <v>0</v>
      </c>
      <c r="G253" s="126">
        <f t="shared" si="92"/>
        <v>0</v>
      </c>
      <c r="H253" s="126">
        <f t="shared" si="92"/>
        <v>0</v>
      </c>
      <c r="I253" s="126">
        <f t="shared" si="92"/>
        <v>0</v>
      </c>
      <c r="J253" s="126">
        <f t="shared" si="92"/>
        <v>0</v>
      </c>
      <c r="K253" s="126">
        <f t="shared" si="92"/>
        <v>0</v>
      </c>
      <c r="L253" s="126">
        <f t="shared" si="92"/>
        <v>24235788</v>
      </c>
      <c r="M253" s="151">
        <f t="shared" si="92"/>
        <v>24235788</v>
      </c>
      <c r="N253" s="126">
        <f t="shared" si="92"/>
        <v>8531603.270699998</v>
      </c>
      <c r="O253" s="126">
        <f t="shared" si="92"/>
        <v>0</v>
      </c>
      <c r="P253" s="126">
        <f t="shared" si="92"/>
        <v>15704184.729300003</v>
      </c>
      <c r="Q253" s="83"/>
      <c r="R253" s="126">
        <f>SUM(R245:R252)</f>
        <v>0</v>
      </c>
      <c r="S253" s="126">
        <f>SUM(S245:S252)</f>
        <v>0</v>
      </c>
      <c r="T253" s="126">
        <f>SUM(T245:T252)</f>
        <v>0</v>
      </c>
      <c r="U253" s="126">
        <f>SUM(U245:U252)</f>
        <v>0</v>
      </c>
      <c r="V253" s="83"/>
      <c r="W253" s="126">
        <f>SUM(W245:W252)</f>
        <v>0</v>
      </c>
      <c r="X253" s="126">
        <f>SUM(X245:X252)</f>
        <v>0</v>
      </c>
      <c r="Y253" s="126">
        <f>SUM(Y245:Y252)</f>
        <v>0</v>
      </c>
      <c r="Z253" s="126">
        <f>SUM(Z245:Z252)</f>
        <v>0</v>
      </c>
      <c r="AA253"/>
      <c r="AB253" s="83"/>
      <c r="AC253" s="83"/>
    </row>
    <row r="254" spans="1:30" s="107" customFormat="1" ht="12.75" customHeight="1" thickTop="1">
      <c r="A254" s="117"/>
      <c r="B254" s="82"/>
      <c r="C254" s="93"/>
      <c r="D254" s="11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3"/>
      <c r="R254" s="82"/>
      <c r="S254" s="82"/>
      <c r="T254" s="82"/>
      <c r="U254" s="82"/>
      <c r="V254" s="83"/>
      <c r="W254" s="82"/>
      <c r="X254" s="82"/>
      <c r="Y254" s="82"/>
      <c r="Z254" s="82"/>
      <c r="AA254"/>
      <c r="AB254" s="83"/>
      <c r="AC254" s="83"/>
      <c r="AD254" s="111"/>
    </row>
    <row r="255" spans="1:30" s="107" customFormat="1" ht="12.75" customHeight="1">
      <c r="A255" s="73"/>
      <c r="B255" s="128" t="s">
        <v>80</v>
      </c>
      <c r="C255" s="93"/>
      <c r="D255" s="11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3"/>
      <c r="R255" s="82"/>
      <c r="S255" s="82"/>
      <c r="T255" s="82"/>
      <c r="U255" s="82"/>
      <c r="V255" s="83"/>
      <c r="W255" s="82"/>
      <c r="X255" s="82"/>
      <c r="Y255" s="82"/>
      <c r="Z255" s="82"/>
      <c r="AA255"/>
      <c r="AB255" s="83"/>
      <c r="AC255" s="83"/>
      <c r="AD255" s="111"/>
    </row>
    <row r="256" spans="1:30" s="86" customFormat="1" ht="12.75" customHeight="1">
      <c r="A256" s="117"/>
      <c r="B256" s="129" t="str">
        <f>K5</f>
        <v>340-1020-01</v>
      </c>
      <c r="C256" s="93"/>
      <c r="D256" s="112"/>
      <c r="E256" s="82"/>
      <c r="F256" s="82"/>
      <c r="G256" s="82"/>
      <c r="H256" s="90">
        <f>+G256+F256</f>
        <v>0</v>
      </c>
      <c r="I256" s="82"/>
      <c r="J256" s="82"/>
      <c r="K256" s="82"/>
      <c r="L256" s="82">
        <f>L253</f>
        <v>24235788</v>
      </c>
      <c r="M256" s="90">
        <f>SUM(H256:L256)</f>
        <v>24235788</v>
      </c>
      <c r="N256" s="82">
        <f>M256*$C$1</f>
        <v>8531603.270699998</v>
      </c>
      <c r="O256" s="82"/>
      <c r="P256" s="82">
        <f>M256-N256</f>
        <v>15704184.729300002</v>
      </c>
      <c r="Q256" s="83"/>
      <c r="R256" s="90"/>
      <c r="S256" s="90"/>
      <c r="T256" s="90"/>
      <c r="U256" s="90">
        <f>R256-S256</f>
        <v>0</v>
      </c>
      <c r="V256" s="83"/>
      <c r="W256" s="90"/>
      <c r="X256" s="90"/>
      <c r="Y256" s="90"/>
      <c r="Z256" s="90">
        <f>W256-X256</f>
        <v>0</v>
      </c>
      <c r="AA256"/>
      <c r="AB256" s="83"/>
      <c r="AC256" s="83"/>
      <c r="AD256" s="83"/>
    </row>
    <row r="257" spans="1:29" ht="12.75" customHeight="1" thickBot="1">
      <c r="A257" s="73"/>
      <c r="B257" s="83"/>
      <c r="F257" s="126">
        <f aca="true" t="shared" si="93" ref="F257:P257">F256</f>
        <v>0</v>
      </c>
      <c r="G257" s="126">
        <f t="shared" si="93"/>
        <v>0</v>
      </c>
      <c r="H257" s="126">
        <f t="shared" si="93"/>
        <v>0</v>
      </c>
      <c r="I257" s="126">
        <f t="shared" si="93"/>
        <v>0</v>
      </c>
      <c r="J257" s="126">
        <f t="shared" si="93"/>
        <v>0</v>
      </c>
      <c r="K257" s="126">
        <f t="shared" si="93"/>
        <v>0</v>
      </c>
      <c r="L257" s="126">
        <f t="shared" si="93"/>
        <v>24235788</v>
      </c>
      <c r="M257" s="126">
        <f t="shared" si="93"/>
        <v>24235788</v>
      </c>
      <c r="N257" s="126">
        <f t="shared" si="93"/>
        <v>8531603.270699998</v>
      </c>
      <c r="O257" s="126">
        <f t="shared" si="93"/>
        <v>0</v>
      </c>
      <c r="P257" s="126">
        <f t="shared" si="93"/>
        <v>15704184.729300002</v>
      </c>
      <c r="Q257" s="126"/>
      <c r="R257" s="126">
        <f>R256</f>
        <v>0</v>
      </c>
      <c r="S257" s="126">
        <f>S256</f>
        <v>0</v>
      </c>
      <c r="T257" s="126">
        <f>T256</f>
        <v>0</v>
      </c>
      <c r="U257" s="126">
        <f>U256</f>
        <v>0</v>
      </c>
      <c r="V257" s="83"/>
      <c r="W257" s="126">
        <f>W256</f>
        <v>0</v>
      </c>
      <c r="X257" s="126">
        <f>X256</f>
        <v>0</v>
      </c>
      <c r="Y257" s="126">
        <f>Y256</f>
        <v>0</v>
      </c>
      <c r="Z257" s="126">
        <f>Z256</f>
        <v>0</v>
      </c>
      <c r="AA257"/>
      <c r="AB257" s="83"/>
      <c r="AC257" s="83"/>
    </row>
    <row r="258" spans="1:29" ht="12.75" customHeight="1" thickTop="1">
      <c r="A258" s="73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3"/>
      <c r="R258" s="82"/>
      <c r="S258" s="82"/>
      <c r="T258" s="82"/>
      <c r="U258" s="82"/>
      <c r="V258" s="83"/>
      <c r="W258" s="82"/>
      <c r="X258" s="82"/>
      <c r="Y258" s="82"/>
      <c r="Z258" s="82"/>
      <c r="AA258"/>
      <c r="AB258" s="83"/>
      <c r="AC258" s="83"/>
    </row>
    <row r="259" spans="1:30" s="107" customFormat="1" ht="12" customHeight="1" thickBot="1">
      <c r="A259" s="117">
        <v>13</v>
      </c>
      <c r="B259" s="150" t="s">
        <v>145</v>
      </c>
      <c r="C259" s="93"/>
      <c r="D259" s="11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3"/>
      <c r="R259" s="82"/>
      <c r="S259" s="82"/>
      <c r="T259" s="82"/>
      <c r="U259" s="82"/>
      <c r="V259" s="83"/>
      <c r="W259" s="82"/>
      <c r="X259" s="82"/>
      <c r="Y259" s="82"/>
      <c r="Z259" s="82"/>
      <c r="AA259"/>
      <c r="AB259" s="83"/>
      <c r="AC259" s="83"/>
      <c r="AD259" s="111"/>
    </row>
    <row r="260" spans="1:30" s="107" customFormat="1" ht="12.75" customHeight="1" hidden="1">
      <c r="A260" s="117"/>
      <c r="B260" s="121" t="s">
        <v>77</v>
      </c>
      <c r="C260" s="93"/>
      <c r="D260" s="112"/>
      <c r="E260" s="82"/>
      <c r="F260" s="97" t="s">
        <v>72</v>
      </c>
      <c r="G260" s="97" t="s">
        <v>73</v>
      </c>
      <c r="H260" s="97" t="s">
        <v>1</v>
      </c>
      <c r="I260" s="97" t="s">
        <v>74</v>
      </c>
      <c r="J260" s="97" t="s">
        <v>66</v>
      </c>
      <c r="K260" s="97" t="s">
        <v>59</v>
      </c>
      <c r="L260" s="97" t="s">
        <v>18</v>
      </c>
      <c r="M260" s="97" t="s">
        <v>1</v>
      </c>
      <c r="N260" s="97" t="s">
        <v>7</v>
      </c>
      <c r="O260" s="97" t="s">
        <v>75</v>
      </c>
      <c r="P260" s="97" t="s">
        <v>76</v>
      </c>
      <c r="Q260" s="108"/>
      <c r="R260" s="97" t="s">
        <v>1</v>
      </c>
      <c r="S260" s="97" t="s">
        <v>7</v>
      </c>
      <c r="T260" s="97" t="s">
        <v>75</v>
      </c>
      <c r="U260" s="97" t="s">
        <v>76</v>
      </c>
      <c r="V260" s="83"/>
      <c r="W260" s="97" t="s">
        <v>1</v>
      </c>
      <c r="X260" s="97" t="s">
        <v>7</v>
      </c>
      <c r="Y260" s="97" t="s">
        <v>75</v>
      </c>
      <c r="Z260" s="97" t="s">
        <v>76</v>
      </c>
      <c r="AA260"/>
      <c r="AB260" s="83"/>
      <c r="AC260" s="83"/>
      <c r="AD260" s="111"/>
    </row>
    <row r="261" spans="1:29" ht="0.75" customHeight="1">
      <c r="A261" s="152"/>
      <c r="B261" s="121"/>
      <c r="F261" s="82">
        <f>+E261*D261</f>
        <v>0</v>
      </c>
      <c r="G261" s="82">
        <f>+F261*$C$4</f>
        <v>0</v>
      </c>
      <c r="H261" s="82">
        <f>+G261+F261</f>
        <v>0</v>
      </c>
      <c r="I261" s="82"/>
      <c r="J261" s="82">
        <f>+$C$7*D261</f>
        <v>0</v>
      </c>
      <c r="K261" s="82">
        <f>$C$5*D261</f>
        <v>0</v>
      </c>
      <c r="L261" s="82">
        <f>+$C$6*D261</f>
        <v>0</v>
      </c>
      <c r="M261" s="82">
        <f>SUM(H261:L261)</f>
        <v>0</v>
      </c>
      <c r="N261" s="82">
        <f>+M261*$C$2</f>
        <v>0</v>
      </c>
      <c r="O261" s="82"/>
      <c r="P261" s="82">
        <f>+M261-N261-O261</f>
        <v>0</v>
      </c>
      <c r="Q261" s="83"/>
      <c r="R261" s="82"/>
      <c r="S261" s="82">
        <f>+R261*0.5</f>
        <v>0</v>
      </c>
      <c r="T261" s="82"/>
      <c r="U261" s="82">
        <f>+R261-S261-T261</f>
        <v>0</v>
      </c>
      <c r="V261" s="83"/>
      <c r="W261" s="82"/>
      <c r="X261" s="82">
        <f>+W261*0.5</f>
        <v>0</v>
      </c>
      <c r="Y261" s="82"/>
      <c r="Z261" s="82">
        <f>+W261-X261-Y261</f>
        <v>0</v>
      </c>
      <c r="AA261"/>
      <c r="AB261" s="83"/>
      <c r="AC261" s="83"/>
    </row>
    <row r="262" spans="1:30" s="86" customFormat="1" ht="12.75" customHeight="1" hidden="1" thickBot="1">
      <c r="A262" s="106"/>
      <c r="B262" s="120"/>
      <c r="C262" s="93"/>
      <c r="D262" s="112"/>
      <c r="E262" s="82"/>
      <c r="F262" s="123">
        <f>+E262*D262</f>
        <v>0</v>
      </c>
      <c r="G262" s="123">
        <f>+F262*$C$4</f>
        <v>0</v>
      </c>
      <c r="H262" s="123">
        <f>+G262+F262</f>
        <v>0</v>
      </c>
      <c r="I262" s="123"/>
      <c r="J262" s="123">
        <f>+$C$7*D262</f>
        <v>0</v>
      </c>
      <c r="K262" s="123">
        <f>$C$5*D262</f>
        <v>0</v>
      </c>
      <c r="L262" s="123">
        <f>+$C$6*D262</f>
        <v>0</v>
      </c>
      <c r="M262" s="123">
        <f>SUM(H262:L262)</f>
        <v>0</v>
      </c>
      <c r="N262" s="123">
        <f>+M262*$C$2</f>
        <v>0</v>
      </c>
      <c r="O262" s="123"/>
      <c r="P262" s="123">
        <f>+M262-N262-O262</f>
        <v>0</v>
      </c>
      <c r="Q262" s="138"/>
      <c r="R262" s="123"/>
      <c r="S262" s="123">
        <f>+R262*0.5</f>
        <v>0</v>
      </c>
      <c r="T262" s="123"/>
      <c r="U262" s="123">
        <f>+R262-S262-T262</f>
        <v>0</v>
      </c>
      <c r="V262" s="83"/>
      <c r="W262" s="123"/>
      <c r="X262" s="123">
        <f>+W262*0.5</f>
        <v>0</v>
      </c>
      <c r="Y262" s="123"/>
      <c r="Z262" s="123">
        <f>+W262-X262-Y262</f>
        <v>0</v>
      </c>
      <c r="AA262"/>
      <c r="AB262" s="83"/>
      <c r="AC262" s="83"/>
      <c r="AD262" s="83"/>
    </row>
    <row r="263" spans="1:29" ht="14.25" customHeight="1">
      <c r="A263" s="73"/>
      <c r="B263" s="83"/>
      <c r="F263" s="82">
        <f aca="true" t="shared" si="94" ref="F263:P263">SUM(F261:F262)</f>
        <v>0</v>
      </c>
      <c r="G263" s="82">
        <f t="shared" si="94"/>
        <v>0</v>
      </c>
      <c r="H263" s="82">
        <f t="shared" si="94"/>
        <v>0</v>
      </c>
      <c r="I263" s="82">
        <f t="shared" si="94"/>
        <v>0</v>
      </c>
      <c r="J263" s="82">
        <f t="shared" si="94"/>
        <v>0</v>
      </c>
      <c r="K263" s="82">
        <f t="shared" si="94"/>
        <v>0</v>
      </c>
      <c r="L263" s="82">
        <f t="shared" si="94"/>
        <v>0</v>
      </c>
      <c r="M263" s="82">
        <f t="shared" si="94"/>
        <v>0</v>
      </c>
      <c r="N263" s="82">
        <f t="shared" si="94"/>
        <v>0</v>
      </c>
      <c r="O263" s="82">
        <f t="shared" si="94"/>
        <v>0</v>
      </c>
      <c r="P263" s="82">
        <f t="shared" si="94"/>
        <v>0</v>
      </c>
      <c r="Q263" s="83"/>
      <c r="R263" s="82">
        <f>SUM(R261:R262)</f>
        <v>0</v>
      </c>
      <c r="S263" s="82">
        <f>SUM(S261:S262)</f>
        <v>0</v>
      </c>
      <c r="T263" s="82">
        <f>SUM(T261:T262)</f>
        <v>0</v>
      </c>
      <c r="U263" s="82">
        <f>SUM(U261:U262)</f>
        <v>0</v>
      </c>
      <c r="V263" s="83"/>
      <c r="W263" s="82">
        <f>SUM(W261:W262)</f>
        <v>0</v>
      </c>
      <c r="X263" s="82">
        <f>SUM(X261:X262)</f>
        <v>0</v>
      </c>
      <c r="Y263" s="82">
        <f>SUM(Y261:Y262)</f>
        <v>0</v>
      </c>
      <c r="Z263" s="82">
        <f>SUM(Z261:Z262)</f>
        <v>0</v>
      </c>
      <c r="AA263"/>
      <c r="AB263" s="83"/>
      <c r="AC263" s="83"/>
    </row>
    <row r="264" spans="1:30" s="86" customFormat="1" ht="12.75" customHeight="1">
      <c r="A264" s="73"/>
      <c r="B264" s="83"/>
      <c r="C264" s="93"/>
      <c r="D264" s="11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3"/>
      <c r="R264" s="82"/>
      <c r="S264" s="82"/>
      <c r="T264" s="82"/>
      <c r="U264" s="82"/>
      <c r="V264" s="83"/>
      <c r="W264" s="82"/>
      <c r="X264" s="82"/>
      <c r="Y264" s="82"/>
      <c r="Z264" s="82"/>
      <c r="AA264"/>
      <c r="AB264" s="83"/>
      <c r="AC264" s="83"/>
      <c r="AD264" s="83"/>
    </row>
    <row r="265" spans="1:29" ht="12.75" customHeight="1">
      <c r="A265" s="93">
        <v>533</v>
      </c>
      <c r="B265" s="83" t="s">
        <v>127</v>
      </c>
      <c r="F265" s="82"/>
      <c r="G265" s="82"/>
      <c r="H265" s="82"/>
      <c r="I265" s="82"/>
      <c r="J265" s="82"/>
      <c r="K265" s="82"/>
      <c r="L265" s="149">
        <v>302560</v>
      </c>
      <c r="M265" s="90">
        <f>SUM(H265:L265)</f>
        <v>302560</v>
      </c>
      <c r="N265" s="82">
        <f>M265*C1</f>
        <v>106508.68399999998</v>
      </c>
      <c r="O265" s="82"/>
      <c r="P265" s="82">
        <f>M265-N265</f>
        <v>196051.31600000002</v>
      </c>
      <c r="Q265" s="83"/>
      <c r="R265" s="90"/>
      <c r="S265" s="82"/>
      <c r="T265" s="82">
        <v>0</v>
      </c>
      <c r="U265" s="82">
        <f>R265-S265</f>
        <v>0</v>
      </c>
      <c r="V265" s="83"/>
      <c r="W265" s="90"/>
      <c r="X265" s="82"/>
      <c r="Y265" s="82">
        <v>0</v>
      </c>
      <c r="Z265" s="82">
        <f>W265-X265</f>
        <v>0</v>
      </c>
      <c r="AA265"/>
      <c r="AB265" s="83"/>
      <c r="AC265" s="83"/>
    </row>
    <row r="266" spans="1:30" s="86" customFormat="1" ht="12.75" customHeight="1">
      <c r="A266" s="117"/>
      <c r="B266" s="120"/>
      <c r="C266" s="93"/>
      <c r="D266" s="11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3"/>
      <c r="R266" s="82"/>
      <c r="S266" s="82"/>
      <c r="T266" s="82"/>
      <c r="U266" s="82"/>
      <c r="V266" s="83"/>
      <c r="W266" s="82"/>
      <c r="X266" s="82"/>
      <c r="Y266" s="82"/>
      <c r="Z266" s="82"/>
      <c r="AA266"/>
      <c r="AB266" s="83"/>
      <c r="AC266" s="83"/>
      <c r="AD266" s="83"/>
    </row>
    <row r="267" spans="1:29" ht="12.75" customHeight="1" thickBot="1">
      <c r="A267" s="73"/>
      <c r="B267" s="83" t="s">
        <v>79</v>
      </c>
      <c r="F267" s="126">
        <f aca="true" t="shared" si="95" ref="F267:P267">SUM(F263:F266)</f>
        <v>0</v>
      </c>
      <c r="G267" s="126">
        <f t="shared" si="95"/>
        <v>0</v>
      </c>
      <c r="H267" s="126">
        <f t="shared" si="95"/>
        <v>0</v>
      </c>
      <c r="I267" s="126">
        <f t="shared" si="95"/>
        <v>0</v>
      </c>
      <c r="J267" s="126">
        <f t="shared" si="95"/>
        <v>0</v>
      </c>
      <c r="K267" s="126">
        <f t="shared" si="95"/>
        <v>0</v>
      </c>
      <c r="L267" s="126">
        <f t="shared" si="95"/>
        <v>302560</v>
      </c>
      <c r="M267" s="126">
        <f t="shared" si="95"/>
        <v>302560</v>
      </c>
      <c r="N267" s="126">
        <f t="shared" si="95"/>
        <v>106508.68399999998</v>
      </c>
      <c r="O267" s="126">
        <f t="shared" si="95"/>
        <v>0</v>
      </c>
      <c r="P267" s="126">
        <f t="shared" si="95"/>
        <v>196051.31600000002</v>
      </c>
      <c r="Q267" s="83"/>
      <c r="R267" s="126">
        <f>SUM(R265:R266)</f>
        <v>0</v>
      </c>
      <c r="S267" s="126">
        <f>SUM(S265:S266)</f>
        <v>0</v>
      </c>
      <c r="T267" s="126">
        <f>SUM(T265:T266)</f>
        <v>0</v>
      </c>
      <c r="U267" s="126">
        <f>SUM(U265:U266)</f>
        <v>0</v>
      </c>
      <c r="V267" s="83"/>
      <c r="W267" s="126">
        <f>SUM(W265:W266)</f>
        <v>0</v>
      </c>
      <c r="X267" s="126">
        <f>SUM(X265:X266)</f>
        <v>0</v>
      </c>
      <c r="Y267" s="126">
        <f>SUM(Y265:Y266)</f>
        <v>0</v>
      </c>
      <c r="Z267" s="126">
        <f>SUM(Z265:Z266)</f>
        <v>0</v>
      </c>
      <c r="AA267"/>
      <c r="AB267" s="83"/>
      <c r="AC267" s="83"/>
    </row>
    <row r="268" spans="1:30" s="107" customFormat="1" ht="12.75" customHeight="1" thickTop="1">
      <c r="A268" s="117"/>
      <c r="B268" s="120"/>
      <c r="C268" s="93"/>
      <c r="D268" s="11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3"/>
      <c r="R268" s="82"/>
      <c r="S268" s="82"/>
      <c r="T268" s="82"/>
      <c r="U268" s="82"/>
      <c r="V268" s="83"/>
      <c r="W268" s="82"/>
      <c r="X268" s="82"/>
      <c r="Y268" s="82"/>
      <c r="Z268" s="82"/>
      <c r="AA268"/>
      <c r="AB268" s="83"/>
      <c r="AC268" s="83"/>
      <c r="AD268" s="111"/>
    </row>
    <row r="269" spans="1:30" s="86" customFormat="1" ht="12.75" customHeight="1">
      <c r="A269" s="73"/>
      <c r="B269" s="128" t="s">
        <v>80</v>
      </c>
      <c r="C269" s="93"/>
      <c r="D269" s="11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3"/>
      <c r="R269" s="82"/>
      <c r="S269" s="82"/>
      <c r="T269" s="82"/>
      <c r="U269" s="82"/>
      <c r="V269" s="83"/>
      <c r="W269" s="82"/>
      <c r="X269" s="82"/>
      <c r="Y269" s="82"/>
      <c r="Z269" s="82"/>
      <c r="AA269"/>
      <c r="AB269" s="83"/>
      <c r="AC269" s="83"/>
      <c r="AD269" s="83"/>
    </row>
    <row r="270" spans="1:30" s="86" customFormat="1" ht="12.75" customHeight="1">
      <c r="A270" s="106"/>
      <c r="B270" s="137" t="str">
        <f>K5</f>
        <v>340-1020-01</v>
      </c>
      <c r="C270" s="93"/>
      <c r="D270" s="112"/>
      <c r="E270" s="82"/>
      <c r="F270" s="82"/>
      <c r="G270" s="82"/>
      <c r="H270" s="90">
        <f>+G270+F270</f>
        <v>0</v>
      </c>
      <c r="I270" s="82">
        <f>I267</f>
        <v>0</v>
      </c>
      <c r="J270" s="82"/>
      <c r="K270" s="82"/>
      <c r="L270" s="82">
        <f>L267</f>
        <v>302560</v>
      </c>
      <c r="M270" s="90">
        <f>SUM(H270:L270)</f>
        <v>302560</v>
      </c>
      <c r="N270" s="82">
        <f>N267</f>
        <v>106508.68399999998</v>
      </c>
      <c r="O270" s="82"/>
      <c r="P270" s="82">
        <f>M270-N270</f>
        <v>196051.31600000002</v>
      </c>
      <c r="Q270" s="83"/>
      <c r="R270" s="90"/>
      <c r="S270" s="90"/>
      <c r="T270" s="90"/>
      <c r="U270" s="82"/>
      <c r="V270" s="83"/>
      <c r="W270" s="90"/>
      <c r="X270" s="90"/>
      <c r="Y270" s="90"/>
      <c r="Z270" s="82">
        <f>W270-X270</f>
        <v>0</v>
      </c>
      <c r="AA270"/>
      <c r="AB270" s="83"/>
      <c r="AC270" s="83"/>
      <c r="AD270" s="83"/>
    </row>
    <row r="271" spans="1:29" ht="12.75" customHeight="1" thickBot="1">
      <c r="A271" s="73"/>
      <c r="B271" s="83"/>
      <c r="F271" s="126">
        <f aca="true" t="shared" si="96" ref="F271:P271">SUM(F270:F270)</f>
        <v>0</v>
      </c>
      <c r="G271" s="126">
        <f t="shared" si="96"/>
        <v>0</v>
      </c>
      <c r="H271" s="126">
        <f t="shared" si="96"/>
        <v>0</v>
      </c>
      <c r="I271" s="126">
        <f t="shared" si="96"/>
        <v>0</v>
      </c>
      <c r="J271" s="126">
        <f t="shared" si="96"/>
        <v>0</v>
      </c>
      <c r="K271" s="126">
        <f t="shared" si="96"/>
        <v>0</v>
      </c>
      <c r="L271" s="126">
        <f t="shared" si="96"/>
        <v>302560</v>
      </c>
      <c r="M271" s="126">
        <f t="shared" si="96"/>
        <v>302560</v>
      </c>
      <c r="N271" s="126">
        <f t="shared" si="96"/>
        <v>106508.68399999998</v>
      </c>
      <c r="O271" s="126">
        <f t="shared" si="96"/>
        <v>0</v>
      </c>
      <c r="P271" s="126">
        <f t="shared" si="96"/>
        <v>196051.31600000002</v>
      </c>
      <c r="Q271" s="83"/>
      <c r="R271" s="126">
        <f>SUM(R269:R270)</f>
        <v>0</v>
      </c>
      <c r="S271" s="126">
        <f>SUM(S269:S270)</f>
        <v>0</v>
      </c>
      <c r="T271" s="126">
        <f>SUM(T269:T270)</f>
        <v>0</v>
      </c>
      <c r="U271" s="126">
        <f>SUM(U269:U270)</f>
        <v>0</v>
      </c>
      <c r="V271" s="83"/>
      <c r="W271" s="126">
        <f>SUM(W269:W270)</f>
        <v>0</v>
      </c>
      <c r="X271" s="126">
        <f>SUM(X269:X270)</f>
        <v>0</v>
      </c>
      <c r="Y271" s="126">
        <f>SUM(Y269:Y270)</f>
        <v>0</v>
      </c>
      <c r="Z271" s="126">
        <f>SUM(Z269:Z270)</f>
        <v>0</v>
      </c>
      <c r="AA271"/>
      <c r="AB271" s="83"/>
      <c r="AC271" s="83"/>
    </row>
    <row r="272" spans="1:29" ht="12.75" customHeight="1" thickTop="1">
      <c r="A272" s="73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3"/>
      <c r="R272" s="82"/>
      <c r="S272" s="82"/>
      <c r="T272" s="82"/>
      <c r="U272" s="82"/>
      <c r="V272" s="83"/>
      <c r="W272" s="82"/>
      <c r="X272" s="82"/>
      <c r="Y272" s="82"/>
      <c r="Z272" s="82"/>
      <c r="AA272"/>
      <c r="AB272" s="83"/>
      <c r="AC272" s="83"/>
    </row>
    <row r="273" spans="1:30" s="107" customFormat="1" ht="12.75" customHeight="1" thickBot="1">
      <c r="A273" s="117">
        <v>14</v>
      </c>
      <c r="B273" s="118" t="s">
        <v>146</v>
      </c>
      <c r="C273" s="93"/>
      <c r="D273" s="11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3"/>
      <c r="R273" s="82"/>
      <c r="S273" s="82"/>
      <c r="T273" s="82"/>
      <c r="U273" s="82"/>
      <c r="V273" s="83"/>
      <c r="W273" s="82"/>
      <c r="X273" s="82"/>
      <c r="Y273" s="82"/>
      <c r="Z273" s="82"/>
      <c r="AA273"/>
      <c r="AB273" s="83"/>
      <c r="AC273" s="83"/>
      <c r="AD273" s="111"/>
    </row>
    <row r="274" spans="1:30" s="86" customFormat="1" ht="0.75" customHeight="1">
      <c r="A274" s="152"/>
      <c r="B274" s="121" t="s">
        <v>77</v>
      </c>
      <c r="C274" s="93"/>
      <c r="D274" s="109" t="s">
        <v>71</v>
      </c>
      <c r="E274" s="97" t="s">
        <v>72</v>
      </c>
      <c r="F274" s="94" t="s">
        <v>72</v>
      </c>
      <c r="G274" s="94" t="s">
        <v>73</v>
      </c>
      <c r="H274" s="94" t="s">
        <v>1</v>
      </c>
      <c r="I274" s="94" t="s">
        <v>74</v>
      </c>
      <c r="J274" s="94" t="s">
        <v>66</v>
      </c>
      <c r="K274" s="94" t="s">
        <v>59</v>
      </c>
      <c r="L274" s="94" t="s">
        <v>18</v>
      </c>
      <c r="M274" s="94" t="s">
        <v>1</v>
      </c>
      <c r="N274" s="94" t="s">
        <v>7</v>
      </c>
      <c r="O274" s="94" t="s">
        <v>75</v>
      </c>
      <c r="P274" s="94" t="s">
        <v>76</v>
      </c>
      <c r="Q274" s="153"/>
      <c r="R274" s="94" t="s">
        <v>1</v>
      </c>
      <c r="S274" s="94" t="s">
        <v>7</v>
      </c>
      <c r="T274" s="94" t="s">
        <v>75</v>
      </c>
      <c r="U274" s="94" t="s">
        <v>76</v>
      </c>
      <c r="V274" s="83"/>
      <c r="W274" s="94" t="s">
        <v>1</v>
      </c>
      <c r="X274" s="94" t="s">
        <v>7</v>
      </c>
      <c r="Y274" s="94" t="s">
        <v>75</v>
      </c>
      <c r="Z274" s="94" t="s">
        <v>76</v>
      </c>
      <c r="AA274"/>
      <c r="AB274" s="83"/>
      <c r="AC274" s="83"/>
      <c r="AD274" s="83"/>
    </row>
    <row r="275" spans="1:30" s="86" customFormat="1" ht="12.75" customHeight="1" hidden="1">
      <c r="A275" s="106"/>
      <c r="B275" s="83"/>
      <c r="C275" s="93"/>
      <c r="D275" s="112"/>
      <c r="E275" s="82"/>
      <c r="F275" s="82">
        <f>+E275*D275</f>
        <v>0</v>
      </c>
      <c r="G275" s="82">
        <f>+F275*$C$4</f>
        <v>0</v>
      </c>
      <c r="H275" s="82">
        <f>+G275+F275</f>
        <v>0</v>
      </c>
      <c r="I275" s="82"/>
      <c r="J275" s="82">
        <f>+$C$7*D275</f>
        <v>0</v>
      </c>
      <c r="K275" s="82">
        <f>$C$5*D275</f>
        <v>0</v>
      </c>
      <c r="L275" s="82">
        <f>+$C$6*D275</f>
        <v>0</v>
      </c>
      <c r="M275" s="82">
        <f>SUM(H275:L275)</f>
        <v>0</v>
      </c>
      <c r="N275" s="82">
        <f>+M275*$C$2</f>
        <v>0</v>
      </c>
      <c r="O275" s="82"/>
      <c r="P275" s="82">
        <f>+M275-N275-O275</f>
        <v>0</v>
      </c>
      <c r="Q275" s="83"/>
      <c r="R275" s="82"/>
      <c r="S275" s="82">
        <f>+R275*0.5</f>
        <v>0</v>
      </c>
      <c r="T275" s="82"/>
      <c r="U275" s="82">
        <f>+R275-S275-T275</f>
        <v>0</v>
      </c>
      <c r="V275" s="83"/>
      <c r="W275" s="82"/>
      <c r="X275" s="82">
        <f>+W275*0.5</f>
        <v>0</v>
      </c>
      <c r="Y275" s="82"/>
      <c r="Z275" s="82">
        <f>+W275-X275-Y275</f>
        <v>0</v>
      </c>
      <c r="AA275"/>
      <c r="AB275" s="83"/>
      <c r="AC275" s="83"/>
      <c r="AD275" s="83"/>
    </row>
    <row r="276" spans="1:30" s="86" customFormat="1" ht="12.75" customHeight="1" hidden="1" thickBot="1">
      <c r="A276" s="122"/>
      <c r="B276" s="83"/>
      <c r="C276" s="93"/>
      <c r="D276" s="112"/>
      <c r="E276" s="82"/>
      <c r="F276" s="123">
        <f>+E276*D276</f>
        <v>0</v>
      </c>
      <c r="G276" s="123">
        <f>+F276*$C$4</f>
        <v>0</v>
      </c>
      <c r="H276" s="123">
        <f>+G276+F276</f>
        <v>0</v>
      </c>
      <c r="I276" s="123"/>
      <c r="J276" s="123">
        <f>+$C$7*D276</f>
        <v>0</v>
      </c>
      <c r="K276" s="123">
        <f>$C$5*D276</f>
        <v>0</v>
      </c>
      <c r="L276" s="123">
        <f>+$C$6*D276</f>
        <v>0</v>
      </c>
      <c r="M276" s="123">
        <f>SUM(H276:L276)</f>
        <v>0</v>
      </c>
      <c r="N276" s="123">
        <f>+M276*$C$2</f>
        <v>0</v>
      </c>
      <c r="O276" s="123"/>
      <c r="P276" s="123">
        <f>+M276-N276-O276</f>
        <v>0</v>
      </c>
      <c r="Q276" s="138"/>
      <c r="R276" s="123"/>
      <c r="S276" s="123">
        <f>+R276*0.5</f>
        <v>0</v>
      </c>
      <c r="T276" s="123"/>
      <c r="U276" s="123">
        <f>+R276-S276-T276</f>
        <v>0</v>
      </c>
      <c r="V276" s="83"/>
      <c r="W276" s="123"/>
      <c r="X276" s="123">
        <f>+W276*0.5</f>
        <v>0</v>
      </c>
      <c r="Y276" s="123"/>
      <c r="Z276" s="123">
        <f>+W276-X276-Y276</f>
        <v>0</v>
      </c>
      <c r="AA276"/>
      <c r="AB276" s="83"/>
      <c r="AC276" s="83"/>
      <c r="AD276" s="83"/>
    </row>
    <row r="277" spans="2:29" ht="12.75" customHeight="1" hidden="1">
      <c r="B277" s="83"/>
      <c r="F277" s="82">
        <f aca="true" t="shared" si="97" ref="F277:P277">SUM(F275:F276)</f>
        <v>0</v>
      </c>
      <c r="G277" s="82">
        <f t="shared" si="97"/>
        <v>0</v>
      </c>
      <c r="H277" s="82">
        <f t="shared" si="97"/>
        <v>0</v>
      </c>
      <c r="I277" s="82">
        <f t="shared" si="97"/>
        <v>0</v>
      </c>
      <c r="J277" s="82">
        <f t="shared" si="97"/>
        <v>0</v>
      </c>
      <c r="K277" s="82">
        <f t="shared" si="97"/>
        <v>0</v>
      </c>
      <c r="L277" s="82">
        <f t="shared" si="97"/>
        <v>0</v>
      </c>
      <c r="M277" s="82">
        <f t="shared" si="97"/>
        <v>0</v>
      </c>
      <c r="N277" s="82">
        <f t="shared" si="97"/>
        <v>0</v>
      </c>
      <c r="O277" s="82">
        <f t="shared" si="97"/>
        <v>0</v>
      </c>
      <c r="P277" s="82">
        <f t="shared" si="97"/>
        <v>0</v>
      </c>
      <c r="Q277" s="83"/>
      <c r="R277" s="82">
        <f>SUM(R275:R276)</f>
        <v>0</v>
      </c>
      <c r="S277" s="82">
        <f>SUM(S275:S276)</f>
        <v>0</v>
      </c>
      <c r="T277" s="82">
        <f>SUM(T275:T276)</f>
        <v>0</v>
      </c>
      <c r="U277" s="82">
        <f>SUM(U275:U276)</f>
        <v>0</v>
      </c>
      <c r="V277" s="83"/>
      <c r="W277" s="82">
        <f>SUM(W275:W276)</f>
        <v>0</v>
      </c>
      <c r="X277" s="82">
        <f>SUM(X275:X276)</f>
        <v>0</v>
      </c>
      <c r="Y277" s="82">
        <f>SUM(Y275:Y276)</f>
        <v>0</v>
      </c>
      <c r="Z277" s="82">
        <f>SUM(Z275:Z276)</f>
        <v>0</v>
      </c>
      <c r="AA277"/>
      <c r="AB277" s="83"/>
      <c r="AC277" s="83"/>
    </row>
    <row r="278" spans="1:30" s="86" customFormat="1" ht="12.75" customHeight="1">
      <c r="A278" s="73"/>
      <c r="B278" s="120"/>
      <c r="C278" s="93"/>
      <c r="D278" s="11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3"/>
      <c r="R278" s="82"/>
      <c r="S278" s="82"/>
      <c r="T278" s="82"/>
      <c r="U278" s="82"/>
      <c r="V278" s="83"/>
      <c r="W278" s="82"/>
      <c r="X278" s="82"/>
      <c r="Y278" s="82"/>
      <c r="Z278" s="82"/>
      <c r="AA278"/>
      <c r="AB278" s="83"/>
      <c r="AC278" s="83"/>
      <c r="AD278" s="83"/>
    </row>
    <row r="279" spans="1:29" ht="12.75" customHeight="1">
      <c r="A279" s="93">
        <v>403</v>
      </c>
      <c r="B279" s="83" t="s">
        <v>127</v>
      </c>
      <c r="F279" s="82"/>
      <c r="G279" s="82"/>
      <c r="H279" s="90">
        <f>+G279+F279</f>
        <v>0</v>
      </c>
      <c r="I279" s="82">
        <v>700000</v>
      </c>
      <c r="J279" s="82"/>
      <c r="K279" s="82"/>
      <c r="L279" s="82"/>
      <c r="M279" s="90">
        <f>SUM(H279:L279)</f>
        <v>700000</v>
      </c>
      <c r="N279" s="82">
        <f>M279*C2</f>
        <v>350000</v>
      </c>
      <c r="O279" s="82"/>
      <c r="P279" s="82">
        <f>M279-N279</f>
        <v>350000</v>
      </c>
      <c r="Q279" s="83"/>
      <c r="R279" s="90"/>
      <c r="S279" s="90"/>
      <c r="T279" s="90"/>
      <c r="U279" s="90">
        <f>R279-S279</f>
        <v>0</v>
      </c>
      <c r="V279" s="83"/>
      <c r="W279" s="90"/>
      <c r="X279" s="90"/>
      <c r="Y279" s="90"/>
      <c r="Z279" s="90">
        <f>W279-X279</f>
        <v>0</v>
      </c>
      <c r="AA279"/>
      <c r="AB279" s="83"/>
      <c r="AC279" s="83"/>
    </row>
    <row r="280" spans="1:30" s="86" customFormat="1" ht="12.75" customHeight="1">
      <c r="A280" s="106"/>
      <c r="B280" s="120"/>
      <c r="C280" s="93"/>
      <c r="D280" s="11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3"/>
      <c r="R280" s="82"/>
      <c r="S280" s="82"/>
      <c r="T280" s="82"/>
      <c r="U280" s="82"/>
      <c r="V280" s="83"/>
      <c r="W280" s="82"/>
      <c r="X280" s="82"/>
      <c r="Y280" s="82"/>
      <c r="Z280" s="82"/>
      <c r="AA280"/>
      <c r="AB280" s="83"/>
      <c r="AC280" s="83"/>
      <c r="AD280" s="83"/>
    </row>
    <row r="281" spans="2:29" ht="12.75" customHeight="1" thickBot="1">
      <c r="B281" s="83" t="s">
        <v>79</v>
      </c>
      <c r="F281" s="126">
        <f aca="true" t="shared" si="98" ref="F281:P281">SUM(F277:F280)</f>
        <v>0</v>
      </c>
      <c r="G281" s="126">
        <f t="shared" si="98"/>
        <v>0</v>
      </c>
      <c r="H281" s="126">
        <f t="shared" si="98"/>
        <v>0</v>
      </c>
      <c r="I281" s="126">
        <f t="shared" si="98"/>
        <v>700000</v>
      </c>
      <c r="J281" s="126">
        <f t="shared" si="98"/>
        <v>0</v>
      </c>
      <c r="K281" s="126">
        <f t="shared" si="98"/>
        <v>0</v>
      </c>
      <c r="L281" s="126">
        <f t="shared" si="98"/>
        <v>0</v>
      </c>
      <c r="M281" s="126">
        <f t="shared" si="98"/>
        <v>700000</v>
      </c>
      <c r="N281" s="126">
        <f t="shared" si="98"/>
        <v>350000</v>
      </c>
      <c r="O281" s="126">
        <f t="shared" si="98"/>
        <v>0</v>
      </c>
      <c r="P281" s="126">
        <f t="shared" si="98"/>
        <v>350000</v>
      </c>
      <c r="Q281" s="83"/>
      <c r="R281" s="126">
        <f>SUM(R278:R280)</f>
        <v>0</v>
      </c>
      <c r="S281" s="126">
        <f>SUM(S278:S280)</f>
        <v>0</v>
      </c>
      <c r="T281" s="126">
        <f>SUM(T278:T280)</f>
        <v>0</v>
      </c>
      <c r="U281" s="126">
        <f>SUM(U278:U280)</f>
        <v>0</v>
      </c>
      <c r="V281" s="83"/>
      <c r="W281" s="126">
        <f>SUM(W278:W280)</f>
        <v>0</v>
      </c>
      <c r="X281" s="126">
        <f>SUM(X278:X280)</f>
        <v>0</v>
      </c>
      <c r="Y281" s="126">
        <f>SUM(Y278:Y280)</f>
        <v>0</v>
      </c>
      <c r="Z281" s="126">
        <f>SUM(Z278:Z280)</f>
        <v>0</v>
      </c>
      <c r="AA281"/>
      <c r="AB281" s="83"/>
      <c r="AC281" s="83"/>
    </row>
    <row r="282" spans="1:30" s="107" customFormat="1" ht="12.75" customHeight="1" thickTop="1">
      <c r="A282" s="73"/>
      <c r="B282" s="120"/>
      <c r="C282" s="93"/>
      <c r="D282" s="11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3"/>
      <c r="R282" s="82"/>
      <c r="S282" s="82"/>
      <c r="T282" s="82"/>
      <c r="U282" s="82"/>
      <c r="V282" s="83"/>
      <c r="W282" s="82"/>
      <c r="X282" s="82"/>
      <c r="Y282" s="82"/>
      <c r="Z282" s="82"/>
      <c r="AA282"/>
      <c r="AB282" s="83"/>
      <c r="AC282" s="83"/>
      <c r="AD282" s="111"/>
    </row>
    <row r="283" spans="1:30" s="86" customFormat="1" ht="12.75" customHeight="1">
      <c r="A283" s="117"/>
      <c r="B283" s="128" t="s">
        <v>80</v>
      </c>
      <c r="C283" s="93"/>
      <c r="D283" s="11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3"/>
      <c r="R283" s="82"/>
      <c r="S283" s="82"/>
      <c r="T283" s="82"/>
      <c r="U283" s="82"/>
      <c r="V283" s="83"/>
      <c r="W283" s="82"/>
      <c r="X283" s="82"/>
      <c r="Y283" s="82"/>
      <c r="Z283" s="82"/>
      <c r="AA283"/>
      <c r="AB283" s="83"/>
      <c r="AC283" s="83"/>
      <c r="AD283" s="83"/>
    </row>
    <row r="284" spans="1:30" s="86" customFormat="1" ht="12.75" customHeight="1">
      <c r="A284" s="117"/>
      <c r="B284" s="129" t="str">
        <f>J4</f>
        <v>200-1030-01</v>
      </c>
      <c r="C284" s="93"/>
      <c r="D284" s="112"/>
      <c r="E284" s="82"/>
      <c r="F284" s="82">
        <f>F281</f>
        <v>0</v>
      </c>
      <c r="G284" s="82">
        <f>G281</f>
        <v>0</v>
      </c>
      <c r="H284" s="90">
        <f>+G284+F284</f>
        <v>0</v>
      </c>
      <c r="I284" s="82">
        <f>I281</f>
        <v>700000</v>
      </c>
      <c r="J284" s="82">
        <f>J281</f>
        <v>0</v>
      </c>
      <c r="K284" s="82">
        <f>K281</f>
        <v>0</v>
      </c>
      <c r="L284" s="82">
        <f>L281</f>
        <v>0</v>
      </c>
      <c r="M284" s="90">
        <f>SUM(H284:L284)</f>
        <v>700000</v>
      </c>
      <c r="N284" s="82">
        <f>N281</f>
        <v>350000</v>
      </c>
      <c r="O284" s="82"/>
      <c r="P284" s="82">
        <f>M284-N284</f>
        <v>350000</v>
      </c>
      <c r="Q284" s="83"/>
      <c r="R284" s="90"/>
      <c r="S284" s="90"/>
      <c r="T284" s="90"/>
      <c r="U284" s="90"/>
      <c r="V284" s="83"/>
      <c r="W284" s="90"/>
      <c r="X284" s="90"/>
      <c r="Y284" s="90"/>
      <c r="Z284" s="90"/>
      <c r="AA284"/>
      <c r="AB284" s="83"/>
      <c r="AC284" s="83"/>
      <c r="AD284" s="83"/>
    </row>
    <row r="285" spans="1:29" ht="12.75" customHeight="1" thickBot="1">
      <c r="A285" s="106"/>
      <c r="B285" s="83"/>
      <c r="F285" s="126">
        <f aca="true" t="shared" si="99" ref="F285:P285">SUM(F284:F284)</f>
        <v>0</v>
      </c>
      <c r="G285" s="126">
        <f t="shared" si="99"/>
        <v>0</v>
      </c>
      <c r="H285" s="126">
        <f t="shared" si="99"/>
        <v>0</v>
      </c>
      <c r="I285" s="126">
        <f t="shared" si="99"/>
        <v>700000</v>
      </c>
      <c r="J285" s="126">
        <f t="shared" si="99"/>
        <v>0</v>
      </c>
      <c r="K285" s="126">
        <f t="shared" si="99"/>
        <v>0</v>
      </c>
      <c r="L285" s="126">
        <f t="shared" si="99"/>
        <v>0</v>
      </c>
      <c r="M285" s="126">
        <f t="shared" si="99"/>
        <v>700000</v>
      </c>
      <c r="N285" s="126">
        <f t="shared" si="99"/>
        <v>350000</v>
      </c>
      <c r="O285" s="126">
        <f t="shared" si="99"/>
        <v>0</v>
      </c>
      <c r="P285" s="126">
        <f t="shared" si="99"/>
        <v>350000</v>
      </c>
      <c r="Q285" s="83"/>
      <c r="R285" s="126">
        <f>SUM(R284:R284)</f>
        <v>0</v>
      </c>
      <c r="S285" s="126">
        <f>SUM(S284:S284)</f>
        <v>0</v>
      </c>
      <c r="T285" s="126">
        <f>SUM(T284:T284)</f>
        <v>0</v>
      </c>
      <c r="U285" s="126">
        <f>SUM(U284:U284)</f>
        <v>0</v>
      </c>
      <c r="V285" s="83"/>
      <c r="W285" s="126">
        <f>SUM(W284:W284)</f>
        <v>0</v>
      </c>
      <c r="X285" s="126">
        <f>SUM(X284:X284)</f>
        <v>0</v>
      </c>
      <c r="Y285" s="126">
        <f>SUM(Y284:Y284)</f>
        <v>0</v>
      </c>
      <c r="Z285" s="126">
        <f>SUM(Z284:Z284)</f>
        <v>0</v>
      </c>
      <c r="AA285"/>
      <c r="AB285" s="83"/>
      <c r="AC285" s="83"/>
    </row>
    <row r="286" spans="1:29" ht="12.75" customHeight="1" thickTop="1">
      <c r="A286" s="73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3"/>
      <c r="R286" s="82"/>
      <c r="S286" s="82"/>
      <c r="T286" s="82"/>
      <c r="U286" s="82"/>
      <c r="V286" s="83"/>
      <c r="W286" s="82"/>
      <c r="X286" s="82"/>
      <c r="Y286" s="82"/>
      <c r="Z286" s="82"/>
      <c r="AA286"/>
      <c r="AB286" s="83"/>
      <c r="AC286" s="83"/>
    </row>
    <row r="287" spans="1:30" s="107" customFormat="1" ht="12.75" customHeight="1" thickBot="1">
      <c r="A287" s="117">
        <v>15</v>
      </c>
      <c r="B287" s="118" t="s">
        <v>147</v>
      </c>
      <c r="C287" s="93"/>
      <c r="D287" s="11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3"/>
      <c r="R287" s="82"/>
      <c r="S287" s="82"/>
      <c r="T287" s="82"/>
      <c r="U287" s="82"/>
      <c r="V287" s="83"/>
      <c r="W287" s="82"/>
      <c r="X287" s="82"/>
      <c r="Y287" s="82"/>
      <c r="Z287" s="82"/>
      <c r="AA287"/>
      <c r="AB287" s="83"/>
      <c r="AC287" s="83"/>
      <c r="AD287" s="111"/>
    </row>
    <row r="288" spans="1:30" s="86" customFormat="1" ht="12.75" customHeight="1">
      <c r="A288" s="117"/>
      <c r="B288" s="121" t="s">
        <v>77</v>
      </c>
      <c r="C288" s="93"/>
      <c r="D288" s="109" t="s">
        <v>71</v>
      </c>
      <c r="E288" s="97" t="s">
        <v>72</v>
      </c>
      <c r="F288" s="97" t="s">
        <v>72</v>
      </c>
      <c r="G288" s="97" t="s">
        <v>73</v>
      </c>
      <c r="H288" s="97" t="s">
        <v>1</v>
      </c>
      <c r="I288" s="97" t="s">
        <v>74</v>
      </c>
      <c r="J288" s="97" t="s">
        <v>66</v>
      </c>
      <c r="K288" s="97" t="s">
        <v>59</v>
      </c>
      <c r="L288" s="97" t="s">
        <v>18</v>
      </c>
      <c r="M288" s="97" t="s">
        <v>1</v>
      </c>
      <c r="N288" s="97" t="s">
        <v>7</v>
      </c>
      <c r="O288" s="97" t="s">
        <v>75</v>
      </c>
      <c r="P288" s="97" t="s">
        <v>76</v>
      </c>
      <c r="Q288" s="108"/>
      <c r="R288" s="97" t="s">
        <v>1</v>
      </c>
      <c r="S288" s="97" t="s">
        <v>7</v>
      </c>
      <c r="T288" s="97" t="s">
        <v>75</v>
      </c>
      <c r="U288" s="97" t="s">
        <v>76</v>
      </c>
      <c r="V288" s="83"/>
      <c r="W288" s="97" t="s">
        <v>1</v>
      </c>
      <c r="X288" s="97" t="s">
        <v>7</v>
      </c>
      <c r="Y288" s="97" t="s">
        <v>75</v>
      </c>
      <c r="Z288" s="97" t="s">
        <v>76</v>
      </c>
      <c r="AA288"/>
      <c r="AB288" s="83"/>
      <c r="AC288" s="83"/>
      <c r="AD288" s="83"/>
    </row>
    <row r="289" spans="1:29" ht="12.75" customHeight="1">
      <c r="A289" s="133">
        <v>548</v>
      </c>
      <c r="B289" s="86" t="s">
        <v>148</v>
      </c>
      <c r="C289" s="133">
        <v>9590</v>
      </c>
      <c r="D289" s="112">
        <v>2</v>
      </c>
      <c r="E289" s="82">
        <v>51200</v>
      </c>
      <c r="F289" s="82">
        <f aca="true" t="shared" si="100" ref="F289:F296">+E289*D289</f>
        <v>102400</v>
      </c>
      <c r="G289" s="82">
        <f aca="true" t="shared" si="101" ref="G289:G296">+F289*$C$4</f>
        <v>47104</v>
      </c>
      <c r="H289" s="82">
        <f aca="true" t="shared" si="102" ref="H289:H296">+G289+F289</f>
        <v>149504</v>
      </c>
      <c r="I289" s="82"/>
      <c r="J289" s="82">
        <f aca="true" t="shared" si="103" ref="J289:J296">+$C$7*D289</f>
        <v>5000</v>
      </c>
      <c r="K289" s="82">
        <f aca="true" t="shared" si="104" ref="K289:K296">$C$5*D289</f>
        <v>11000</v>
      </c>
      <c r="L289" s="82">
        <f aca="true" t="shared" si="105" ref="L289:L296">+$C$6*D289</f>
        <v>3400</v>
      </c>
      <c r="M289" s="82">
        <f aca="true" t="shared" si="106" ref="M289:M296">SUM(H289:L289)</f>
        <v>168904</v>
      </c>
      <c r="N289" s="82">
        <f aca="true" t="shared" si="107" ref="N289:N296">+M289*$C$2</f>
        <v>84452</v>
      </c>
      <c r="O289" s="82"/>
      <c r="P289" s="82">
        <f aca="true" t="shared" si="108" ref="P289:P296">+M289-N289-O289</f>
        <v>84452</v>
      </c>
      <c r="Q289" s="83"/>
      <c r="R289" s="142">
        <v>1024800</v>
      </c>
      <c r="S289" s="90">
        <f aca="true" t="shared" si="109" ref="S289:S295">R289*$S$2</f>
        <v>512400</v>
      </c>
      <c r="T289" s="90"/>
      <c r="U289" s="90">
        <f aca="true" t="shared" si="110" ref="U289:U295">R289-S289-T289</f>
        <v>512400</v>
      </c>
      <c r="V289" s="83"/>
      <c r="W289" s="142">
        <v>1201350</v>
      </c>
      <c r="X289" s="90">
        <f aca="true" t="shared" si="111" ref="X289:X295">W289*$X$2</f>
        <v>600675</v>
      </c>
      <c r="Y289" s="90"/>
      <c r="Z289" s="90">
        <f aca="true" t="shared" si="112" ref="Z289:Z295">W289-X289-Y289</f>
        <v>600675</v>
      </c>
      <c r="AA289"/>
      <c r="AB289" s="83"/>
      <c r="AC289" s="83"/>
    </row>
    <row r="290" spans="1:29" ht="12.75" customHeight="1">
      <c r="A290" s="133">
        <v>104</v>
      </c>
      <c r="B290" s="86" t="s">
        <v>149</v>
      </c>
      <c r="C290" s="133">
        <v>1165</v>
      </c>
      <c r="D290" s="112">
        <v>1</v>
      </c>
      <c r="E290" s="82">
        <v>26650</v>
      </c>
      <c r="F290" s="82">
        <f t="shared" si="100"/>
        <v>26650</v>
      </c>
      <c r="G290" s="82">
        <f t="shared" si="101"/>
        <v>12259</v>
      </c>
      <c r="H290" s="82">
        <f t="shared" si="102"/>
        <v>38909</v>
      </c>
      <c r="I290" s="82"/>
      <c r="J290" s="82">
        <f t="shared" si="103"/>
        <v>2500</v>
      </c>
      <c r="K290" s="82">
        <f t="shared" si="104"/>
        <v>5500</v>
      </c>
      <c r="L290" s="82">
        <f t="shared" si="105"/>
        <v>1700</v>
      </c>
      <c r="M290" s="82">
        <f t="shared" si="106"/>
        <v>48609</v>
      </c>
      <c r="N290" s="82">
        <f t="shared" si="107"/>
        <v>24304.5</v>
      </c>
      <c r="O290" s="82"/>
      <c r="P290" s="82">
        <f t="shared" si="108"/>
        <v>24304.5</v>
      </c>
      <c r="Q290" s="83"/>
      <c r="R290" s="142">
        <f>48300+35400</f>
        <v>83700</v>
      </c>
      <c r="S290" s="90">
        <f t="shared" si="109"/>
        <v>41850</v>
      </c>
      <c r="T290" s="90"/>
      <c r="U290" s="90">
        <f t="shared" si="110"/>
        <v>41850</v>
      </c>
      <c r="V290" s="83"/>
      <c r="W290" s="142">
        <v>89900</v>
      </c>
      <c r="X290" s="90">
        <f t="shared" si="111"/>
        <v>44950</v>
      </c>
      <c r="Y290" s="90"/>
      <c r="Z290" s="90">
        <f t="shared" si="112"/>
        <v>44950</v>
      </c>
      <c r="AA290"/>
      <c r="AB290" s="83"/>
      <c r="AC290" s="83"/>
    </row>
    <row r="291" spans="1:29" ht="12.75" customHeight="1">
      <c r="A291" s="133">
        <v>513</v>
      </c>
      <c r="B291" s="86" t="s">
        <v>150</v>
      </c>
      <c r="C291" s="93">
        <v>4589</v>
      </c>
      <c r="D291" s="112">
        <v>1</v>
      </c>
      <c r="E291" s="82">
        <v>62050</v>
      </c>
      <c r="F291" s="82">
        <f t="shared" si="100"/>
        <v>62050</v>
      </c>
      <c r="G291" s="82">
        <f t="shared" si="101"/>
        <v>28543</v>
      </c>
      <c r="H291" s="82">
        <f t="shared" si="102"/>
        <v>90593</v>
      </c>
      <c r="I291" s="82"/>
      <c r="J291" s="82">
        <f t="shared" si="103"/>
        <v>2500</v>
      </c>
      <c r="K291" s="82">
        <f t="shared" si="104"/>
        <v>5500</v>
      </c>
      <c r="L291" s="82">
        <f t="shared" si="105"/>
        <v>1700</v>
      </c>
      <c r="M291" s="82">
        <f t="shared" si="106"/>
        <v>100293</v>
      </c>
      <c r="N291" s="82">
        <f t="shared" si="107"/>
        <v>50146.5</v>
      </c>
      <c r="O291" s="82"/>
      <c r="P291" s="82">
        <f t="shared" si="108"/>
        <v>50146.5</v>
      </c>
      <c r="Q291" s="83"/>
      <c r="R291" s="82"/>
      <c r="S291" s="90">
        <f t="shared" si="109"/>
        <v>0</v>
      </c>
      <c r="T291" s="90"/>
      <c r="U291" s="90">
        <f t="shared" si="110"/>
        <v>0</v>
      </c>
      <c r="V291" s="83"/>
      <c r="W291" s="142"/>
      <c r="X291" s="90">
        <f t="shared" si="111"/>
        <v>0</v>
      </c>
      <c r="Y291" s="90"/>
      <c r="Z291" s="90">
        <f t="shared" si="112"/>
        <v>0</v>
      </c>
      <c r="AA291"/>
      <c r="AB291" s="83"/>
      <c r="AC291" s="83"/>
    </row>
    <row r="292" spans="1:29" ht="12.75" customHeight="1">
      <c r="A292" s="133">
        <v>810</v>
      </c>
      <c r="B292" s="86" t="s">
        <v>151</v>
      </c>
      <c r="C292" s="133">
        <v>5290</v>
      </c>
      <c r="D292" s="112">
        <v>1</v>
      </c>
      <c r="E292" s="82">
        <v>47750</v>
      </c>
      <c r="F292" s="82">
        <f t="shared" si="100"/>
        <v>47750</v>
      </c>
      <c r="G292" s="82">
        <f t="shared" si="101"/>
        <v>21965</v>
      </c>
      <c r="H292" s="82">
        <f t="shared" si="102"/>
        <v>69715</v>
      </c>
      <c r="I292" s="82"/>
      <c r="J292" s="82">
        <f t="shared" si="103"/>
        <v>2500</v>
      </c>
      <c r="K292" s="82">
        <f t="shared" si="104"/>
        <v>5500</v>
      </c>
      <c r="L292" s="82">
        <f t="shared" si="105"/>
        <v>1700</v>
      </c>
      <c r="M292" s="82">
        <f t="shared" si="106"/>
        <v>79415</v>
      </c>
      <c r="N292" s="82">
        <f t="shared" si="107"/>
        <v>39707.5</v>
      </c>
      <c r="O292" s="82"/>
      <c r="P292" s="82">
        <f t="shared" si="108"/>
        <v>39707.5</v>
      </c>
      <c r="Q292" s="83"/>
      <c r="R292" s="142">
        <v>90700</v>
      </c>
      <c r="S292" s="90">
        <f t="shared" si="109"/>
        <v>45350</v>
      </c>
      <c r="T292" s="90"/>
      <c r="U292" s="90">
        <f t="shared" si="110"/>
        <v>45350</v>
      </c>
      <c r="V292" s="83"/>
      <c r="W292" s="142">
        <f>101400+47750</f>
        <v>149150</v>
      </c>
      <c r="X292" s="90">
        <f t="shared" si="111"/>
        <v>74575</v>
      </c>
      <c r="Y292" s="90"/>
      <c r="Z292" s="90">
        <f t="shared" si="112"/>
        <v>74575</v>
      </c>
      <c r="AA292"/>
      <c r="AB292" s="83"/>
      <c r="AC292" s="83"/>
    </row>
    <row r="293" spans="1:29" ht="12.75" customHeight="1">
      <c r="A293" s="133">
        <v>810</v>
      </c>
      <c r="B293" s="86" t="s">
        <v>152</v>
      </c>
      <c r="C293" s="133">
        <v>7099</v>
      </c>
      <c r="D293" s="112">
        <v>1</v>
      </c>
      <c r="E293" s="82">
        <v>53650</v>
      </c>
      <c r="F293" s="82">
        <f t="shared" si="100"/>
        <v>53650</v>
      </c>
      <c r="G293" s="82">
        <f t="shared" si="101"/>
        <v>24679</v>
      </c>
      <c r="H293" s="82">
        <f t="shared" si="102"/>
        <v>78329</v>
      </c>
      <c r="I293" s="82"/>
      <c r="J293" s="82">
        <f t="shared" si="103"/>
        <v>2500</v>
      </c>
      <c r="K293" s="82">
        <f t="shared" si="104"/>
        <v>5500</v>
      </c>
      <c r="L293" s="82">
        <f t="shared" si="105"/>
        <v>1700</v>
      </c>
      <c r="M293" s="82">
        <f t="shared" si="106"/>
        <v>88029</v>
      </c>
      <c r="N293" s="82">
        <f t="shared" si="107"/>
        <v>44014.5</v>
      </c>
      <c r="O293" s="82"/>
      <c r="P293" s="82">
        <f t="shared" si="108"/>
        <v>44014.5</v>
      </c>
      <c r="Q293" s="83"/>
      <c r="R293" s="142">
        <v>102500</v>
      </c>
      <c r="S293" s="90">
        <f t="shared" si="109"/>
        <v>51250</v>
      </c>
      <c r="T293" s="90"/>
      <c r="U293" s="90">
        <f t="shared" si="110"/>
        <v>51250</v>
      </c>
      <c r="V293" s="83"/>
      <c r="W293" s="142">
        <v>53650</v>
      </c>
      <c r="X293" s="90">
        <f t="shared" si="111"/>
        <v>26825</v>
      </c>
      <c r="Y293" s="90"/>
      <c r="Z293" s="90">
        <f t="shared" si="112"/>
        <v>26825</v>
      </c>
      <c r="AA293"/>
      <c r="AB293" s="83"/>
      <c r="AC293" s="83"/>
    </row>
    <row r="294" spans="1:29" ht="12.75" customHeight="1">
      <c r="A294" s="133">
        <v>408</v>
      </c>
      <c r="B294" s="86" t="s">
        <v>153</v>
      </c>
      <c r="C294" s="133">
        <v>9366</v>
      </c>
      <c r="D294" s="112">
        <v>1</v>
      </c>
      <c r="E294" s="82">
        <v>53650</v>
      </c>
      <c r="F294" s="82">
        <f t="shared" si="100"/>
        <v>53650</v>
      </c>
      <c r="G294" s="82">
        <f t="shared" si="101"/>
        <v>24679</v>
      </c>
      <c r="H294" s="82">
        <f t="shared" si="102"/>
        <v>78329</v>
      </c>
      <c r="I294" s="82"/>
      <c r="J294" s="82">
        <f t="shared" si="103"/>
        <v>2500</v>
      </c>
      <c r="K294" s="82">
        <f t="shared" si="104"/>
        <v>5500</v>
      </c>
      <c r="L294" s="82">
        <f t="shared" si="105"/>
        <v>1700</v>
      </c>
      <c r="M294" s="82">
        <f t="shared" si="106"/>
        <v>88029</v>
      </c>
      <c r="N294" s="82">
        <f t="shared" si="107"/>
        <v>44014.5</v>
      </c>
      <c r="O294" s="82"/>
      <c r="P294" s="82">
        <f t="shared" si="108"/>
        <v>44014.5</v>
      </c>
      <c r="Q294" s="83"/>
      <c r="R294" s="142">
        <v>90750</v>
      </c>
      <c r="S294" s="90">
        <f t="shared" si="109"/>
        <v>45375</v>
      </c>
      <c r="T294" s="90"/>
      <c r="U294" s="90">
        <f t="shared" si="110"/>
        <v>45375</v>
      </c>
      <c r="V294" s="83"/>
      <c r="W294" s="142">
        <v>101400</v>
      </c>
      <c r="X294" s="90">
        <f t="shared" si="111"/>
        <v>50700</v>
      </c>
      <c r="Y294" s="90"/>
      <c r="Z294" s="90">
        <f t="shared" si="112"/>
        <v>50700</v>
      </c>
      <c r="AA294"/>
      <c r="AB294" s="83"/>
      <c r="AC294" s="83"/>
    </row>
    <row r="295" spans="1:29" ht="12.75" customHeight="1">
      <c r="A295" s="133">
        <v>546</v>
      </c>
      <c r="B295" s="86" t="s">
        <v>154</v>
      </c>
      <c r="C295" s="133">
        <v>2438</v>
      </c>
      <c r="D295" s="112">
        <v>1</v>
      </c>
      <c r="E295" s="82">
        <v>40050</v>
      </c>
      <c r="F295" s="82">
        <f t="shared" si="100"/>
        <v>40050</v>
      </c>
      <c r="G295" s="82">
        <f t="shared" si="101"/>
        <v>18423</v>
      </c>
      <c r="H295" s="82">
        <f t="shared" si="102"/>
        <v>58473</v>
      </c>
      <c r="I295" s="82"/>
      <c r="J295" s="82">
        <f t="shared" si="103"/>
        <v>2500</v>
      </c>
      <c r="K295" s="82">
        <f t="shared" si="104"/>
        <v>5500</v>
      </c>
      <c r="L295" s="82">
        <f t="shared" si="105"/>
        <v>1700</v>
      </c>
      <c r="M295" s="82">
        <f t="shared" si="106"/>
        <v>68173</v>
      </c>
      <c r="N295" s="82">
        <f t="shared" si="107"/>
        <v>34086.5</v>
      </c>
      <c r="O295" s="82"/>
      <c r="P295" s="82">
        <f t="shared" si="108"/>
        <v>34086.5</v>
      </c>
      <c r="Q295" s="83"/>
      <c r="R295" s="142">
        <v>75300</v>
      </c>
      <c r="S295" s="90">
        <f t="shared" si="109"/>
        <v>37650</v>
      </c>
      <c r="T295" s="90"/>
      <c r="U295" s="90">
        <f t="shared" si="110"/>
        <v>37650</v>
      </c>
      <c r="V295" s="83"/>
      <c r="W295" s="142">
        <v>80100</v>
      </c>
      <c r="X295" s="90">
        <f t="shared" si="111"/>
        <v>40050</v>
      </c>
      <c r="Y295" s="90"/>
      <c r="Z295" s="90">
        <f t="shared" si="112"/>
        <v>40050</v>
      </c>
      <c r="AA295"/>
      <c r="AB295" s="83"/>
      <c r="AC295" s="83"/>
    </row>
    <row r="296" spans="1:30" s="86" customFormat="1" ht="12.75" customHeight="1" thickBot="1">
      <c r="A296" s="106"/>
      <c r="B296" s="120"/>
      <c r="C296" s="93"/>
      <c r="D296" s="112"/>
      <c r="E296" s="82"/>
      <c r="F296" s="123">
        <f t="shared" si="100"/>
        <v>0</v>
      </c>
      <c r="G296" s="123">
        <f t="shared" si="101"/>
        <v>0</v>
      </c>
      <c r="H296" s="123">
        <f t="shared" si="102"/>
        <v>0</v>
      </c>
      <c r="I296" s="123"/>
      <c r="J296" s="123">
        <f t="shared" si="103"/>
        <v>0</v>
      </c>
      <c r="K296" s="123">
        <f t="shared" si="104"/>
        <v>0</v>
      </c>
      <c r="L296" s="123">
        <f t="shared" si="105"/>
        <v>0</v>
      </c>
      <c r="M296" s="123">
        <f t="shared" si="106"/>
        <v>0</v>
      </c>
      <c r="N296" s="123">
        <f t="shared" si="107"/>
        <v>0</v>
      </c>
      <c r="O296" s="123"/>
      <c r="P296" s="123">
        <f t="shared" si="108"/>
        <v>0</v>
      </c>
      <c r="Q296" s="138"/>
      <c r="R296" s="123"/>
      <c r="S296" s="123"/>
      <c r="T296" s="123"/>
      <c r="U296" s="123"/>
      <c r="V296" s="83"/>
      <c r="W296" s="123"/>
      <c r="X296" s="123"/>
      <c r="Y296" s="123"/>
      <c r="Z296" s="123"/>
      <c r="AA296"/>
      <c r="AB296" s="83"/>
      <c r="AC296" s="83"/>
      <c r="AD296" s="83"/>
    </row>
    <row r="297" spans="1:29" ht="12.75" customHeight="1">
      <c r="A297" s="122"/>
      <c r="B297" s="83"/>
      <c r="F297" s="82">
        <f aca="true" t="shared" si="113" ref="F297:P297">SUM(F289:F296)</f>
        <v>386200</v>
      </c>
      <c r="G297" s="82">
        <f t="shared" si="113"/>
        <v>177652</v>
      </c>
      <c r="H297" s="82">
        <f t="shared" si="113"/>
        <v>563852</v>
      </c>
      <c r="I297" s="82">
        <f t="shared" si="113"/>
        <v>0</v>
      </c>
      <c r="J297" s="82">
        <f t="shared" si="113"/>
        <v>20000</v>
      </c>
      <c r="K297" s="82">
        <f t="shared" si="113"/>
        <v>44000</v>
      </c>
      <c r="L297" s="82">
        <f t="shared" si="113"/>
        <v>13600</v>
      </c>
      <c r="M297" s="82">
        <f t="shared" si="113"/>
        <v>641452</v>
      </c>
      <c r="N297" s="82">
        <f t="shared" si="113"/>
        <v>320726</v>
      </c>
      <c r="O297" s="82">
        <f t="shared" si="113"/>
        <v>0</v>
      </c>
      <c r="P297" s="82">
        <f t="shared" si="113"/>
        <v>320726</v>
      </c>
      <c r="Q297" s="83"/>
      <c r="R297" s="82">
        <f>SUM(R289:R296)</f>
        <v>1467750</v>
      </c>
      <c r="S297" s="82">
        <f>SUM(S289:S296)</f>
        <v>733875</v>
      </c>
      <c r="T297" s="82">
        <f>SUM(T289:T296)</f>
        <v>0</v>
      </c>
      <c r="U297" s="82">
        <f>SUM(U289:U296)</f>
        <v>733875</v>
      </c>
      <c r="V297" s="83"/>
      <c r="W297" s="82">
        <f>SUM(W289:W296)</f>
        <v>1675550</v>
      </c>
      <c r="X297" s="82">
        <f>SUM(X289:X296)</f>
        <v>837775</v>
      </c>
      <c r="Y297" s="82">
        <f>SUM(Y289:Y296)</f>
        <v>0</v>
      </c>
      <c r="Z297" s="82">
        <f>SUM(Z289:Z296)</f>
        <v>837775</v>
      </c>
      <c r="AA297"/>
      <c r="AB297" s="83"/>
      <c r="AC297" s="83"/>
    </row>
    <row r="298" spans="1:30" s="107" customFormat="1" ht="12.75" customHeight="1">
      <c r="A298" s="73"/>
      <c r="B298" s="120"/>
      <c r="C298" s="93"/>
      <c r="D298" s="11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3"/>
      <c r="R298" s="82"/>
      <c r="S298" s="82"/>
      <c r="T298" s="82"/>
      <c r="U298" s="82"/>
      <c r="V298" s="83"/>
      <c r="W298" s="82"/>
      <c r="X298" s="82"/>
      <c r="Y298" s="82"/>
      <c r="Z298" s="82"/>
      <c r="AA298"/>
      <c r="AB298" s="83"/>
      <c r="AC298" s="83"/>
      <c r="AD298" s="111"/>
    </row>
    <row r="299" spans="1:29" ht="12.75" customHeight="1">
      <c r="A299" s="73"/>
      <c r="B299" s="83" t="s">
        <v>127</v>
      </c>
      <c r="F299" s="82"/>
      <c r="G299" s="82"/>
      <c r="H299" s="82">
        <f>+F299+G299</f>
        <v>0</v>
      </c>
      <c r="I299" s="82"/>
      <c r="J299" s="82"/>
      <c r="K299" s="82"/>
      <c r="L299" s="82"/>
      <c r="M299" s="90">
        <f>SUM(H299:L299)</f>
        <v>0</v>
      </c>
      <c r="N299" s="82">
        <f>M299*$C$1</f>
        <v>0</v>
      </c>
      <c r="O299" s="82"/>
      <c r="P299" s="82">
        <f>M299-N299</f>
        <v>0</v>
      </c>
      <c r="Q299" s="83"/>
      <c r="R299" s="90"/>
      <c r="S299" s="90"/>
      <c r="T299" s="90"/>
      <c r="U299" s="90">
        <f>R299-S299</f>
        <v>0</v>
      </c>
      <c r="V299" s="83"/>
      <c r="W299" s="90"/>
      <c r="X299" s="90"/>
      <c r="Y299" s="90"/>
      <c r="Z299" s="90">
        <f>W299-X299</f>
        <v>0</v>
      </c>
      <c r="AA299"/>
      <c r="AB299" s="83"/>
      <c r="AC299" s="83"/>
    </row>
    <row r="300" spans="1:30" s="86" customFormat="1" ht="12.75" customHeight="1">
      <c r="A300" s="117"/>
      <c r="B300" s="120"/>
      <c r="C300" s="93"/>
      <c r="D300" s="11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3"/>
      <c r="R300" s="82"/>
      <c r="S300" s="82"/>
      <c r="T300" s="82"/>
      <c r="U300" s="82"/>
      <c r="V300" s="83"/>
      <c r="W300" s="82"/>
      <c r="X300" s="82"/>
      <c r="Y300" s="82"/>
      <c r="Z300" s="82"/>
      <c r="AA300"/>
      <c r="AB300" s="83"/>
      <c r="AC300" s="83"/>
      <c r="AD300" s="83"/>
    </row>
    <row r="301" spans="2:29" ht="12.75" customHeight="1" thickBot="1">
      <c r="B301" s="83" t="s">
        <v>79</v>
      </c>
      <c r="F301" s="126">
        <f aca="true" t="shared" si="114" ref="F301:P301">SUM(F297:F300)</f>
        <v>386200</v>
      </c>
      <c r="G301" s="126">
        <f t="shared" si="114"/>
        <v>177652</v>
      </c>
      <c r="H301" s="126">
        <f t="shared" si="114"/>
        <v>563852</v>
      </c>
      <c r="I301" s="126">
        <f t="shared" si="114"/>
        <v>0</v>
      </c>
      <c r="J301" s="126">
        <f t="shared" si="114"/>
        <v>20000</v>
      </c>
      <c r="K301" s="126">
        <f t="shared" si="114"/>
        <v>44000</v>
      </c>
      <c r="L301" s="126">
        <f t="shared" si="114"/>
        <v>13600</v>
      </c>
      <c r="M301" s="126">
        <f t="shared" si="114"/>
        <v>641452</v>
      </c>
      <c r="N301" s="126">
        <f t="shared" si="114"/>
        <v>320726</v>
      </c>
      <c r="O301" s="126">
        <f t="shared" si="114"/>
        <v>0</v>
      </c>
      <c r="P301" s="126">
        <f t="shared" si="114"/>
        <v>320726</v>
      </c>
      <c r="Q301" s="83"/>
      <c r="R301" s="126">
        <f>SUM(R297:R300)</f>
        <v>1467750</v>
      </c>
      <c r="S301" s="126">
        <f>SUM(S297:S300)</f>
        <v>733875</v>
      </c>
      <c r="T301" s="126">
        <f>SUM(T297:T300)</f>
        <v>0</v>
      </c>
      <c r="U301" s="126">
        <f>SUM(U297:U300)</f>
        <v>733875</v>
      </c>
      <c r="V301" s="83"/>
      <c r="W301" s="126">
        <f>SUM(W297:W300)</f>
        <v>1675550</v>
      </c>
      <c r="X301" s="126">
        <f>SUM(X297:X300)</f>
        <v>837775</v>
      </c>
      <c r="Y301" s="126">
        <f>SUM(Y297:Y300)</f>
        <v>0</v>
      </c>
      <c r="Z301" s="126">
        <f>SUM(Z297:Z300)</f>
        <v>837775</v>
      </c>
      <c r="AA301"/>
      <c r="AB301" s="83"/>
      <c r="AC301" s="83"/>
    </row>
    <row r="302" spans="1:29" ht="12.75" customHeight="1" thickTop="1">
      <c r="A302" s="73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3"/>
      <c r="R302" s="82"/>
      <c r="S302" s="82"/>
      <c r="T302" s="82"/>
      <c r="U302" s="82"/>
      <c r="V302" s="83"/>
      <c r="W302" s="82"/>
      <c r="X302" s="82"/>
      <c r="Y302" s="82"/>
      <c r="Z302" s="82"/>
      <c r="AA302"/>
      <c r="AB302" s="83"/>
      <c r="AC302" s="83"/>
    </row>
    <row r="303" spans="1:30" s="86" customFormat="1" ht="12.75" customHeight="1">
      <c r="A303" s="117"/>
      <c r="B303" s="128" t="s">
        <v>80</v>
      </c>
      <c r="C303" s="93"/>
      <c r="D303" s="11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3"/>
      <c r="R303" s="82"/>
      <c r="S303" s="82"/>
      <c r="T303" s="82"/>
      <c r="U303" s="82"/>
      <c r="V303" s="83"/>
      <c r="W303" s="82"/>
      <c r="X303" s="82"/>
      <c r="Y303" s="82"/>
      <c r="Z303" s="82"/>
      <c r="AA303"/>
      <c r="AB303" s="83"/>
      <c r="AC303" s="83"/>
      <c r="AD303" s="83"/>
    </row>
    <row r="304" spans="1:30" s="86" customFormat="1" ht="12.75" customHeight="1">
      <c r="A304" s="117"/>
      <c r="B304" s="102" t="str">
        <f>H2</f>
        <v>200-1010-02</v>
      </c>
      <c r="C304" s="93"/>
      <c r="D304" s="112"/>
      <c r="E304" s="82"/>
      <c r="F304" s="82">
        <f>F294</f>
        <v>53650</v>
      </c>
      <c r="G304" s="82">
        <f>G294</f>
        <v>24679</v>
      </c>
      <c r="H304" s="82">
        <f>F304+G304</f>
        <v>78329</v>
      </c>
      <c r="I304" s="82">
        <f>I294</f>
        <v>0</v>
      </c>
      <c r="J304" s="82">
        <f>J294</f>
        <v>2500</v>
      </c>
      <c r="K304" s="82">
        <f>K294</f>
        <v>5500</v>
      </c>
      <c r="L304" s="82">
        <f>L294</f>
        <v>1700</v>
      </c>
      <c r="M304" s="90">
        <f aca="true" t="shared" si="115" ref="M304:M309">SUM(H304:L304)</f>
        <v>88029</v>
      </c>
      <c r="N304" s="82">
        <f aca="true" t="shared" si="116" ref="N304:N309">M304*$C$2</f>
        <v>44014.5</v>
      </c>
      <c r="O304" s="82"/>
      <c r="P304" s="82">
        <f aca="true" t="shared" si="117" ref="P304:P309">M304-N304-O304</f>
        <v>44014.5</v>
      </c>
      <c r="Q304" s="83"/>
      <c r="R304" s="82"/>
      <c r="S304" s="90">
        <f aca="true" t="shared" si="118" ref="S304:S309">R304*$S$2</f>
        <v>0</v>
      </c>
      <c r="T304" s="90"/>
      <c r="U304" s="90">
        <f aca="true" t="shared" si="119" ref="U304:U309">R304-S304-T304</f>
        <v>0</v>
      </c>
      <c r="V304" s="83"/>
      <c r="W304" s="90"/>
      <c r="X304" s="90">
        <f aca="true" t="shared" si="120" ref="X304:X309">W304*$X$2</f>
        <v>0</v>
      </c>
      <c r="Y304" s="90"/>
      <c r="Z304" s="90">
        <f aca="true" t="shared" si="121" ref="Z304:Z309">W304-X304-Y304</f>
        <v>0</v>
      </c>
      <c r="AA304"/>
      <c r="AB304" s="83"/>
      <c r="AC304" s="83"/>
      <c r="AD304" s="83"/>
    </row>
    <row r="305" spans="1:30" s="86" customFormat="1" ht="12.75" customHeight="1">
      <c r="A305" s="117"/>
      <c r="B305" s="102" t="str">
        <f>H4</f>
        <v>200-1010-04</v>
      </c>
      <c r="C305" s="93"/>
      <c r="D305" s="112"/>
      <c r="E305" s="82"/>
      <c r="F305" s="82">
        <f>F290</f>
        <v>26650</v>
      </c>
      <c r="G305" s="82">
        <f>G290</f>
        <v>12259</v>
      </c>
      <c r="H305" s="82">
        <f>F305+G305</f>
        <v>38909</v>
      </c>
      <c r="I305" s="82">
        <f aca="true" t="shared" si="122" ref="I305:L306">I290</f>
        <v>0</v>
      </c>
      <c r="J305" s="82">
        <f t="shared" si="122"/>
        <v>2500</v>
      </c>
      <c r="K305" s="82">
        <f t="shared" si="122"/>
        <v>5500</v>
      </c>
      <c r="L305" s="82">
        <f t="shared" si="122"/>
        <v>1700</v>
      </c>
      <c r="M305" s="90">
        <f t="shared" si="115"/>
        <v>48609</v>
      </c>
      <c r="N305" s="82">
        <f t="shared" si="116"/>
        <v>24304.5</v>
      </c>
      <c r="O305" s="82"/>
      <c r="P305" s="82">
        <f t="shared" si="117"/>
        <v>24304.5</v>
      </c>
      <c r="Q305" s="83"/>
      <c r="R305" s="82"/>
      <c r="S305" s="90">
        <f t="shared" si="118"/>
        <v>0</v>
      </c>
      <c r="T305" s="90"/>
      <c r="U305" s="90">
        <f t="shared" si="119"/>
        <v>0</v>
      </c>
      <c r="V305" s="83"/>
      <c r="W305" s="90"/>
      <c r="X305" s="90">
        <f t="shared" si="120"/>
        <v>0</v>
      </c>
      <c r="Y305" s="90"/>
      <c r="Z305" s="90">
        <f t="shared" si="121"/>
        <v>0</v>
      </c>
      <c r="AA305"/>
      <c r="AB305" s="83"/>
      <c r="AC305" s="83"/>
      <c r="AD305" s="83"/>
    </row>
    <row r="306" spans="1:30" s="86" customFormat="1" ht="12.75" customHeight="1">
      <c r="A306" s="117"/>
      <c r="B306" s="102" t="str">
        <f>I4</f>
        <v>200-1010-12</v>
      </c>
      <c r="C306" s="93"/>
      <c r="D306" s="112"/>
      <c r="E306" s="82"/>
      <c r="F306" s="82">
        <f>F291</f>
        <v>62050</v>
      </c>
      <c r="G306" s="82">
        <f>G291</f>
        <v>28543</v>
      </c>
      <c r="H306" s="82">
        <f>F306+G306</f>
        <v>90593</v>
      </c>
      <c r="I306" s="82">
        <f t="shared" si="122"/>
        <v>0</v>
      </c>
      <c r="J306" s="82">
        <f t="shared" si="122"/>
        <v>2500</v>
      </c>
      <c r="K306" s="82">
        <f t="shared" si="122"/>
        <v>5500</v>
      </c>
      <c r="L306" s="82">
        <f t="shared" si="122"/>
        <v>1700</v>
      </c>
      <c r="M306" s="90">
        <f t="shared" si="115"/>
        <v>100293</v>
      </c>
      <c r="N306" s="82">
        <f t="shared" si="116"/>
        <v>50146.5</v>
      </c>
      <c r="O306" s="82"/>
      <c r="P306" s="82">
        <f t="shared" si="117"/>
        <v>50146.5</v>
      </c>
      <c r="Q306" s="83"/>
      <c r="R306" s="82"/>
      <c r="S306" s="90">
        <f t="shared" si="118"/>
        <v>0</v>
      </c>
      <c r="T306" s="90"/>
      <c r="U306" s="90">
        <f t="shared" si="119"/>
        <v>0</v>
      </c>
      <c r="V306" s="83"/>
      <c r="W306" s="90"/>
      <c r="X306" s="90">
        <f t="shared" si="120"/>
        <v>0</v>
      </c>
      <c r="Y306" s="90"/>
      <c r="Z306" s="90">
        <f t="shared" si="121"/>
        <v>0</v>
      </c>
      <c r="AA306"/>
      <c r="AB306" s="83"/>
      <c r="AC306" s="83"/>
      <c r="AD306" s="83"/>
    </row>
    <row r="307" spans="1:30" s="86" customFormat="1" ht="12.75" customHeight="1">
      <c r="A307" s="117"/>
      <c r="B307" s="102" t="str">
        <f>I5</f>
        <v>200-1010-13</v>
      </c>
      <c r="C307" s="93"/>
      <c r="D307" s="112"/>
      <c r="E307" s="82"/>
      <c r="F307" s="82">
        <f>F289</f>
        <v>102400</v>
      </c>
      <c r="G307" s="82">
        <f>G289</f>
        <v>47104</v>
      </c>
      <c r="H307" s="82">
        <f>F307+G307</f>
        <v>149504</v>
      </c>
      <c r="I307" s="82">
        <f>I289</f>
        <v>0</v>
      </c>
      <c r="J307" s="82">
        <f>J289</f>
        <v>5000</v>
      </c>
      <c r="K307" s="82">
        <f>K289</f>
        <v>11000</v>
      </c>
      <c r="L307" s="82">
        <f>L289</f>
        <v>3400</v>
      </c>
      <c r="M307" s="90">
        <f t="shared" si="115"/>
        <v>168904</v>
      </c>
      <c r="N307" s="82">
        <f t="shared" si="116"/>
        <v>84452</v>
      </c>
      <c r="O307" s="82"/>
      <c r="P307" s="82">
        <f t="shared" si="117"/>
        <v>84452</v>
      </c>
      <c r="Q307" s="83"/>
      <c r="R307" s="82"/>
      <c r="S307" s="90">
        <f t="shared" si="118"/>
        <v>0</v>
      </c>
      <c r="T307" s="90"/>
      <c r="U307" s="90">
        <f t="shared" si="119"/>
        <v>0</v>
      </c>
      <c r="V307" s="83"/>
      <c r="W307" s="90"/>
      <c r="X307" s="90">
        <f t="shared" si="120"/>
        <v>0</v>
      </c>
      <c r="Y307" s="90"/>
      <c r="Z307" s="90">
        <f t="shared" si="121"/>
        <v>0</v>
      </c>
      <c r="AA307"/>
      <c r="AB307" s="83"/>
      <c r="AC307" s="83"/>
      <c r="AD307" s="83"/>
    </row>
    <row r="308" spans="2:30" s="86" customFormat="1" ht="12.75" customHeight="1">
      <c r="B308" s="129" t="str">
        <f>J1</f>
        <v>200-1010-15</v>
      </c>
      <c r="C308" s="93"/>
      <c r="D308" s="112"/>
      <c r="E308" s="82"/>
      <c r="F308" s="82">
        <f>F295</f>
        <v>40050</v>
      </c>
      <c r="G308" s="82">
        <f>G295</f>
        <v>18423</v>
      </c>
      <c r="H308" s="82">
        <f>F308+G308</f>
        <v>58473</v>
      </c>
      <c r="I308" s="82">
        <f>I295</f>
        <v>0</v>
      </c>
      <c r="J308" s="82">
        <f>J295</f>
        <v>2500</v>
      </c>
      <c r="K308" s="82">
        <f>K295</f>
        <v>5500</v>
      </c>
      <c r="L308" s="82">
        <f>L295</f>
        <v>1700</v>
      </c>
      <c r="M308" s="90">
        <f t="shared" si="115"/>
        <v>68173</v>
      </c>
      <c r="N308" s="82">
        <f t="shared" si="116"/>
        <v>34086.5</v>
      </c>
      <c r="O308" s="82"/>
      <c r="P308" s="82">
        <f t="shared" si="117"/>
        <v>34086.5</v>
      </c>
      <c r="Q308" s="83"/>
      <c r="R308" s="82"/>
      <c r="S308" s="90">
        <f t="shared" si="118"/>
        <v>0</v>
      </c>
      <c r="T308" s="90"/>
      <c r="U308" s="90">
        <f t="shared" si="119"/>
        <v>0</v>
      </c>
      <c r="V308" s="83"/>
      <c r="W308" s="90"/>
      <c r="X308" s="90">
        <f t="shared" si="120"/>
        <v>0</v>
      </c>
      <c r="Y308" s="90"/>
      <c r="Z308" s="90">
        <f t="shared" si="121"/>
        <v>0</v>
      </c>
      <c r="AA308"/>
      <c r="AB308" s="83"/>
      <c r="AC308" s="83"/>
      <c r="AD308" s="83"/>
    </row>
    <row r="309" spans="1:30" s="86" customFormat="1" ht="12.75" customHeight="1">
      <c r="A309" s="117"/>
      <c r="B309" s="102" t="str">
        <f>J3</f>
        <v>200-1010-88</v>
      </c>
      <c r="C309" s="93"/>
      <c r="D309" s="112"/>
      <c r="E309" s="82"/>
      <c r="F309" s="82">
        <f>F292+F293</f>
        <v>101400</v>
      </c>
      <c r="G309" s="82">
        <f>G292+G293</f>
        <v>46644</v>
      </c>
      <c r="H309" s="90">
        <f>+G309+F309</f>
        <v>148044</v>
      </c>
      <c r="I309" s="82">
        <f>I301</f>
        <v>0</v>
      </c>
      <c r="J309" s="82">
        <f>J292+J293</f>
        <v>5000</v>
      </c>
      <c r="K309" s="82">
        <f>K292+K293</f>
        <v>11000</v>
      </c>
      <c r="L309" s="82">
        <f>L292+L293</f>
        <v>3400</v>
      </c>
      <c r="M309" s="90">
        <f t="shared" si="115"/>
        <v>167444</v>
      </c>
      <c r="N309" s="82">
        <f t="shared" si="116"/>
        <v>83722</v>
      </c>
      <c r="O309" s="82"/>
      <c r="P309" s="82">
        <f t="shared" si="117"/>
        <v>83722</v>
      </c>
      <c r="Q309" s="83"/>
      <c r="R309" s="90"/>
      <c r="S309" s="90">
        <f t="shared" si="118"/>
        <v>0</v>
      </c>
      <c r="T309" s="90"/>
      <c r="U309" s="90">
        <f t="shared" si="119"/>
        <v>0</v>
      </c>
      <c r="V309" s="83"/>
      <c r="W309" s="90"/>
      <c r="X309" s="90">
        <f t="shared" si="120"/>
        <v>0</v>
      </c>
      <c r="Y309" s="90"/>
      <c r="Z309" s="90">
        <f t="shared" si="121"/>
        <v>0</v>
      </c>
      <c r="AA309"/>
      <c r="AB309" s="83"/>
      <c r="AC309" s="83"/>
      <c r="AD309" s="83"/>
    </row>
    <row r="310" spans="1:29" ht="12.75" customHeight="1" thickBot="1">
      <c r="A310" s="106"/>
      <c r="F310" s="126">
        <f aca="true" t="shared" si="123" ref="F310:P310">SUM(F304:F309)</f>
        <v>386200</v>
      </c>
      <c r="G310" s="126">
        <f t="shared" si="123"/>
        <v>177652</v>
      </c>
      <c r="H310" s="126">
        <f t="shared" si="123"/>
        <v>563852</v>
      </c>
      <c r="I310" s="126">
        <f t="shared" si="123"/>
        <v>0</v>
      </c>
      <c r="J310" s="126">
        <f t="shared" si="123"/>
        <v>20000</v>
      </c>
      <c r="K310" s="126">
        <f t="shared" si="123"/>
        <v>44000</v>
      </c>
      <c r="L310" s="126">
        <f t="shared" si="123"/>
        <v>13600</v>
      </c>
      <c r="M310" s="126">
        <f t="shared" si="123"/>
        <v>641452</v>
      </c>
      <c r="N310" s="126">
        <f t="shared" si="123"/>
        <v>320726</v>
      </c>
      <c r="O310" s="126">
        <f t="shared" si="123"/>
        <v>0</v>
      </c>
      <c r="P310" s="126">
        <f t="shared" si="123"/>
        <v>320726</v>
      </c>
      <c r="Q310" s="126"/>
      <c r="R310" s="126">
        <f>SUM(R304:R309)</f>
        <v>0</v>
      </c>
      <c r="S310" s="126">
        <f>SUM(S304:S309)</f>
        <v>0</v>
      </c>
      <c r="T310" s="126">
        <f>SUM(T304:T309)</f>
        <v>0</v>
      </c>
      <c r="U310" s="126">
        <f>SUM(U304:U309)</f>
        <v>0</v>
      </c>
      <c r="V310" s="83"/>
      <c r="W310" s="126">
        <f>SUM(W304:W309)</f>
        <v>0</v>
      </c>
      <c r="X310" s="126">
        <f>SUM(X304:X309)</f>
        <v>0</v>
      </c>
      <c r="Y310" s="126">
        <f>SUM(Y304:Y309)</f>
        <v>0</v>
      </c>
      <c r="Z310" s="126">
        <f>SUM(Z304:Z309)</f>
        <v>0</v>
      </c>
      <c r="AA310"/>
      <c r="AB310" s="83"/>
      <c r="AC310" s="83"/>
    </row>
    <row r="311" spans="1:29" ht="12.75" customHeight="1" thickTop="1">
      <c r="A311" s="73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3"/>
      <c r="R311" s="82"/>
      <c r="S311" s="82"/>
      <c r="T311" s="82"/>
      <c r="U311" s="82"/>
      <c r="V311" s="83"/>
      <c r="W311" s="82"/>
      <c r="X311" s="82"/>
      <c r="Y311" s="82"/>
      <c r="Z311" s="82"/>
      <c r="AA311"/>
      <c r="AB311" s="83"/>
      <c r="AC311" s="83"/>
    </row>
    <row r="312" spans="1:30" s="107" customFormat="1" ht="12.75" customHeight="1" thickBot="1">
      <c r="A312" s="117">
        <v>16</v>
      </c>
      <c r="B312" s="118" t="s">
        <v>155</v>
      </c>
      <c r="C312" s="93"/>
      <c r="D312" s="11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3"/>
      <c r="R312" s="82"/>
      <c r="S312" s="82"/>
      <c r="T312" s="82"/>
      <c r="U312" s="82"/>
      <c r="V312" s="83"/>
      <c r="W312" s="82"/>
      <c r="X312" s="82"/>
      <c r="Y312" s="82"/>
      <c r="Z312" s="82"/>
      <c r="AA312"/>
      <c r="AB312" s="83"/>
      <c r="AC312" s="83"/>
      <c r="AD312" s="111"/>
    </row>
    <row r="313" spans="1:30" s="86" customFormat="1" ht="0.75" customHeight="1">
      <c r="A313" s="73"/>
      <c r="B313" s="121" t="s">
        <v>77</v>
      </c>
      <c r="C313" s="93"/>
      <c r="D313" s="109" t="s">
        <v>71</v>
      </c>
      <c r="E313" s="97" t="s">
        <v>72</v>
      </c>
      <c r="F313" s="97" t="s">
        <v>72</v>
      </c>
      <c r="G313" s="97" t="s">
        <v>73</v>
      </c>
      <c r="H313" s="97" t="s">
        <v>1</v>
      </c>
      <c r="I313" s="97" t="s">
        <v>74</v>
      </c>
      <c r="J313" s="97" t="s">
        <v>66</v>
      </c>
      <c r="K313" s="97" t="s">
        <v>59</v>
      </c>
      <c r="L313" s="97" t="s">
        <v>18</v>
      </c>
      <c r="M313" s="97" t="s">
        <v>1</v>
      </c>
      <c r="N313" s="97" t="s">
        <v>7</v>
      </c>
      <c r="O313" s="97" t="s">
        <v>75</v>
      </c>
      <c r="P313" s="97" t="s">
        <v>76</v>
      </c>
      <c r="Q313" s="108"/>
      <c r="R313" s="97" t="s">
        <v>1</v>
      </c>
      <c r="S313" s="97" t="s">
        <v>7</v>
      </c>
      <c r="T313" s="97" t="s">
        <v>75</v>
      </c>
      <c r="U313" s="97" t="s">
        <v>76</v>
      </c>
      <c r="V313" s="83"/>
      <c r="W313" s="97" t="s">
        <v>1</v>
      </c>
      <c r="X313" s="97" t="s">
        <v>7</v>
      </c>
      <c r="Y313" s="97" t="s">
        <v>75</v>
      </c>
      <c r="Z313" s="97" t="s">
        <v>76</v>
      </c>
      <c r="AA313"/>
      <c r="AB313" s="83"/>
      <c r="AC313" s="83"/>
      <c r="AD313" s="83"/>
    </row>
    <row r="314" spans="1:30" s="86" customFormat="1" ht="0.75" customHeight="1">
      <c r="A314" s="73"/>
      <c r="B314" s="102"/>
      <c r="C314" s="93"/>
      <c r="D314" s="112"/>
      <c r="E314" s="82"/>
      <c r="F314" s="82">
        <f>+E314*D314</f>
        <v>0</v>
      </c>
      <c r="G314" s="82">
        <f>+F314*$C$4</f>
        <v>0</v>
      </c>
      <c r="H314" s="82">
        <f>+G314+F314</f>
        <v>0</v>
      </c>
      <c r="I314" s="82"/>
      <c r="J314" s="82">
        <f>+$C$7*D314</f>
        <v>0</v>
      </c>
      <c r="K314" s="82">
        <f>$C$5*D314</f>
        <v>0</v>
      </c>
      <c r="L314" s="82">
        <f>+$C$6*D314</f>
        <v>0</v>
      </c>
      <c r="M314" s="82">
        <f>SUM(H314:L314)</f>
        <v>0</v>
      </c>
      <c r="N314" s="82">
        <f>+M314*$C$2</f>
        <v>0</v>
      </c>
      <c r="O314" s="82"/>
      <c r="P314" s="82">
        <f>+M314-N314-O314</f>
        <v>0</v>
      </c>
      <c r="Q314" s="83"/>
      <c r="R314" s="82"/>
      <c r="S314" s="82">
        <f>+R314*0.5</f>
        <v>0</v>
      </c>
      <c r="T314" s="82"/>
      <c r="U314" s="82">
        <f>+R314-S314-T314</f>
        <v>0</v>
      </c>
      <c r="V314" s="83"/>
      <c r="W314" s="82"/>
      <c r="X314" s="82">
        <f>+W314*0.5</f>
        <v>0</v>
      </c>
      <c r="Y314" s="82"/>
      <c r="Z314" s="82">
        <f>+W314-X314-Y314</f>
        <v>0</v>
      </c>
      <c r="AA314"/>
      <c r="AB314" s="83"/>
      <c r="AC314" s="83"/>
      <c r="AD314" s="83"/>
    </row>
    <row r="315" spans="1:30" s="86" customFormat="1" ht="12.75" customHeight="1" hidden="1" thickBot="1">
      <c r="A315" s="113"/>
      <c r="B315" s="83"/>
      <c r="C315" s="93"/>
      <c r="D315" s="112"/>
      <c r="E315" s="82"/>
      <c r="F315" s="123">
        <f>+E315*D315</f>
        <v>0</v>
      </c>
      <c r="G315" s="123">
        <f>+F315*$C$4</f>
        <v>0</v>
      </c>
      <c r="H315" s="123">
        <f>+G315+F315</f>
        <v>0</v>
      </c>
      <c r="I315" s="123"/>
      <c r="J315" s="123">
        <f>+$C$7*D315</f>
        <v>0</v>
      </c>
      <c r="K315" s="123">
        <f>$C$5*D315</f>
        <v>0</v>
      </c>
      <c r="L315" s="123">
        <f>+$C$6*D315</f>
        <v>0</v>
      </c>
      <c r="M315" s="123">
        <f>SUM(H315:L315)</f>
        <v>0</v>
      </c>
      <c r="N315" s="123">
        <f>+M315*$C$2</f>
        <v>0</v>
      </c>
      <c r="O315" s="123"/>
      <c r="P315" s="123">
        <f>+M315-N315-O315</f>
        <v>0</v>
      </c>
      <c r="Q315" s="138"/>
      <c r="R315" s="123"/>
      <c r="S315" s="123">
        <f>+R315*0.5</f>
        <v>0</v>
      </c>
      <c r="T315" s="123"/>
      <c r="U315" s="123">
        <f>+R315-S315-T315</f>
        <v>0</v>
      </c>
      <c r="V315" s="83"/>
      <c r="W315" s="123"/>
      <c r="X315" s="123">
        <f>+W315*0.5</f>
        <v>0</v>
      </c>
      <c r="Y315" s="123"/>
      <c r="Z315" s="123">
        <f>+W315-X315-Y315</f>
        <v>0</v>
      </c>
      <c r="AA315"/>
      <c r="AB315" s="83"/>
      <c r="AC315" s="83"/>
      <c r="AD315" s="83"/>
    </row>
    <row r="316" spans="1:29" ht="12.75" customHeight="1" hidden="1">
      <c r="A316" s="106"/>
      <c r="B316" s="83"/>
      <c r="F316" s="82">
        <f aca="true" t="shared" si="124" ref="F316:P316">SUM(F314:F315)</f>
        <v>0</v>
      </c>
      <c r="G316" s="82">
        <f t="shared" si="124"/>
        <v>0</v>
      </c>
      <c r="H316" s="82">
        <f t="shared" si="124"/>
        <v>0</v>
      </c>
      <c r="I316" s="82">
        <f t="shared" si="124"/>
        <v>0</v>
      </c>
      <c r="J316" s="82">
        <f t="shared" si="124"/>
        <v>0</v>
      </c>
      <c r="K316" s="82">
        <f t="shared" si="124"/>
        <v>0</v>
      </c>
      <c r="L316" s="82">
        <f t="shared" si="124"/>
        <v>0</v>
      </c>
      <c r="M316" s="82">
        <f t="shared" si="124"/>
        <v>0</v>
      </c>
      <c r="N316" s="82">
        <f t="shared" si="124"/>
        <v>0</v>
      </c>
      <c r="O316" s="82">
        <f t="shared" si="124"/>
        <v>0</v>
      </c>
      <c r="P316" s="82">
        <f t="shared" si="124"/>
        <v>0</v>
      </c>
      <c r="Q316" s="83"/>
      <c r="R316" s="82"/>
      <c r="S316" s="82">
        <f>SUM(S314:S315)</f>
        <v>0</v>
      </c>
      <c r="T316" s="82">
        <f>SUM(T314:T315)</f>
        <v>0</v>
      </c>
      <c r="U316" s="82">
        <f>SUM(U314:U315)</f>
        <v>0</v>
      </c>
      <c r="V316" s="83"/>
      <c r="W316" s="82"/>
      <c r="X316" s="82">
        <f>SUM(X314:X315)</f>
        <v>0</v>
      </c>
      <c r="Y316" s="82">
        <f>SUM(Y314:Y315)</f>
        <v>0</v>
      </c>
      <c r="Z316" s="82">
        <f>SUM(Z314:Z315)</f>
        <v>0</v>
      </c>
      <c r="AA316"/>
      <c r="AB316" s="83"/>
      <c r="AC316" s="83"/>
    </row>
    <row r="317" spans="1:29" ht="12.75" customHeight="1" hidden="1">
      <c r="A317" s="122"/>
      <c r="B317" s="83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3"/>
      <c r="R317" s="82"/>
      <c r="S317" s="82"/>
      <c r="T317" s="82"/>
      <c r="U317" s="82"/>
      <c r="V317" s="83"/>
      <c r="W317" s="82"/>
      <c r="X317" s="82"/>
      <c r="Y317" s="82"/>
      <c r="Z317" s="82"/>
      <c r="AA317"/>
      <c r="AB317" s="83"/>
      <c r="AC317" s="83"/>
    </row>
    <row r="318" spans="1:30" s="86" customFormat="1" ht="12.75" customHeight="1">
      <c r="A318" s="73"/>
      <c r="B318" s="120"/>
      <c r="C318" s="93"/>
      <c r="D318" s="11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3"/>
      <c r="R318" s="82"/>
      <c r="S318" s="82"/>
      <c r="T318" s="82"/>
      <c r="U318" s="82"/>
      <c r="V318" s="83"/>
      <c r="W318" s="82"/>
      <c r="X318" s="82"/>
      <c r="Y318" s="82"/>
      <c r="Z318" s="82"/>
      <c r="AA318"/>
      <c r="AB318" s="83"/>
      <c r="AC318" s="83"/>
      <c r="AD318" s="83"/>
    </row>
    <row r="319" spans="1:29" ht="12.75" customHeight="1">
      <c r="A319" s="93">
        <v>512</v>
      </c>
      <c r="B319" s="83" t="s">
        <v>127</v>
      </c>
      <c r="F319" s="82"/>
      <c r="G319" s="82"/>
      <c r="H319" s="82">
        <f>+F319+G319</f>
        <v>0</v>
      </c>
      <c r="I319" s="82">
        <f>'[8]FY10 Priority  (2)'!$F$47</f>
        <v>201861</v>
      </c>
      <c r="J319" s="82"/>
      <c r="K319" s="82"/>
      <c r="L319" s="82"/>
      <c r="M319" s="90">
        <f>SUM(H319:L319)</f>
        <v>201861</v>
      </c>
      <c r="N319" s="82">
        <f>M319*$C$2</f>
        <v>100930.5</v>
      </c>
      <c r="O319" s="82"/>
      <c r="P319" s="82">
        <f>M319-N319</f>
        <v>100930.5</v>
      </c>
      <c r="Q319" s="83"/>
      <c r="R319" s="90">
        <v>1127325</v>
      </c>
      <c r="S319" s="82">
        <f>R319*0.25</f>
        <v>281831.25</v>
      </c>
      <c r="T319" s="82"/>
      <c r="U319" s="90">
        <f>R319-S319-T319</f>
        <v>845493.75</v>
      </c>
      <c r="V319" s="83"/>
      <c r="W319" s="90">
        <f>6561967</f>
        <v>6561967</v>
      </c>
      <c r="X319" s="82">
        <f>W319*0.25</f>
        <v>1640491.75</v>
      </c>
      <c r="Y319" s="82"/>
      <c r="Z319" s="90">
        <f>W319-X319-Y319</f>
        <v>4921475.25</v>
      </c>
      <c r="AA319"/>
      <c r="AB319" s="83"/>
      <c r="AC319" s="83"/>
    </row>
    <row r="320" spans="1:30" s="86" customFormat="1" ht="12.75" customHeight="1">
      <c r="A320" s="73"/>
      <c r="B320" s="120"/>
      <c r="C320" s="93"/>
      <c r="D320" s="11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3"/>
      <c r="R320" s="82"/>
      <c r="S320" s="82"/>
      <c r="T320" s="82"/>
      <c r="U320" s="82"/>
      <c r="V320" s="83"/>
      <c r="W320" s="82"/>
      <c r="X320" s="82"/>
      <c r="Y320" s="82"/>
      <c r="Z320" s="82"/>
      <c r="AA320"/>
      <c r="AB320" s="83"/>
      <c r="AC320" s="83"/>
      <c r="AD320" s="83"/>
    </row>
    <row r="321" spans="1:29" ht="12.75" customHeight="1" thickBot="1">
      <c r="A321" s="73"/>
      <c r="B321" s="83" t="s">
        <v>79</v>
      </c>
      <c r="F321" s="126">
        <f aca="true" t="shared" si="125" ref="F321:P321">SUM(F316:F320)</f>
        <v>0</v>
      </c>
      <c r="G321" s="126">
        <f t="shared" si="125"/>
        <v>0</v>
      </c>
      <c r="H321" s="126">
        <f t="shared" si="125"/>
        <v>0</v>
      </c>
      <c r="I321" s="126">
        <f t="shared" si="125"/>
        <v>201861</v>
      </c>
      <c r="J321" s="126">
        <f t="shared" si="125"/>
        <v>0</v>
      </c>
      <c r="K321" s="126">
        <f t="shared" si="125"/>
        <v>0</v>
      </c>
      <c r="L321" s="126">
        <f t="shared" si="125"/>
        <v>0</v>
      </c>
      <c r="M321" s="126">
        <f t="shared" si="125"/>
        <v>201861</v>
      </c>
      <c r="N321" s="126">
        <f t="shared" si="125"/>
        <v>100930.5</v>
      </c>
      <c r="O321" s="126">
        <f t="shared" si="125"/>
        <v>0</v>
      </c>
      <c r="P321" s="126">
        <f t="shared" si="125"/>
        <v>100930.5</v>
      </c>
      <c r="Q321" s="83"/>
      <c r="R321" s="126">
        <f>SUM(R318:R320)</f>
        <v>1127325</v>
      </c>
      <c r="S321" s="126">
        <f>SUM(S318:S320)</f>
        <v>281831.25</v>
      </c>
      <c r="T321" s="126">
        <f>SUM(T318:T320)</f>
        <v>0</v>
      </c>
      <c r="U321" s="126">
        <f>SUM(U318:U320)</f>
        <v>845493.75</v>
      </c>
      <c r="V321" s="83"/>
      <c r="W321" s="126">
        <f>SUM(W318:W320)</f>
        <v>6561967</v>
      </c>
      <c r="X321" s="126">
        <f>SUM(X318:X320)</f>
        <v>1640491.75</v>
      </c>
      <c r="Y321" s="126">
        <f>SUM(Y318:Y320)</f>
        <v>0</v>
      </c>
      <c r="Z321" s="126">
        <f>SUM(Z318:Z320)</f>
        <v>4921475.25</v>
      </c>
      <c r="AA321"/>
      <c r="AB321" s="83"/>
      <c r="AC321" s="83"/>
    </row>
    <row r="322" spans="1:30" s="107" customFormat="1" ht="12.75" customHeight="1" thickTop="1">
      <c r="A322" s="73"/>
      <c r="B322" s="120"/>
      <c r="C322" s="93"/>
      <c r="D322" s="11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3"/>
      <c r="R322" s="82"/>
      <c r="S322" s="82"/>
      <c r="T322" s="82"/>
      <c r="U322" s="82"/>
      <c r="V322" s="83"/>
      <c r="W322" s="82"/>
      <c r="X322" s="82"/>
      <c r="Y322" s="82"/>
      <c r="Z322" s="82"/>
      <c r="AA322"/>
      <c r="AB322" s="83"/>
      <c r="AC322" s="83"/>
      <c r="AD322" s="111"/>
    </row>
    <row r="323" spans="1:30" s="86" customFormat="1" ht="12.75" customHeight="1">
      <c r="A323" s="73"/>
      <c r="B323" s="128" t="s">
        <v>80</v>
      </c>
      <c r="C323" s="93"/>
      <c r="D323" s="11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3"/>
      <c r="R323" s="82"/>
      <c r="S323" s="82"/>
      <c r="T323" s="82"/>
      <c r="U323" s="82"/>
      <c r="V323" s="83"/>
      <c r="W323" s="82"/>
      <c r="X323" s="82"/>
      <c r="Y323" s="82"/>
      <c r="Z323" s="82"/>
      <c r="AA323"/>
      <c r="AB323" s="83"/>
      <c r="AC323" s="83"/>
      <c r="AD323" s="83"/>
    </row>
    <row r="324" spans="1:30" s="86" customFormat="1" ht="12.75" customHeight="1">
      <c r="A324" s="73"/>
      <c r="B324" s="137" t="str">
        <f>J4</f>
        <v>200-1030-01</v>
      </c>
      <c r="C324" s="93"/>
      <c r="D324" s="112"/>
      <c r="E324" s="82"/>
      <c r="F324" s="82">
        <f>F321</f>
        <v>0</v>
      </c>
      <c r="G324" s="82">
        <f>G321</f>
        <v>0</v>
      </c>
      <c r="H324" s="90">
        <f>+G324+F324</f>
        <v>0</v>
      </c>
      <c r="I324" s="82">
        <f>I321</f>
        <v>201861</v>
      </c>
      <c r="J324" s="82">
        <f>J321</f>
        <v>0</v>
      </c>
      <c r="K324" s="82">
        <f>K321</f>
        <v>0</v>
      </c>
      <c r="L324" s="82">
        <f>L321</f>
        <v>0</v>
      </c>
      <c r="M324" s="90">
        <f>SUM(H324:L324)</f>
        <v>201861</v>
      </c>
      <c r="N324" s="82">
        <f>M324*$C$2</f>
        <v>100930.5</v>
      </c>
      <c r="O324" s="82"/>
      <c r="P324" s="82">
        <f>M324-N324</f>
        <v>100930.5</v>
      </c>
      <c r="Q324" s="83"/>
      <c r="R324" s="90"/>
      <c r="S324" s="82"/>
      <c r="T324" s="82"/>
      <c r="U324" s="82">
        <f>R324-S324</f>
        <v>0</v>
      </c>
      <c r="V324" s="83"/>
      <c r="W324" s="90"/>
      <c r="X324" s="82"/>
      <c r="Y324" s="82"/>
      <c r="Z324" s="82">
        <f>W324-X324</f>
        <v>0</v>
      </c>
      <c r="AA324"/>
      <c r="AB324" s="83"/>
      <c r="AC324" s="83"/>
      <c r="AD324" s="83"/>
    </row>
    <row r="325" spans="1:29" ht="12.75" customHeight="1" thickBot="1">
      <c r="A325" s="73"/>
      <c r="B325" s="83"/>
      <c r="F325" s="126">
        <f aca="true" t="shared" si="126" ref="F325:P325">SUM(F324:F324)</f>
        <v>0</v>
      </c>
      <c r="G325" s="126">
        <f t="shared" si="126"/>
        <v>0</v>
      </c>
      <c r="H325" s="126">
        <f t="shared" si="126"/>
        <v>0</v>
      </c>
      <c r="I325" s="126">
        <f t="shared" si="126"/>
        <v>201861</v>
      </c>
      <c r="J325" s="126">
        <f t="shared" si="126"/>
        <v>0</v>
      </c>
      <c r="K325" s="126">
        <f t="shared" si="126"/>
        <v>0</v>
      </c>
      <c r="L325" s="126">
        <f t="shared" si="126"/>
        <v>0</v>
      </c>
      <c r="M325" s="126">
        <f t="shared" si="126"/>
        <v>201861</v>
      </c>
      <c r="N325" s="126">
        <f t="shared" si="126"/>
        <v>100930.5</v>
      </c>
      <c r="O325" s="126">
        <f t="shared" si="126"/>
        <v>0</v>
      </c>
      <c r="P325" s="126">
        <f t="shared" si="126"/>
        <v>100930.5</v>
      </c>
      <c r="Q325" s="83"/>
      <c r="R325" s="126">
        <f>SUM(R324:R324)</f>
        <v>0</v>
      </c>
      <c r="S325" s="126">
        <f>SUM(S324:S324)</f>
        <v>0</v>
      </c>
      <c r="T325" s="126">
        <f>SUM(T324:T324)</f>
        <v>0</v>
      </c>
      <c r="U325" s="126">
        <f>SUM(U324:U324)</f>
        <v>0</v>
      </c>
      <c r="V325" s="83"/>
      <c r="W325" s="126">
        <f>SUM(W324:W324)</f>
        <v>0</v>
      </c>
      <c r="X325" s="126">
        <f>SUM(X324:X324)</f>
        <v>0</v>
      </c>
      <c r="Y325" s="126">
        <f>SUM(Y324:Y324)</f>
        <v>0</v>
      </c>
      <c r="Z325" s="126">
        <f>SUM(Z324:Z324)</f>
        <v>0</v>
      </c>
      <c r="AA325"/>
      <c r="AB325" s="83"/>
      <c r="AC325" s="83"/>
    </row>
    <row r="326" spans="1:29" ht="12.75" customHeight="1" thickTop="1">
      <c r="A326" s="73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3"/>
      <c r="R326" s="82"/>
      <c r="S326" s="82"/>
      <c r="T326" s="82"/>
      <c r="U326" s="82"/>
      <c r="V326" s="83"/>
      <c r="W326" s="82"/>
      <c r="X326" s="82"/>
      <c r="Y326" s="82"/>
      <c r="Z326" s="82"/>
      <c r="AA326"/>
      <c r="AB326" s="83"/>
      <c r="AC326" s="83"/>
    </row>
    <row r="327" spans="1:30" s="107" customFormat="1" ht="12.75" customHeight="1" thickBot="1">
      <c r="A327" s="117">
        <v>17</v>
      </c>
      <c r="B327" s="118" t="s">
        <v>156</v>
      </c>
      <c r="C327" s="93"/>
      <c r="D327" s="11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3"/>
      <c r="R327" s="82"/>
      <c r="S327" s="82"/>
      <c r="T327" s="82"/>
      <c r="U327" s="82"/>
      <c r="V327" s="83"/>
      <c r="W327" s="82"/>
      <c r="X327" s="82"/>
      <c r="Y327" s="82"/>
      <c r="Z327" s="82"/>
      <c r="AA327"/>
      <c r="AB327" s="83"/>
      <c r="AC327" s="83"/>
      <c r="AD327" s="111"/>
    </row>
    <row r="328" spans="1:30" s="107" customFormat="1" ht="0.75" customHeight="1">
      <c r="A328" s="106"/>
      <c r="B328" s="121" t="s">
        <v>77</v>
      </c>
      <c r="C328" s="93"/>
      <c r="D328" s="112"/>
      <c r="E328" s="82"/>
      <c r="F328" s="97" t="s">
        <v>72</v>
      </c>
      <c r="G328" s="97" t="s">
        <v>73</v>
      </c>
      <c r="H328" s="97" t="s">
        <v>1</v>
      </c>
      <c r="I328" s="97" t="s">
        <v>74</v>
      </c>
      <c r="J328" s="97" t="s">
        <v>66</v>
      </c>
      <c r="K328" s="97" t="s">
        <v>59</v>
      </c>
      <c r="L328" s="97" t="s">
        <v>18</v>
      </c>
      <c r="M328" s="97" t="s">
        <v>1</v>
      </c>
      <c r="N328" s="97" t="s">
        <v>7</v>
      </c>
      <c r="O328" s="97" t="s">
        <v>75</v>
      </c>
      <c r="P328" s="97" t="s">
        <v>76</v>
      </c>
      <c r="Q328" s="108"/>
      <c r="R328" s="97" t="s">
        <v>1</v>
      </c>
      <c r="S328" s="97" t="s">
        <v>7</v>
      </c>
      <c r="T328" s="97" t="s">
        <v>75</v>
      </c>
      <c r="U328" s="97" t="s">
        <v>76</v>
      </c>
      <c r="V328" s="83"/>
      <c r="W328" s="97" t="s">
        <v>1</v>
      </c>
      <c r="X328" s="97" t="s">
        <v>7</v>
      </c>
      <c r="Y328" s="97" t="s">
        <v>75</v>
      </c>
      <c r="Z328" s="97" t="s">
        <v>76</v>
      </c>
      <c r="AA328"/>
      <c r="AB328" s="83"/>
      <c r="AC328" s="83"/>
      <c r="AD328" s="111"/>
    </row>
    <row r="329" spans="1:30" s="86" customFormat="1" ht="12.75" customHeight="1" hidden="1">
      <c r="A329" s="152"/>
      <c r="B329" s="83"/>
      <c r="C329" s="93"/>
      <c r="D329" s="112"/>
      <c r="E329" s="82"/>
      <c r="F329" s="82">
        <f>+E329*D329</f>
        <v>0</v>
      </c>
      <c r="G329" s="82">
        <f>+F329*$C$4</f>
        <v>0</v>
      </c>
      <c r="H329" s="82">
        <f>+G329+F329</f>
        <v>0</v>
      </c>
      <c r="I329" s="82"/>
      <c r="J329" s="82">
        <f>+$C$7*D329</f>
        <v>0</v>
      </c>
      <c r="K329" s="82">
        <f>$C$5*D329</f>
        <v>0</v>
      </c>
      <c r="L329" s="82">
        <f>+$C$6*D329</f>
        <v>0</v>
      </c>
      <c r="M329" s="82">
        <f>SUM(H329:L329)</f>
        <v>0</v>
      </c>
      <c r="N329" s="82">
        <f>+M329*$C$2</f>
        <v>0</v>
      </c>
      <c r="O329" s="82"/>
      <c r="P329" s="82">
        <f>+M329-N329-O329</f>
        <v>0</v>
      </c>
      <c r="Q329" s="83"/>
      <c r="R329" s="82"/>
      <c r="S329" s="82">
        <f>+R329*0.5</f>
        <v>0</v>
      </c>
      <c r="T329" s="82"/>
      <c r="U329" s="82">
        <f>+R329-S329-T329</f>
        <v>0</v>
      </c>
      <c r="V329" s="83"/>
      <c r="W329" s="82"/>
      <c r="X329" s="82">
        <f>+W329*0.5</f>
        <v>0</v>
      </c>
      <c r="Y329" s="82"/>
      <c r="Z329" s="82">
        <f>+W329-X329-Y329</f>
        <v>0</v>
      </c>
      <c r="AA329"/>
      <c r="AB329" s="83"/>
      <c r="AC329" s="83"/>
      <c r="AD329" s="83"/>
    </row>
    <row r="330" spans="1:30" s="86" customFormat="1" ht="12.75" customHeight="1" hidden="1" thickBot="1">
      <c r="A330" s="73"/>
      <c r="B330" s="132"/>
      <c r="C330" s="93"/>
      <c r="D330" s="112"/>
      <c r="E330" s="82"/>
      <c r="F330" s="123">
        <f>+E330*D330</f>
        <v>0</v>
      </c>
      <c r="G330" s="123">
        <f>+F330*$C$4</f>
        <v>0</v>
      </c>
      <c r="H330" s="123">
        <f>+G330+F330</f>
        <v>0</v>
      </c>
      <c r="I330" s="123"/>
      <c r="J330" s="123">
        <f>+$C$7*D330</f>
        <v>0</v>
      </c>
      <c r="K330" s="123">
        <f>$C$5*D330</f>
        <v>0</v>
      </c>
      <c r="L330" s="123">
        <f>+$C$6*D330</f>
        <v>0</v>
      </c>
      <c r="M330" s="123">
        <f>SUM(H330:L330)</f>
        <v>0</v>
      </c>
      <c r="N330" s="123">
        <f>+M330*$C$2</f>
        <v>0</v>
      </c>
      <c r="O330" s="123"/>
      <c r="P330" s="123">
        <f>+M330-N330-O330</f>
        <v>0</v>
      </c>
      <c r="Q330" s="138"/>
      <c r="R330" s="123"/>
      <c r="S330" s="123">
        <f>+R330*0.5</f>
        <v>0</v>
      </c>
      <c r="T330" s="123"/>
      <c r="U330" s="123">
        <f>+R330-S330-T330</f>
        <v>0</v>
      </c>
      <c r="V330" s="83"/>
      <c r="W330" s="123"/>
      <c r="X330" s="123">
        <f>+W330*0.5</f>
        <v>0</v>
      </c>
      <c r="Y330" s="123"/>
      <c r="Z330" s="123">
        <f>+W330-X330-Y330</f>
        <v>0</v>
      </c>
      <c r="AA330"/>
      <c r="AB330" s="83"/>
      <c r="AC330" s="83"/>
      <c r="AD330" s="83"/>
    </row>
    <row r="331" spans="1:29" ht="12.75" customHeight="1" hidden="1">
      <c r="A331" s="73"/>
      <c r="B331" s="132"/>
      <c r="F331" s="82">
        <f aca="true" t="shared" si="127" ref="F331:P331">SUM(F329:F330)</f>
        <v>0</v>
      </c>
      <c r="G331" s="82">
        <f t="shared" si="127"/>
        <v>0</v>
      </c>
      <c r="H331" s="82">
        <f t="shared" si="127"/>
        <v>0</v>
      </c>
      <c r="I331" s="82">
        <f t="shared" si="127"/>
        <v>0</v>
      </c>
      <c r="J331" s="82">
        <f t="shared" si="127"/>
        <v>0</v>
      </c>
      <c r="K331" s="82">
        <f t="shared" si="127"/>
        <v>0</v>
      </c>
      <c r="L331" s="82">
        <f t="shared" si="127"/>
        <v>0</v>
      </c>
      <c r="M331" s="82">
        <f t="shared" si="127"/>
        <v>0</v>
      </c>
      <c r="N331" s="82">
        <f t="shared" si="127"/>
        <v>0</v>
      </c>
      <c r="O331" s="82">
        <f t="shared" si="127"/>
        <v>0</v>
      </c>
      <c r="P331" s="82">
        <f t="shared" si="127"/>
        <v>0</v>
      </c>
      <c r="Q331" s="83"/>
      <c r="R331" s="82"/>
      <c r="S331" s="82"/>
      <c r="T331" s="82">
        <f>SUM(T329:T330)</f>
        <v>0</v>
      </c>
      <c r="U331" s="82"/>
      <c r="V331" s="83"/>
      <c r="W331" s="82"/>
      <c r="X331" s="82"/>
      <c r="Y331" s="82">
        <f>SUM(Y329:Y330)</f>
        <v>0</v>
      </c>
      <c r="Z331" s="82"/>
      <c r="AA331"/>
      <c r="AB331" s="83"/>
      <c r="AC331" s="83"/>
    </row>
    <row r="332" spans="1:29" ht="12.75" customHeight="1">
      <c r="A332" s="73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3"/>
      <c r="R332" s="82"/>
      <c r="S332" s="82"/>
      <c r="T332" s="82"/>
      <c r="U332" s="82"/>
      <c r="V332" s="83"/>
      <c r="W332" s="82"/>
      <c r="X332" s="82"/>
      <c r="Y332" s="82"/>
      <c r="Z332" s="82"/>
      <c r="AA332"/>
      <c r="AB332" s="83"/>
      <c r="AC332" s="83"/>
    </row>
    <row r="333" spans="1:30" s="86" customFormat="1" ht="12.75" customHeight="1">
      <c r="A333" s="133">
        <v>551</v>
      </c>
      <c r="B333" s="83" t="s">
        <v>127</v>
      </c>
      <c r="C333" s="93"/>
      <c r="D333" s="112"/>
      <c r="E333" s="82"/>
      <c r="F333" s="82">
        <v>0</v>
      </c>
      <c r="G333" s="82">
        <v>0</v>
      </c>
      <c r="H333" s="82">
        <f>+F333+G333</f>
        <v>0</v>
      </c>
      <c r="I333" s="82">
        <v>0</v>
      </c>
      <c r="J333" s="82"/>
      <c r="K333" s="82">
        <v>0</v>
      </c>
      <c r="L333" s="82">
        <f>'[8]FY10 Priority  (2)'!$F$48</f>
        <v>500000</v>
      </c>
      <c r="M333" s="90">
        <f>SUM(H333:L333)</f>
        <v>500000</v>
      </c>
      <c r="N333" s="82">
        <f>+M333*$C$1</f>
        <v>176012.49999999997</v>
      </c>
      <c r="O333" s="82"/>
      <c r="P333" s="82">
        <f>+M333-N333-O333</f>
        <v>323987.5</v>
      </c>
      <c r="Q333" s="83"/>
      <c r="R333" s="82"/>
      <c r="S333" s="82"/>
      <c r="T333" s="82"/>
      <c r="U333" s="82">
        <f>R333-S333</f>
        <v>0</v>
      </c>
      <c r="V333" s="83"/>
      <c r="W333" s="82"/>
      <c r="X333" s="82"/>
      <c r="Y333" s="82"/>
      <c r="Z333" s="82">
        <f>W333-X333</f>
        <v>0</v>
      </c>
      <c r="AA333"/>
      <c r="AB333" s="83"/>
      <c r="AC333" s="83"/>
      <c r="AD333" s="83"/>
    </row>
    <row r="334" spans="1:29" ht="12.75" customHeight="1">
      <c r="A334" s="113"/>
      <c r="B334" s="83"/>
      <c r="F334" s="82"/>
      <c r="G334" s="82"/>
      <c r="H334" s="82"/>
      <c r="I334" s="82"/>
      <c r="J334" s="82"/>
      <c r="K334" s="82"/>
      <c r="L334" s="90"/>
      <c r="M334" s="90"/>
      <c r="N334" s="82"/>
      <c r="O334" s="82"/>
      <c r="P334" s="82"/>
      <c r="Q334" s="83"/>
      <c r="R334" s="90"/>
      <c r="S334" s="82"/>
      <c r="T334" s="82"/>
      <c r="U334" s="82"/>
      <c r="V334" s="83"/>
      <c r="W334" s="90"/>
      <c r="X334" s="82"/>
      <c r="Y334" s="82"/>
      <c r="Z334" s="82"/>
      <c r="AA334"/>
      <c r="AB334" s="83"/>
      <c r="AC334" s="83"/>
    </row>
    <row r="335" spans="2:29" ht="12.75" customHeight="1" thickBot="1">
      <c r="B335" s="83" t="s">
        <v>79</v>
      </c>
      <c r="F335" s="126">
        <f aca="true" t="shared" si="128" ref="F335:P335">SUM(F331:F334)</f>
        <v>0</v>
      </c>
      <c r="G335" s="126">
        <f t="shared" si="128"/>
        <v>0</v>
      </c>
      <c r="H335" s="126">
        <f t="shared" si="128"/>
        <v>0</v>
      </c>
      <c r="I335" s="126">
        <f t="shared" si="128"/>
        <v>0</v>
      </c>
      <c r="J335" s="126">
        <f t="shared" si="128"/>
        <v>0</v>
      </c>
      <c r="K335" s="126">
        <f t="shared" si="128"/>
        <v>0</v>
      </c>
      <c r="L335" s="126">
        <f t="shared" si="128"/>
        <v>500000</v>
      </c>
      <c r="M335" s="126">
        <f t="shared" si="128"/>
        <v>500000</v>
      </c>
      <c r="N335" s="126">
        <f t="shared" si="128"/>
        <v>176012.49999999997</v>
      </c>
      <c r="O335" s="126">
        <f t="shared" si="128"/>
        <v>0</v>
      </c>
      <c r="P335" s="126">
        <f t="shared" si="128"/>
        <v>323987.5</v>
      </c>
      <c r="Q335" s="83"/>
      <c r="R335" s="126">
        <f>SUM(R331:R334)</f>
        <v>0</v>
      </c>
      <c r="S335" s="126">
        <f>SUM(S331:S334)</f>
        <v>0</v>
      </c>
      <c r="T335" s="126">
        <f>SUM(T331:T334)</f>
        <v>0</v>
      </c>
      <c r="U335" s="126">
        <f>SUM(U331:U334)</f>
        <v>0</v>
      </c>
      <c r="V335" s="83"/>
      <c r="W335" s="126">
        <f>SUM(W331:W334)</f>
        <v>0</v>
      </c>
      <c r="X335" s="126">
        <f>SUM(X331:X334)</f>
        <v>0</v>
      </c>
      <c r="Y335" s="126">
        <f>SUM(Y331:Y334)</f>
        <v>0</v>
      </c>
      <c r="Z335" s="126">
        <f>SUM(Z331:Z334)</f>
        <v>0</v>
      </c>
      <c r="AA335"/>
      <c r="AB335" s="83"/>
      <c r="AC335" s="83"/>
    </row>
    <row r="336" spans="1:30" s="107" customFormat="1" ht="12.75" customHeight="1" thickTop="1">
      <c r="A336" s="73"/>
      <c r="B336" s="120"/>
      <c r="C336" s="93"/>
      <c r="D336" s="11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3"/>
      <c r="R336" s="82"/>
      <c r="S336" s="82"/>
      <c r="T336" s="82"/>
      <c r="U336" s="82"/>
      <c r="V336" s="83"/>
      <c r="W336" s="82"/>
      <c r="X336" s="82"/>
      <c r="Y336" s="82"/>
      <c r="Z336" s="82"/>
      <c r="AA336"/>
      <c r="AB336" s="83"/>
      <c r="AC336" s="83"/>
      <c r="AD336" s="111"/>
    </row>
    <row r="337" spans="1:30" s="86" customFormat="1" ht="12.75" customHeight="1">
      <c r="A337" s="117"/>
      <c r="B337" s="128" t="s">
        <v>80</v>
      </c>
      <c r="C337" s="93"/>
      <c r="D337" s="11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3"/>
      <c r="R337" s="82"/>
      <c r="S337" s="82"/>
      <c r="T337" s="82"/>
      <c r="U337" s="82"/>
      <c r="V337" s="83"/>
      <c r="W337" s="82"/>
      <c r="X337" s="82"/>
      <c r="Y337" s="82"/>
      <c r="Z337" s="82"/>
      <c r="AA337"/>
      <c r="AB337" s="83"/>
      <c r="AC337" s="83"/>
      <c r="AD337" s="83"/>
    </row>
    <row r="338" spans="1:30" s="86" customFormat="1" ht="12.75" customHeight="1">
      <c r="A338" s="106"/>
      <c r="B338" s="129" t="str">
        <f>K5</f>
        <v>340-1020-01</v>
      </c>
      <c r="C338" s="93"/>
      <c r="D338" s="112"/>
      <c r="E338" s="82"/>
      <c r="F338" s="82"/>
      <c r="G338" s="82"/>
      <c r="H338" s="90">
        <f>+G338+F338</f>
        <v>0</v>
      </c>
      <c r="I338" s="82">
        <f aca="true" t="shared" si="129" ref="I338:P338">I335</f>
        <v>0</v>
      </c>
      <c r="J338" s="82">
        <f t="shared" si="129"/>
        <v>0</v>
      </c>
      <c r="K338" s="82">
        <f t="shared" si="129"/>
        <v>0</v>
      </c>
      <c r="L338" s="82">
        <f t="shared" si="129"/>
        <v>500000</v>
      </c>
      <c r="M338" s="82">
        <f t="shared" si="129"/>
        <v>500000</v>
      </c>
      <c r="N338" s="82">
        <f t="shared" si="129"/>
        <v>176012.49999999997</v>
      </c>
      <c r="O338" s="82">
        <f t="shared" si="129"/>
        <v>0</v>
      </c>
      <c r="P338" s="82">
        <f t="shared" si="129"/>
        <v>323987.5</v>
      </c>
      <c r="Q338" s="83"/>
      <c r="R338" s="82"/>
      <c r="S338" s="82"/>
      <c r="T338" s="82"/>
      <c r="U338" s="82"/>
      <c r="V338" s="83"/>
      <c r="W338" s="82"/>
      <c r="X338" s="82"/>
      <c r="Y338" s="82"/>
      <c r="Z338" s="82"/>
      <c r="AA338"/>
      <c r="AB338" s="83"/>
      <c r="AC338" s="83"/>
      <c r="AD338" s="83"/>
    </row>
    <row r="339" spans="1:30" s="86" customFormat="1" ht="12.75" customHeight="1" thickBot="1">
      <c r="A339" s="73"/>
      <c r="B339" s="83"/>
      <c r="C339" s="93"/>
      <c r="D339" s="112"/>
      <c r="E339" s="82"/>
      <c r="F339" s="126">
        <f aca="true" t="shared" si="130" ref="F339:P339">SUM(F338:F338)</f>
        <v>0</v>
      </c>
      <c r="G339" s="126">
        <f t="shared" si="130"/>
        <v>0</v>
      </c>
      <c r="H339" s="126">
        <f t="shared" si="130"/>
        <v>0</v>
      </c>
      <c r="I339" s="126">
        <f t="shared" si="130"/>
        <v>0</v>
      </c>
      <c r="J339" s="126">
        <f t="shared" si="130"/>
        <v>0</v>
      </c>
      <c r="K339" s="126">
        <f t="shared" si="130"/>
        <v>0</v>
      </c>
      <c r="L339" s="126">
        <f t="shared" si="130"/>
        <v>500000</v>
      </c>
      <c r="M339" s="126">
        <f t="shared" si="130"/>
        <v>500000</v>
      </c>
      <c r="N339" s="126">
        <f t="shared" si="130"/>
        <v>176012.49999999997</v>
      </c>
      <c r="O339" s="126">
        <f t="shared" si="130"/>
        <v>0</v>
      </c>
      <c r="P339" s="126">
        <f t="shared" si="130"/>
        <v>323987.5</v>
      </c>
      <c r="Q339" s="83"/>
      <c r="R339" s="126">
        <f>SUM(R338:R338)</f>
        <v>0</v>
      </c>
      <c r="S339" s="126">
        <f>SUM(S338:S338)</f>
        <v>0</v>
      </c>
      <c r="T339" s="126">
        <f>SUM(T338:T338)</f>
        <v>0</v>
      </c>
      <c r="U339" s="126">
        <f>SUM(U338:U338)</f>
        <v>0</v>
      </c>
      <c r="V339" s="83"/>
      <c r="W339" s="126">
        <f>SUM(W338:W338)</f>
        <v>0</v>
      </c>
      <c r="X339" s="126">
        <f>SUM(X338:X338)</f>
        <v>0</v>
      </c>
      <c r="Y339" s="126">
        <f>SUM(Y338:Y338)</f>
        <v>0</v>
      </c>
      <c r="Z339" s="126">
        <f>SUM(Z338:Z338)</f>
        <v>0</v>
      </c>
      <c r="AA339"/>
      <c r="AB339" s="83"/>
      <c r="AC339" s="83"/>
      <c r="AD339" s="83"/>
    </row>
    <row r="340" spans="1:29" ht="12.75" customHeight="1" thickTop="1">
      <c r="A340" s="73"/>
      <c r="B340" s="83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83"/>
      <c r="R340" s="90"/>
      <c r="S340" s="90"/>
      <c r="T340" s="90"/>
      <c r="U340" s="90"/>
      <c r="V340" s="83"/>
      <c r="W340" s="90"/>
      <c r="X340" s="90"/>
      <c r="Y340" s="90"/>
      <c r="Z340" s="90"/>
      <c r="AA340"/>
      <c r="AB340" s="83"/>
      <c r="AC340" s="83"/>
    </row>
    <row r="341" spans="1:30" s="107" customFormat="1" ht="12.75" customHeight="1" thickBot="1">
      <c r="A341" s="117">
        <v>18</v>
      </c>
      <c r="B341" s="150" t="s">
        <v>157</v>
      </c>
      <c r="C341" s="93"/>
      <c r="D341" s="11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3"/>
      <c r="R341" s="82"/>
      <c r="S341" s="82"/>
      <c r="T341" s="82"/>
      <c r="U341" s="82"/>
      <c r="V341" s="83"/>
      <c r="W341" s="82"/>
      <c r="X341" s="82"/>
      <c r="Y341" s="82"/>
      <c r="Z341" s="82"/>
      <c r="AA341"/>
      <c r="AB341" s="83"/>
      <c r="AC341" s="83"/>
      <c r="AD341" s="111"/>
    </row>
    <row r="342" spans="1:30" s="86" customFormat="1" ht="12.75" customHeight="1" hidden="1">
      <c r="A342" s="113"/>
      <c r="B342" s="121" t="s">
        <v>77</v>
      </c>
      <c r="C342" s="93"/>
      <c r="D342" s="109" t="s">
        <v>71</v>
      </c>
      <c r="E342" s="97" t="s">
        <v>72</v>
      </c>
      <c r="F342" s="97" t="s">
        <v>72</v>
      </c>
      <c r="G342" s="97" t="s">
        <v>73</v>
      </c>
      <c r="H342" s="97" t="s">
        <v>1</v>
      </c>
      <c r="I342" s="97" t="s">
        <v>74</v>
      </c>
      <c r="J342" s="97" t="s">
        <v>66</v>
      </c>
      <c r="K342" s="97" t="s">
        <v>59</v>
      </c>
      <c r="L342" s="97" t="s">
        <v>18</v>
      </c>
      <c r="M342" s="97" t="s">
        <v>1</v>
      </c>
      <c r="N342" s="97" t="s">
        <v>7</v>
      </c>
      <c r="O342" s="97" t="s">
        <v>75</v>
      </c>
      <c r="P342" s="97" t="s">
        <v>76</v>
      </c>
      <c r="Q342" s="108"/>
      <c r="R342" s="97" t="s">
        <v>1</v>
      </c>
      <c r="S342" s="97" t="s">
        <v>7</v>
      </c>
      <c r="T342" s="97" t="s">
        <v>75</v>
      </c>
      <c r="U342" s="97" t="s">
        <v>76</v>
      </c>
      <c r="V342" s="83"/>
      <c r="W342" s="97" t="s">
        <v>1</v>
      </c>
      <c r="X342" s="97" t="s">
        <v>7</v>
      </c>
      <c r="Y342" s="97" t="s">
        <v>75</v>
      </c>
      <c r="Z342" s="97" t="s">
        <v>76</v>
      </c>
      <c r="AA342"/>
      <c r="AB342" s="83"/>
      <c r="AC342" s="83"/>
      <c r="AD342" s="83"/>
    </row>
    <row r="343" spans="1:30" s="86" customFormat="1" ht="12.75" customHeight="1" hidden="1">
      <c r="A343" s="113"/>
      <c r="B343" s="83"/>
      <c r="C343" s="93"/>
      <c r="D343" s="112"/>
      <c r="E343" s="82"/>
      <c r="F343" s="82">
        <f>+E343*D343</f>
        <v>0</v>
      </c>
      <c r="G343" s="82">
        <f>+F343*$C$4</f>
        <v>0</v>
      </c>
      <c r="H343" s="82">
        <f>+G343+F343</f>
        <v>0</v>
      </c>
      <c r="I343" s="82"/>
      <c r="J343" s="82">
        <f>+$C$7*D343</f>
        <v>0</v>
      </c>
      <c r="K343" s="82">
        <f>$C$5*D343</f>
        <v>0</v>
      </c>
      <c r="L343" s="82">
        <f>+$C$6*D343</f>
        <v>0</v>
      </c>
      <c r="M343" s="82">
        <f>SUM(H343:L343)</f>
        <v>0</v>
      </c>
      <c r="N343" s="82">
        <f>+M343*$C$2</f>
        <v>0</v>
      </c>
      <c r="O343" s="82"/>
      <c r="P343" s="82">
        <f>+M343-N343-O343</f>
        <v>0</v>
      </c>
      <c r="Q343" s="83"/>
      <c r="R343" s="82"/>
      <c r="S343" s="82">
        <f>+R343*0.5</f>
        <v>0</v>
      </c>
      <c r="T343" s="82"/>
      <c r="U343" s="82">
        <f>+R343-S343-T343</f>
        <v>0</v>
      </c>
      <c r="V343" s="83"/>
      <c r="W343" s="82"/>
      <c r="X343" s="82">
        <f>+W343*0.5</f>
        <v>0</v>
      </c>
      <c r="Y343" s="82"/>
      <c r="Z343" s="82">
        <f>+W343-X343-Y343</f>
        <v>0</v>
      </c>
      <c r="AA343"/>
      <c r="AB343" s="83"/>
      <c r="AC343" s="83"/>
      <c r="AD343" s="83"/>
    </row>
    <row r="344" spans="1:30" s="86" customFormat="1" ht="12.75" customHeight="1" hidden="1" thickBot="1">
      <c r="A344" s="106"/>
      <c r="B344" s="83"/>
      <c r="C344" s="93"/>
      <c r="D344" s="112"/>
      <c r="E344" s="82"/>
      <c r="F344" s="123">
        <f>+E344*D344</f>
        <v>0</v>
      </c>
      <c r="G344" s="123">
        <f>+F344*$C$4</f>
        <v>0</v>
      </c>
      <c r="H344" s="123">
        <f>+G344+F344</f>
        <v>0</v>
      </c>
      <c r="I344" s="123"/>
      <c r="J344" s="123">
        <f>+$C$7*D344</f>
        <v>0</v>
      </c>
      <c r="K344" s="123">
        <f>$C$5*D344</f>
        <v>0</v>
      </c>
      <c r="L344" s="123">
        <f>+$C$6*D344</f>
        <v>0</v>
      </c>
      <c r="M344" s="123">
        <f>SUM(H344:L344)</f>
        <v>0</v>
      </c>
      <c r="N344" s="123">
        <f>+M344*$C$2</f>
        <v>0</v>
      </c>
      <c r="O344" s="123"/>
      <c r="P344" s="123">
        <f>+M344-N344-O344</f>
        <v>0</v>
      </c>
      <c r="Q344" s="138"/>
      <c r="R344" s="123"/>
      <c r="S344" s="123">
        <f>+R344*0.5</f>
        <v>0</v>
      </c>
      <c r="T344" s="123"/>
      <c r="U344" s="123">
        <f>+R344-S344-T344</f>
        <v>0</v>
      </c>
      <c r="V344" s="83"/>
      <c r="W344" s="123"/>
      <c r="X344" s="123">
        <f>+W344*0.5</f>
        <v>0</v>
      </c>
      <c r="Y344" s="123"/>
      <c r="Z344" s="123">
        <f>+W344-X344-Y344</f>
        <v>0</v>
      </c>
      <c r="AA344"/>
      <c r="AB344" s="83"/>
      <c r="AC344" s="83"/>
      <c r="AD344" s="83"/>
    </row>
    <row r="345" spans="1:29" ht="12.75" customHeight="1" hidden="1">
      <c r="A345" s="73"/>
      <c r="B345" s="83"/>
      <c r="F345" s="82">
        <f aca="true" t="shared" si="131" ref="F345:N345">SUM(F343:F344)</f>
        <v>0</v>
      </c>
      <c r="G345" s="82">
        <f t="shared" si="131"/>
        <v>0</v>
      </c>
      <c r="H345" s="82">
        <f t="shared" si="131"/>
        <v>0</v>
      </c>
      <c r="I345" s="82">
        <f t="shared" si="131"/>
        <v>0</v>
      </c>
      <c r="J345" s="82">
        <f t="shared" si="131"/>
        <v>0</v>
      </c>
      <c r="K345" s="82">
        <f t="shared" si="131"/>
        <v>0</v>
      </c>
      <c r="L345" s="82">
        <f t="shared" si="131"/>
        <v>0</v>
      </c>
      <c r="M345" s="82">
        <f t="shared" si="131"/>
        <v>0</v>
      </c>
      <c r="N345" s="82">
        <f t="shared" si="131"/>
        <v>0</v>
      </c>
      <c r="O345" s="82"/>
      <c r="P345" s="82">
        <f>SUM(P343:P344)</f>
        <v>0</v>
      </c>
      <c r="Q345" s="83"/>
      <c r="R345" s="82">
        <f>SUM(R343:R344)</f>
        <v>0</v>
      </c>
      <c r="S345" s="82">
        <f>SUM(S343:S344)</f>
        <v>0</v>
      </c>
      <c r="T345" s="82"/>
      <c r="U345" s="82">
        <f>SUM(U343:U344)</f>
        <v>0</v>
      </c>
      <c r="V345" s="83"/>
      <c r="W345" s="82">
        <f>SUM(W343:W344)</f>
        <v>0</v>
      </c>
      <c r="X345" s="82">
        <f>SUM(X343:X344)</f>
        <v>0</v>
      </c>
      <c r="Y345" s="82"/>
      <c r="Z345" s="82">
        <f>SUM(Z343:Z344)</f>
        <v>0</v>
      </c>
      <c r="AA345"/>
      <c r="AB345" s="83"/>
      <c r="AC345" s="83"/>
    </row>
    <row r="346" spans="1:30" s="86" customFormat="1" ht="12.75" customHeight="1">
      <c r="A346" s="73"/>
      <c r="B346" s="120"/>
      <c r="C346" s="93"/>
      <c r="D346" s="11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3"/>
      <c r="R346" s="82"/>
      <c r="S346" s="82"/>
      <c r="T346" s="82"/>
      <c r="U346" s="82"/>
      <c r="V346" s="83"/>
      <c r="W346" s="82"/>
      <c r="X346" s="82"/>
      <c r="Y346" s="82"/>
      <c r="Z346" s="82"/>
      <c r="AA346"/>
      <c r="AB346" s="83"/>
      <c r="AC346" s="83"/>
      <c r="AD346" s="83"/>
    </row>
    <row r="347" spans="1:29" ht="12.75" customHeight="1">
      <c r="A347" s="93">
        <v>521</v>
      </c>
      <c r="B347" s="83" t="s">
        <v>127</v>
      </c>
      <c r="F347" s="82"/>
      <c r="G347" s="82"/>
      <c r="H347" s="90">
        <f>+G347+F347</f>
        <v>0</v>
      </c>
      <c r="I347" s="82"/>
      <c r="J347" s="82"/>
      <c r="K347" s="82"/>
      <c r="L347" s="82">
        <f>'[8]FY10 Priority  (2)'!$F$49</f>
        <v>187500</v>
      </c>
      <c r="M347" s="82">
        <f>SUM(H347:L347)</f>
        <v>187500</v>
      </c>
      <c r="N347" s="82">
        <f>M347*C1</f>
        <v>66004.68749999999</v>
      </c>
      <c r="O347" s="82"/>
      <c r="P347" s="82">
        <f>M347-N347</f>
        <v>121495.31250000001</v>
      </c>
      <c r="Q347" s="83"/>
      <c r="R347" s="90"/>
      <c r="S347" s="90"/>
      <c r="T347" s="90"/>
      <c r="U347" s="90">
        <f>R347-S347</f>
        <v>0</v>
      </c>
      <c r="V347" s="83"/>
      <c r="W347" s="90"/>
      <c r="X347" s="90"/>
      <c r="Y347" s="90"/>
      <c r="Z347" s="90">
        <f>W347-X347</f>
        <v>0</v>
      </c>
      <c r="AA347"/>
      <c r="AB347" s="83"/>
      <c r="AC347" s="83"/>
    </row>
    <row r="348" spans="1:30" s="86" customFormat="1" ht="12.75" customHeight="1">
      <c r="A348" s="73"/>
      <c r="B348" s="120"/>
      <c r="C348" s="93"/>
      <c r="D348" s="11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3"/>
      <c r="R348" s="82"/>
      <c r="S348" s="82"/>
      <c r="T348" s="82"/>
      <c r="U348" s="82"/>
      <c r="V348" s="83"/>
      <c r="W348" s="82"/>
      <c r="X348" s="82"/>
      <c r="Y348" s="82"/>
      <c r="Z348" s="82"/>
      <c r="AA348"/>
      <c r="AB348" s="83"/>
      <c r="AC348" s="83"/>
      <c r="AD348" s="83"/>
    </row>
    <row r="349" spans="2:29" ht="12.75" customHeight="1" thickBot="1">
      <c r="B349" s="83" t="s">
        <v>79</v>
      </c>
      <c r="F349" s="126">
        <f aca="true" t="shared" si="132" ref="F349:P349">SUM(F345:F348)</f>
        <v>0</v>
      </c>
      <c r="G349" s="126">
        <f t="shared" si="132"/>
        <v>0</v>
      </c>
      <c r="H349" s="126">
        <f t="shared" si="132"/>
        <v>0</v>
      </c>
      <c r="I349" s="126">
        <f t="shared" si="132"/>
        <v>0</v>
      </c>
      <c r="J349" s="126">
        <f t="shared" si="132"/>
        <v>0</v>
      </c>
      <c r="K349" s="126">
        <f t="shared" si="132"/>
        <v>0</v>
      </c>
      <c r="L349" s="126">
        <f t="shared" si="132"/>
        <v>187500</v>
      </c>
      <c r="M349" s="126">
        <f t="shared" si="132"/>
        <v>187500</v>
      </c>
      <c r="N349" s="126">
        <f t="shared" si="132"/>
        <v>66004.68749999999</v>
      </c>
      <c r="O349" s="126">
        <f t="shared" si="132"/>
        <v>0</v>
      </c>
      <c r="P349" s="126">
        <f t="shared" si="132"/>
        <v>121495.31250000001</v>
      </c>
      <c r="Q349" s="83"/>
      <c r="R349" s="126"/>
      <c r="S349" s="126"/>
      <c r="T349" s="126"/>
      <c r="U349" s="126"/>
      <c r="V349" s="83"/>
      <c r="W349" s="126"/>
      <c r="X349" s="126"/>
      <c r="Y349" s="126"/>
      <c r="Z349" s="126"/>
      <c r="AA349"/>
      <c r="AB349" s="83"/>
      <c r="AC349" s="83"/>
    </row>
    <row r="350" spans="1:30" s="107" customFormat="1" ht="12.75" customHeight="1" thickTop="1">
      <c r="A350" s="73"/>
      <c r="B350" s="120"/>
      <c r="C350" s="93"/>
      <c r="D350" s="11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3"/>
      <c r="R350" s="82"/>
      <c r="S350" s="82"/>
      <c r="T350" s="82"/>
      <c r="U350" s="82"/>
      <c r="V350" s="83"/>
      <c r="W350" s="82"/>
      <c r="X350" s="82"/>
      <c r="Y350" s="82"/>
      <c r="Z350" s="82"/>
      <c r="AA350"/>
      <c r="AB350" s="83"/>
      <c r="AC350" s="83"/>
      <c r="AD350" s="111"/>
    </row>
    <row r="351" spans="1:30" s="86" customFormat="1" ht="12.75" customHeight="1">
      <c r="A351" s="117"/>
      <c r="B351" s="128" t="s">
        <v>80</v>
      </c>
      <c r="C351" s="93"/>
      <c r="D351" s="11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3"/>
      <c r="R351" s="82"/>
      <c r="S351" s="82"/>
      <c r="T351" s="82"/>
      <c r="U351" s="82"/>
      <c r="V351" s="83"/>
      <c r="W351" s="82"/>
      <c r="X351" s="82"/>
      <c r="Y351" s="82"/>
      <c r="Z351" s="82"/>
      <c r="AA351"/>
      <c r="AB351" s="83"/>
      <c r="AC351" s="83"/>
      <c r="AD351" s="83"/>
    </row>
    <row r="352" spans="1:30" s="86" customFormat="1" ht="12.75" customHeight="1">
      <c r="A352" s="73"/>
      <c r="B352" s="102" t="str">
        <f>K5</f>
        <v>340-1020-01</v>
      </c>
      <c r="C352" s="93"/>
      <c r="D352" s="112"/>
      <c r="E352" s="82"/>
      <c r="F352" s="82">
        <f>F345</f>
        <v>0</v>
      </c>
      <c r="G352" s="82">
        <f>G345</f>
        <v>0</v>
      </c>
      <c r="H352" s="90">
        <f>+G352+F352</f>
        <v>0</v>
      </c>
      <c r="I352" s="82"/>
      <c r="J352" s="82">
        <f>J345</f>
        <v>0</v>
      </c>
      <c r="K352" s="82">
        <f>K345</f>
        <v>0</v>
      </c>
      <c r="L352" s="82">
        <f>L349</f>
        <v>187500</v>
      </c>
      <c r="M352" s="90">
        <f>SUM(H352:L352)</f>
        <v>187500</v>
      </c>
      <c r="N352" s="82">
        <f>N349</f>
        <v>66004.68749999999</v>
      </c>
      <c r="O352" s="82">
        <f>O349</f>
        <v>0</v>
      </c>
      <c r="P352" s="82">
        <f>P349</f>
        <v>121495.31250000001</v>
      </c>
      <c r="Q352" s="83"/>
      <c r="R352" s="90"/>
      <c r="S352" s="90"/>
      <c r="T352" s="90"/>
      <c r="U352" s="90"/>
      <c r="V352" s="83"/>
      <c r="W352" s="90"/>
      <c r="X352" s="90"/>
      <c r="Y352" s="90"/>
      <c r="Z352" s="90"/>
      <c r="AA352"/>
      <c r="AB352" s="83"/>
      <c r="AC352" s="83"/>
      <c r="AD352" s="83"/>
    </row>
    <row r="353" spans="1:29" ht="12.75" customHeight="1" thickBot="1">
      <c r="A353" s="106"/>
      <c r="B353" s="83"/>
      <c r="F353" s="126">
        <f aca="true" t="shared" si="133" ref="F353:P353">SUM(F352:F352)</f>
        <v>0</v>
      </c>
      <c r="G353" s="126">
        <f t="shared" si="133"/>
        <v>0</v>
      </c>
      <c r="H353" s="126">
        <f t="shared" si="133"/>
        <v>0</v>
      </c>
      <c r="I353" s="126">
        <f t="shared" si="133"/>
        <v>0</v>
      </c>
      <c r="J353" s="126">
        <f t="shared" si="133"/>
        <v>0</v>
      </c>
      <c r="K353" s="126">
        <f t="shared" si="133"/>
        <v>0</v>
      </c>
      <c r="L353" s="126">
        <f t="shared" si="133"/>
        <v>187500</v>
      </c>
      <c r="M353" s="126">
        <f t="shared" si="133"/>
        <v>187500</v>
      </c>
      <c r="N353" s="126">
        <f t="shared" si="133"/>
        <v>66004.68749999999</v>
      </c>
      <c r="O353" s="126">
        <f t="shared" si="133"/>
        <v>0</v>
      </c>
      <c r="P353" s="126">
        <f t="shared" si="133"/>
        <v>121495.31250000001</v>
      </c>
      <c r="Q353" s="83"/>
      <c r="R353" s="126">
        <f>SUM(R352:R352)</f>
        <v>0</v>
      </c>
      <c r="S353" s="126">
        <f>SUM(S352:S352)</f>
        <v>0</v>
      </c>
      <c r="T353" s="126">
        <f>SUM(T352:T352)</f>
        <v>0</v>
      </c>
      <c r="U353" s="126">
        <f>SUM(U352:U352)</f>
        <v>0</v>
      </c>
      <c r="V353" s="83"/>
      <c r="W353" s="126">
        <f>SUM(W352:W352)</f>
        <v>0</v>
      </c>
      <c r="X353" s="126">
        <f>SUM(X352:X352)</f>
        <v>0</v>
      </c>
      <c r="Y353" s="126">
        <f>SUM(Y352:Y352)</f>
        <v>0</v>
      </c>
      <c r="Z353" s="126">
        <f>SUM(Z352:Z352)</f>
        <v>0</v>
      </c>
      <c r="AA353"/>
      <c r="AB353" s="83"/>
      <c r="AC353" s="83"/>
    </row>
    <row r="354" spans="1:29" ht="12.75" customHeight="1" thickTop="1">
      <c r="A354" s="73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3"/>
      <c r="R354" s="82"/>
      <c r="S354" s="82"/>
      <c r="T354" s="82"/>
      <c r="U354" s="82"/>
      <c r="V354" s="83"/>
      <c r="W354" s="82"/>
      <c r="X354" s="82"/>
      <c r="Y354" s="82"/>
      <c r="Z354" s="82"/>
      <c r="AA354"/>
      <c r="AB354" s="83"/>
      <c r="AC354" s="83"/>
    </row>
    <row r="355" spans="1:29" ht="11.25" customHeight="1" thickBot="1">
      <c r="A355" s="117">
        <v>19</v>
      </c>
      <c r="B355" s="118" t="s">
        <v>158</v>
      </c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3"/>
      <c r="R355" s="82"/>
      <c r="S355" s="82"/>
      <c r="T355" s="82"/>
      <c r="U355" s="82"/>
      <c r="V355" s="83"/>
      <c r="W355" s="82"/>
      <c r="X355" s="82"/>
      <c r="Y355" s="82"/>
      <c r="Z355" s="82"/>
      <c r="AA355"/>
      <c r="AB355" s="83"/>
      <c r="AC355" s="83"/>
    </row>
    <row r="356" spans="1:29" ht="12.75" customHeight="1" hidden="1">
      <c r="A356" s="73"/>
      <c r="B356" s="121" t="s">
        <v>77</v>
      </c>
      <c r="D356" s="109" t="s">
        <v>71</v>
      </c>
      <c r="E356" s="97" t="s">
        <v>72</v>
      </c>
      <c r="F356" s="97" t="s">
        <v>72</v>
      </c>
      <c r="G356" s="97" t="s">
        <v>73</v>
      </c>
      <c r="H356" s="97" t="s">
        <v>1</v>
      </c>
      <c r="I356" s="97" t="s">
        <v>74</v>
      </c>
      <c r="J356" s="97" t="s">
        <v>66</v>
      </c>
      <c r="K356" s="97" t="s">
        <v>59</v>
      </c>
      <c r="L356" s="97" t="s">
        <v>18</v>
      </c>
      <c r="M356" s="97" t="s">
        <v>1</v>
      </c>
      <c r="N356" s="97" t="s">
        <v>7</v>
      </c>
      <c r="O356" s="97" t="s">
        <v>75</v>
      </c>
      <c r="P356" s="97" t="s">
        <v>76</v>
      </c>
      <c r="Q356" s="108"/>
      <c r="R356" s="97" t="s">
        <v>1</v>
      </c>
      <c r="S356" s="97" t="s">
        <v>7</v>
      </c>
      <c r="T356" s="97" t="s">
        <v>75</v>
      </c>
      <c r="U356" s="97" t="s">
        <v>76</v>
      </c>
      <c r="V356" s="83"/>
      <c r="W356" s="97" t="s">
        <v>1</v>
      </c>
      <c r="X356" s="97" t="s">
        <v>7</v>
      </c>
      <c r="Y356" s="97" t="s">
        <v>75</v>
      </c>
      <c r="Z356" s="97" t="s">
        <v>76</v>
      </c>
      <c r="AA356"/>
      <c r="AB356" s="83"/>
      <c r="AC356" s="83"/>
    </row>
    <row r="357" spans="1:29" ht="12.75" customHeight="1" hidden="1">
      <c r="A357" s="73"/>
      <c r="B357" s="83"/>
      <c r="F357" s="90"/>
      <c r="G357" s="94"/>
      <c r="H357" s="90"/>
      <c r="I357" s="94"/>
      <c r="J357" s="94"/>
      <c r="K357" s="94"/>
      <c r="L357" s="94"/>
      <c r="M357" s="90">
        <f>SUM(H357:L357)</f>
        <v>0</v>
      </c>
      <c r="N357" s="94">
        <f>M357*$C$2</f>
        <v>0</v>
      </c>
      <c r="O357" s="90"/>
      <c r="P357" s="90">
        <f>M357-N357</f>
        <v>0</v>
      </c>
      <c r="Q357" s="83"/>
      <c r="R357" s="90"/>
      <c r="S357" s="90"/>
      <c r="T357" s="90"/>
      <c r="U357" s="90">
        <f>R357-S357</f>
        <v>0</v>
      </c>
      <c r="V357" s="83"/>
      <c r="W357" s="90"/>
      <c r="X357" s="90"/>
      <c r="Y357" s="90"/>
      <c r="Z357" s="90"/>
      <c r="AA357"/>
      <c r="AB357" s="83"/>
      <c r="AC357" s="83"/>
    </row>
    <row r="358" spans="1:29" ht="12.75" customHeight="1" hidden="1">
      <c r="A358" s="154"/>
      <c r="B358" s="132"/>
      <c r="F358" s="82">
        <f>+E358*D358</f>
        <v>0</v>
      </c>
      <c r="G358" s="82">
        <f>+F358*$C$4</f>
        <v>0</v>
      </c>
      <c r="H358" s="82">
        <f>+G358+F358</f>
        <v>0</v>
      </c>
      <c r="I358" s="82"/>
      <c r="J358" s="82">
        <f>+$C$7*D358</f>
        <v>0</v>
      </c>
      <c r="K358" s="82">
        <f>$C$5*D358</f>
        <v>0</v>
      </c>
      <c r="L358" s="82">
        <f>+$C$6*D358</f>
        <v>0</v>
      </c>
      <c r="M358" s="82">
        <f>SUM(H358:L358)</f>
        <v>0</v>
      </c>
      <c r="N358" s="82">
        <f>+M358*$C$2</f>
        <v>0</v>
      </c>
      <c r="O358" s="82"/>
      <c r="P358" s="82">
        <f>+M358-N358-O358</f>
        <v>0</v>
      </c>
      <c r="Q358" s="83"/>
      <c r="R358" s="82"/>
      <c r="S358" s="82">
        <f>+R358*0.5</f>
        <v>0</v>
      </c>
      <c r="T358" s="82"/>
      <c r="U358" s="82">
        <f>+R358-S358-T358</f>
        <v>0</v>
      </c>
      <c r="V358" s="83"/>
      <c r="W358" s="82"/>
      <c r="X358" s="82">
        <f>+W358*0.5</f>
        <v>0</v>
      </c>
      <c r="Y358" s="82"/>
      <c r="Z358" s="82">
        <f>+W358-X358-Y358</f>
        <v>0</v>
      </c>
      <c r="AA358"/>
      <c r="AB358" s="83"/>
      <c r="AC358" s="83"/>
    </row>
    <row r="359" spans="1:29" ht="12.75" customHeight="1" hidden="1" thickBot="1">
      <c r="A359" s="106"/>
      <c r="B359" s="132"/>
      <c r="F359" s="123">
        <f>+E359*D359</f>
        <v>0</v>
      </c>
      <c r="G359" s="123">
        <f>+F359*$C$4</f>
        <v>0</v>
      </c>
      <c r="H359" s="123">
        <f>+G359+F359</f>
        <v>0</v>
      </c>
      <c r="I359" s="123"/>
      <c r="J359" s="123">
        <f>+$C$7*D359</f>
        <v>0</v>
      </c>
      <c r="K359" s="123">
        <f>$C$5*D359</f>
        <v>0</v>
      </c>
      <c r="L359" s="123">
        <f>+$C$6*D359</f>
        <v>0</v>
      </c>
      <c r="M359" s="123">
        <f>SUM(H359:L359)</f>
        <v>0</v>
      </c>
      <c r="N359" s="123">
        <f>+M359*$C$2</f>
        <v>0</v>
      </c>
      <c r="O359" s="123"/>
      <c r="P359" s="123">
        <f>+M359-N359-O359</f>
        <v>0</v>
      </c>
      <c r="Q359" s="138"/>
      <c r="R359" s="123"/>
      <c r="S359" s="123">
        <f>+R359*0.5</f>
        <v>0</v>
      </c>
      <c r="T359" s="123"/>
      <c r="U359" s="123">
        <f>+R359-S359-T359</f>
        <v>0</v>
      </c>
      <c r="V359" s="83"/>
      <c r="W359" s="123"/>
      <c r="X359" s="123">
        <f>+W359*0.5</f>
        <v>0</v>
      </c>
      <c r="Y359" s="123"/>
      <c r="Z359" s="123">
        <f>+W359-X359-Y359</f>
        <v>0</v>
      </c>
      <c r="AA359"/>
      <c r="AB359" s="83"/>
      <c r="AC359" s="83"/>
    </row>
    <row r="360" spans="1:29" ht="12.75" customHeight="1">
      <c r="A360" s="73"/>
      <c r="B360" s="83"/>
      <c r="F360" s="82">
        <f aca="true" t="shared" si="134" ref="F360:N360">SUM(F357:F359)</f>
        <v>0</v>
      </c>
      <c r="G360" s="82">
        <f t="shared" si="134"/>
        <v>0</v>
      </c>
      <c r="H360" s="82">
        <f t="shared" si="134"/>
        <v>0</v>
      </c>
      <c r="I360" s="82">
        <f t="shared" si="134"/>
        <v>0</v>
      </c>
      <c r="J360" s="82">
        <f t="shared" si="134"/>
        <v>0</v>
      </c>
      <c r="K360" s="82">
        <f t="shared" si="134"/>
        <v>0</v>
      </c>
      <c r="L360" s="82">
        <f t="shared" si="134"/>
        <v>0</v>
      </c>
      <c r="M360" s="82">
        <f t="shared" si="134"/>
        <v>0</v>
      </c>
      <c r="N360" s="82">
        <f t="shared" si="134"/>
        <v>0</v>
      </c>
      <c r="O360" s="82"/>
      <c r="P360" s="82">
        <f>SUM(P357:P359)</f>
        <v>0</v>
      </c>
      <c r="Q360" s="83"/>
      <c r="R360" s="82"/>
      <c r="S360" s="82"/>
      <c r="T360" s="82"/>
      <c r="U360" s="82"/>
      <c r="V360" s="83"/>
      <c r="W360" s="82"/>
      <c r="X360" s="82"/>
      <c r="Y360" s="82"/>
      <c r="Z360" s="82"/>
      <c r="AA360"/>
      <c r="AB360" s="83"/>
      <c r="AC360" s="83"/>
    </row>
    <row r="361" spans="1:29" ht="12.75" customHeight="1">
      <c r="A361" s="93">
        <v>506</v>
      </c>
      <c r="B361" s="83" t="s">
        <v>159</v>
      </c>
      <c r="F361" s="82"/>
      <c r="G361" s="82"/>
      <c r="H361" s="82"/>
      <c r="I361" s="82"/>
      <c r="J361" s="82"/>
      <c r="K361" s="82"/>
      <c r="L361" s="82">
        <f>'[8]FY10 Priority  (2)'!$F$144</f>
        <v>1263266</v>
      </c>
      <c r="M361" s="82">
        <f>SUM(H361:L361)</f>
        <v>1263266</v>
      </c>
      <c r="N361" s="82">
        <f>M361*C1</f>
        <v>444701.2136499999</v>
      </c>
      <c r="O361" s="82"/>
      <c r="P361" s="82">
        <f>M361-N361-O361</f>
        <v>818564.7863500002</v>
      </c>
      <c r="Q361" s="83"/>
      <c r="R361" s="82"/>
      <c r="S361" s="82"/>
      <c r="T361" s="82"/>
      <c r="U361" s="90"/>
      <c r="V361" s="83"/>
      <c r="W361" s="82"/>
      <c r="X361" s="82"/>
      <c r="Y361" s="82"/>
      <c r="Z361" s="90"/>
      <c r="AA361"/>
      <c r="AB361" s="83"/>
      <c r="AC361" s="83"/>
    </row>
    <row r="362" spans="1:29" ht="12.75" customHeight="1">
      <c r="A362" s="93">
        <v>509</v>
      </c>
      <c r="B362" s="83" t="s">
        <v>160</v>
      </c>
      <c r="F362" s="82"/>
      <c r="G362" s="82"/>
      <c r="H362" s="90">
        <f>+G362+F362</f>
        <v>0</v>
      </c>
      <c r="I362" s="82"/>
      <c r="J362" s="82"/>
      <c r="K362" s="82"/>
      <c r="L362" s="82">
        <f>'[8]FY10 Priority  (2)'!$F$145</f>
        <v>450000</v>
      </c>
      <c r="M362" s="82">
        <f>SUM(H362:L362)</f>
        <v>450000</v>
      </c>
      <c r="N362" s="82">
        <f>M362*$C$1</f>
        <v>158411.24999999997</v>
      </c>
      <c r="O362" s="82"/>
      <c r="P362" s="82">
        <f>M362-N362-O362</f>
        <v>291588.75</v>
      </c>
      <c r="Q362" s="83"/>
      <c r="R362" s="90"/>
      <c r="S362" s="82"/>
      <c r="T362" s="90"/>
      <c r="U362" s="90"/>
      <c r="V362" s="83"/>
      <c r="W362" s="90"/>
      <c r="X362" s="82"/>
      <c r="Y362" s="90"/>
      <c r="Z362" s="90"/>
      <c r="AA362"/>
      <c r="AB362" s="83"/>
      <c r="AC362" s="83"/>
    </row>
    <row r="363" spans="1:29" ht="12.75" customHeight="1">
      <c r="A363" s="93">
        <v>516</v>
      </c>
      <c r="B363" s="83" t="s">
        <v>2</v>
      </c>
      <c r="F363" s="82"/>
      <c r="G363" s="82"/>
      <c r="H363" s="82"/>
      <c r="I363" s="82"/>
      <c r="J363" s="82"/>
      <c r="K363" s="82"/>
      <c r="L363" s="82">
        <f>'[8]FY10 Priority  (2)'!$F$146</f>
        <v>5890968</v>
      </c>
      <c r="M363" s="99">
        <f>SUM(H363:L363)</f>
        <v>5890968</v>
      </c>
      <c r="N363" s="82">
        <f>M363*C1</f>
        <v>2073768.0101999994</v>
      </c>
      <c r="O363" s="82"/>
      <c r="P363" s="82">
        <f>M363-N363-O363</f>
        <v>3817199.9898000006</v>
      </c>
      <c r="Q363" s="83"/>
      <c r="R363" s="82"/>
      <c r="S363" s="82"/>
      <c r="T363" s="82"/>
      <c r="U363" s="90"/>
      <c r="V363" s="83"/>
      <c r="W363" s="82"/>
      <c r="X363" s="82"/>
      <c r="Y363" s="82"/>
      <c r="Z363" s="90"/>
      <c r="AA363"/>
      <c r="AB363" s="83"/>
      <c r="AC363" s="83"/>
    </row>
    <row r="364" spans="1:29" ht="12.75" customHeight="1" thickBot="1">
      <c r="A364" s="73"/>
      <c r="F364" s="126">
        <f aca="true" t="shared" si="135" ref="F364:P364">SUM(F360:F363)</f>
        <v>0</v>
      </c>
      <c r="G364" s="126">
        <f t="shared" si="135"/>
        <v>0</v>
      </c>
      <c r="H364" s="126">
        <f t="shared" si="135"/>
        <v>0</v>
      </c>
      <c r="I364" s="126">
        <f t="shared" si="135"/>
        <v>0</v>
      </c>
      <c r="J364" s="126">
        <f t="shared" si="135"/>
        <v>0</v>
      </c>
      <c r="K364" s="126">
        <f t="shared" si="135"/>
        <v>0</v>
      </c>
      <c r="L364" s="126">
        <f t="shared" si="135"/>
        <v>7604234</v>
      </c>
      <c r="M364" s="151">
        <f t="shared" si="135"/>
        <v>7604234</v>
      </c>
      <c r="N364" s="126">
        <f t="shared" si="135"/>
        <v>2676880.4738499993</v>
      </c>
      <c r="O364" s="126">
        <f t="shared" si="135"/>
        <v>0</v>
      </c>
      <c r="P364" s="126">
        <f t="shared" si="135"/>
        <v>4927353.526150001</v>
      </c>
      <c r="Q364" s="83"/>
      <c r="R364" s="126">
        <f>SUM(R360:R363)</f>
        <v>0</v>
      </c>
      <c r="S364" s="126">
        <f>SUM(S360:S363)</f>
        <v>0</v>
      </c>
      <c r="T364" s="126">
        <f>SUM(T360:T363)</f>
        <v>0</v>
      </c>
      <c r="U364" s="126">
        <f>SUM(U360:U363)</f>
        <v>0</v>
      </c>
      <c r="V364" s="83"/>
      <c r="W364" s="126">
        <f>SUM(W360:W363)</f>
        <v>0</v>
      </c>
      <c r="X364" s="126">
        <f>SUM(X360:X363)</f>
        <v>0</v>
      </c>
      <c r="Y364" s="126">
        <f>SUM(Y360:Y363)</f>
        <v>0</v>
      </c>
      <c r="Z364" s="126">
        <f>SUM(Z360:Z363)</f>
        <v>0</v>
      </c>
      <c r="AA364"/>
      <c r="AB364" s="83"/>
      <c r="AC364" s="83"/>
    </row>
    <row r="365" spans="6:29" ht="12.75" customHeight="1" thickTop="1"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3"/>
      <c r="R365" s="82"/>
      <c r="S365" s="82"/>
      <c r="T365" s="82"/>
      <c r="U365" s="82"/>
      <c r="V365" s="83"/>
      <c r="W365" s="82"/>
      <c r="X365" s="82"/>
      <c r="Y365" s="82"/>
      <c r="Z365" s="82"/>
      <c r="AA365"/>
      <c r="AB365" s="83"/>
      <c r="AC365" s="83"/>
    </row>
    <row r="366" spans="1:29" ht="12.75" customHeight="1">
      <c r="A366" s="106"/>
      <c r="B366" s="128" t="s">
        <v>80</v>
      </c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3"/>
      <c r="R366" s="82"/>
      <c r="S366" s="82"/>
      <c r="T366" s="82"/>
      <c r="U366" s="82"/>
      <c r="V366" s="83"/>
      <c r="W366" s="82"/>
      <c r="X366" s="82"/>
      <c r="Y366" s="82"/>
      <c r="Z366" s="82"/>
      <c r="AA366"/>
      <c r="AB366" s="83"/>
      <c r="AC366" s="83"/>
    </row>
    <row r="367" spans="2:29" ht="12.75" customHeight="1">
      <c r="B367" s="129" t="str">
        <f>K5</f>
        <v>340-1020-01</v>
      </c>
      <c r="F367" s="82">
        <f>F364</f>
        <v>0</v>
      </c>
      <c r="G367" s="82">
        <f>G364</f>
        <v>0</v>
      </c>
      <c r="H367" s="90">
        <f>+G367+F367</f>
        <v>0</v>
      </c>
      <c r="I367" s="82">
        <f>I364</f>
        <v>0</v>
      </c>
      <c r="J367" s="82">
        <f>J364</f>
        <v>0</v>
      </c>
      <c r="K367" s="82">
        <f>K364</f>
        <v>0</v>
      </c>
      <c r="L367" s="82">
        <f>L364</f>
        <v>7604234</v>
      </c>
      <c r="M367" s="90">
        <f>SUM(H367:L367)</f>
        <v>7604234</v>
      </c>
      <c r="N367" s="82">
        <f>M367*$C$1</f>
        <v>2676880.4738499993</v>
      </c>
      <c r="O367" s="82"/>
      <c r="P367" s="82">
        <f>M367-N367</f>
        <v>4927353.526150001</v>
      </c>
      <c r="Q367" s="83"/>
      <c r="R367" s="90"/>
      <c r="S367" s="90"/>
      <c r="T367" s="90"/>
      <c r="U367" s="90"/>
      <c r="V367" s="83"/>
      <c r="W367" s="90"/>
      <c r="X367" s="90"/>
      <c r="Y367" s="90"/>
      <c r="Z367" s="90"/>
      <c r="AA367"/>
      <c r="AB367" s="83"/>
      <c r="AC367" s="83"/>
    </row>
    <row r="368" spans="1:29" ht="12.75" customHeight="1" thickBot="1">
      <c r="A368" s="73"/>
      <c r="B368" s="83"/>
      <c r="F368" s="126">
        <f aca="true" t="shared" si="136" ref="F368:P368">SUM(F367:F367)</f>
        <v>0</v>
      </c>
      <c r="G368" s="126">
        <f t="shared" si="136"/>
        <v>0</v>
      </c>
      <c r="H368" s="126">
        <f t="shared" si="136"/>
        <v>0</v>
      </c>
      <c r="I368" s="126">
        <f t="shared" si="136"/>
        <v>0</v>
      </c>
      <c r="J368" s="126">
        <f t="shared" si="136"/>
        <v>0</v>
      </c>
      <c r="K368" s="126">
        <f t="shared" si="136"/>
        <v>0</v>
      </c>
      <c r="L368" s="126">
        <f t="shared" si="136"/>
        <v>7604234</v>
      </c>
      <c r="M368" s="126">
        <f t="shared" si="136"/>
        <v>7604234</v>
      </c>
      <c r="N368" s="126">
        <f t="shared" si="136"/>
        <v>2676880.4738499993</v>
      </c>
      <c r="O368" s="126">
        <f t="shared" si="136"/>
        <v>0</v>
      </c>
      <c r="P368" s="126">
        <f t="shared" si="136"/>
        <v>4927353.526150001</v>
      </c>
      <c r="Q368" s="83"/>
      <c r="R368" s="126">
        <f>SUM(R367:R367)</f>
        <v>0</v>
      </c>
      <c r="S368" s="126">
        <f>SUM(S367:S367)</f>
        <v>0</v>
      </c>
      <c r="T368" s="126">
        <f>SUM(T367:T367)</f>
        <v>0</v>
      </c>
      <c r="U368" s="126">
        <f>SUM(U367:U367)</f>
        <v>0</v>
      </c>
      <c r="V368" s="83"/>
      <c r="W368" s="126">
        <f>SUM(W367:W367)</f>
        <v>0</v>
      </c>
      <c r="X368" s="126">
        <f>SUM(X367:X367)</f>
        <v>0</v>
      </c>
      <c r="Y368" s="126">
        <f>SUM(Y367:Y367)</f>
        <v>0</v>
      </c>
      <c r="Z368" s="126">
        <f>SUM(Z367:Z367)</f>
        <v>0</v>
      </c>
      <c r="AA368"/>
      <c r="AB368" s="83"/>
      <c r="AC368" s="83"/>
    </row>
    <row r="369" spans="1:29" ht="12.75" customHeight="1" thickTop="1">
      <c r="A369" s="73"/>
      <c r="B369" s="155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83"/>
      <c r="R369" s="90"/>
      <c r="S369" s="90"/>
      <c r="T369" s="90"/>
      <c r="U369" s="90"/>
      <c r="V369" s="83"/>
      <c r="W369" s="90"/>
      <c r="X369" s="90"/>
      <c r="Y369" s="90"/>
      <c r="Z369" s="90"/>
      <c r="AA369"/>
      <c r="AB369" s="83"/>
      <c r="AC369" s="83"/>
    </row>
    <row r="370" spans="1:30" s="107" customFormat="1" ht="12" customHeight="1" thickBot="1">
      <c r="A370" s="117">
        <v>20</v>
      </c>
      <c r="B370" s="150" t="s">
        <v>161</v>
      </c>
      <c r="C370" s="93"/>
      <c r="D370" s="11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3"/>
      <c r="R370" s="82"/>
      <c r="S370" s="82"/>
      <c r="T370" s="82"/>
      <c r="U370" s="82"/>
      <c r="V370" s="83"/>
      <c r="W370" s="90"/>
      <c r="X370" s="82"/>
      <c r="Y370" s="82"/>
      <c r="Z370" s="82"/>
      <c r="AA370"/>
      <c r="AB370" s="83"/>
      <c r="AC370" s="83"/>
      <c r="AD370" s="111"/>
    </row>
    <row r="371" spans="1:30" s="107" customFormat="1" ht="12.75" customHeight="1" hidden="1">
      <c r="A371" s="106"/>
      <c r="B371" s="121" t="s">
        <v>77</v>
      </c>
      <c r="C371" s="93"/>
      <c r="D371" s="109" t="s">
        <v>71</v>
      </c>
      <c r="E371" s="97" t="s">
        <v>72</v>
      </c>
      <c r="F371" s="94" t="s">
        <v>72</v>
      </c>
      <c r="G371" s="94" t="s">
        <v>73</v>
      </c>
      <c r="H371" s="94" t="s">
        <v>1</v>
      </c>
      <c r="I371" s="94" t="s">
        <v>74</v>
      </c>
      <c r="J371" s="94" t="s">
        <v>66</v>
      </c>
      <c r="K371" s="94" t="s">
        <v>59</v>
      </c>
      <c r="L371" s="94" t="s">
        <v>18</v>
      </c>
      <c r="M371" s="94" t="s">
        <v>1</v>
      </c>
      <c r="N371" s="94" t="s">
        <v>7</v>
      </c>
      <c r="O371" s="94" t="s">
        <v>75</v>
      </c>
      <c r="P371" s="94" t="s">
        <v>76</v>
      </c>
      <c r="Q371" s="153"/>
      <c r="R371" s="94" t="s">
        <v>1</v>
      </c>
      <c r="S371" s="94" t="s">
        <v>7</v>
      </c>
      <c r="T371" s="94" t="s">
        <v>75</v>
      </c>
      <c r="U371" s="94" t="s">
        <v>76</v>
      </c>
      <c r="V371" s="83"/>
      <c r="W371" s="94" t="s">
        <v>1</v>
      </c>
      <c r="X371" s="94" t="s">
        <v>7</v>
      </c>
      <c r="Y371" s="94" t="s">
        <v>75</v>
      </c>
      <c r="Z371" s="94" t="s">
        <v>76</v>
      </c>
      <c r="AA371"/>
      <c r="AB371" s="83"/>
      <c r="AC371" s="83"/>
      <c r="AD371" s="111"/>
    </row>
    <row r="372" spans="1:30" s="86" customFormat="1" ht="12.75" customHeight="1" hidden="1">
      <c r="A372" s="106"/>
      <c r="B372" s="102"/>
      <c r="C372" s="93"/>
      <c r="D372" s="131"/>
      <c r="E372" s="94"/>
      <c r="F372" s="82">
        <f>+E372*D372</f>
        <v>0</v>
      </c>
      <c r="G372" s="82">
        <f>+F372*$C$4</f>
        <v>0</v>
      </c>
      <c r="H372" s="82">
        <f>+G372+F372</f>
        <v>0</v>
      </c>
      <c r="I372" s="82"/>
      <c r="J372" s="82">
        <f>+$C$7*D372</f>
        <v>0</v>
      </c>
      <c r="K372" s="82">
        <f>$C$5*D372</f>
        <v>0</v>
      </c>
      <c r="L372" s="82">
        <f>+$C$6*D372</f>
        <v>0</v>
      </c>
      <c r="M372" s="82">
        <f>SUM(H372:L372)</f>
        <v>0</v>
      </c>
      <c r="N372" s="82">
        <f>+M372*$C$2</f>
        <v>0</v>
      </c>
      <c r="O372" s="82"/>
      <c r="P372" s="82">
        <f>+M372-N372-O372</f>
        <v>0</v>
      </c>
      <c r="Q372" s="83"/>
      <c r="R372" s="82"/>
      <c r="S372" s="82">
        <f>+R372*0.5</f>
        <v>0</v>
      </c>
      <c r="T372" s="82"/>
      <c r="U372" s="82">
        <f>+R372-S372-T372</f>
        <v>0</v>
      </c>
      <c r="V372" s="83"/>
      <c r="W372" s="82"/>
      <c r="X372" s="82">
        <f>+W372*0.5</f>
        <v>0</v>
      </c>
      <c r="Y372" s="82"/>
      <c r="Z372" s="82">
        <f>+W372-X372-Y372</f>
        <v>0</v>
      </c>
      <c r="AA372"/>
      <c r="AB372" s="83"/>
      <c r="AC372" s="83"/>
      <c r="AD372" s="83"/>
    </row>
    <row r="373" spans="1:30" s="86" customFormat="1" ht="12.75" customHeight="1" hidden="1" thickBot="1">
      <c r="A373" s="122"/>
      <c r="B373" s="83"/>
      <c r="C373" s="93"/>
      <c r="D373" s="112"/>
      <c r="E373" s="82"/>
      <c r="F373" s="123">
        <f>+E373*D373</f>
        <v>0</v>
      </c>
      <c r="G373" s="123">
        <f>+F373*$C$4</f>
        <v>0</v>
      </c>
      <c r="H373" s="123">
        <f>+G373+F373</f>
        <v>0</v>
      </c>
      <c r="I373" s="123"/>
      <c r="J373" s="123">
        <f>+$C$7*D373</f>
        <v>0</v>
      </c>
      <c r="K373" s="123">
        <f>$C$5*D373</f>
        <v>0</v>
      </c>
      <c r="L373" s="123">
        <f>+$C$6*D373</f>
        <v>0</v>
      </c>
      <c r="M373" s="123">
        <f>SUM(H373:L373)</f>
        <v>0</v>
      </c>
      <c r="N373" s="123">
        <f>+M373*$C$2</f>
        <v>0</v>
      </c>
      <c r="O373" s="123"/>
      <c r="P373" s="123">
        <f>+M373-N373-O373</f>
        <v>0</v>
      </c>
      <c r="Q373" s="138"/>
      <c r="R373" s="123"/>
      <c r="S373" s="123">
        <f>+R373*0.5</f>
        <v>0</v>
      </c>
      <c r="T373" s="123"/>
      <c r="U373" s="123">
        <f>+R373-S373-T373</f>
        <v>0</v>
      </c>
      <c r="V373" s="83"/>
      <c r="W373" s="123"/>
      <c r="X373" s="123">
        <f>+W373*0.5</f>
        <v>0</v>
      </c>
      <c r="Y373" s="123"/>
      <c r="Z373" s="123">
        <f>+W373-X373-Y373</f>
        <v>0</v>
      </c>
      <c r="AA373"/>
      <c r="AB373" s="83"/>
      <c r="AC373" s="83"/>
      <c r="AD373" s="83"/>
    </row>
    <row r="374" spans="1:29" ht="12.75" customHeight="1">
      <c r="A374" s="73"/>
      <c r="B374" s="83"/>
      <c r="F374" s="82">
        <f aca="true" t="shared" si="137" ref="F374:P374">SUM(F372:F373)</f>
        <v>0</v>
      </c>
      <c r="G374" s="82">
        <f t="shared" si="137"/>
        <v>0</v>
      </c>
      <c r="H374" s="82">
        <f t="shared" si="137"/>
        <v>0</v>
      </c>
      <c r="I374" s="82">
        <f t="shared" si="137"/>
        <v>0</v>
      </c>
      <c r="J374" s="82">
        <f t="shared" si="137"/>
        <v>0</v>
      </c>
      <c r="K374" s="82">
        <f t="shared" si="137"/>
        <v>0</v>
      </c>
      <c r="L374" s="82">
        <f t="shared" si="137"/>
        <v>0</v>
      </c>
      <c r="M374" s="82">
        <f t="shared" si="137"/>
        <v>0</v>
      </c>
      <c r="N374" s="82">
        <f t="shared" si="137"/>
        <v>0</v>
      </c>
      <c r="O374" s="82">
        <f t="shared" si="137"/>
        <v>0</v>
      </c>
      <c r="P374" s="82">
        <f t="shared" si="137"/>
        <v>0</v>
      </c>
      <c r="Q374" s="83"/>
      <c r="R374" s="82"/>
      <c r="S374" s="82"/>
      <c r="T374" s="82"/>
      <c r="U374" s="82"/>
      <c r="V374" s="83"/>
      <c r="W374" s="82"/>
      <c r="X374" s="82"/>
      <c r="Y374" s="82"/>
      <c r="Z374" s="82"/>
      <c r="AA374"/>
      <c r="AB374" s="83"/>
      <c r="AC374" s="83"/>
    </row>
    <row r="375" spans="1:30" s="86" customFormat="1" ht="12.75" customHeight="1">
      <c r="A375" s="93">
        <v>517</v>
      </c>
      <c r="B375" s="83" t="s">
        <v>162</v>
      </c>
      <c r="C375" s="93"/>
      <c r="D375" s="112"/>
      <c r="E375" s="82"/>
      <c r="F375" s="82"/>
      <c r="G375" s="82"/>
      <c r="H375" s="82"/>
      <c r="I375" s="82">
        <f>787512</f>
        <v>787512</v>
      </c>
      <c r="J375" s="82"/>
      <c r="K375" s="82"/>
      <c r="L375" s="82"/>
      <c r="M375" s="90">
        <f>SUM(H375:L375)</f>
        <v>787512</v>
      </c>
      <c r="N375" s="82">
        <f>M375*$C$2</f>
        <v>393756</v>
      </c>
      <c r="O375" s="82"/>
      <c r="P375" s="82">
        <f>M375-N375-O375</f>
        <v>393756</v>
      </c>
      <c r="Q375" s="83"/>
      <c r="R375" s="82"/>
      <c r="S375" s="82"/>
      <c r="T375" s="82"/>
      <c r="U375" s="90">
        <f>R375-S375-T375</f>
        <v>0</v>
      </c>
      <c r="V375" s="83"/>
      <c r="W375" s="82"/>
      <c r="X375" s="82"/>
      <c r="Y375" s="82"/>
      <c r="Z375" s="90">
        <f>W375-X375-Y375</f>
        <v>0</v>
      </c>
      <c r="AA375"/>
      <c r="AB375" s="83"/>
      <c r="AC375" s="83"/>
      <c r="AD375" s="83"/>
    </row>
    <row r="376" spans="1:29" ht="12.75" customHeight="1">
      <c r="A376" s="93">
        <v>524</v>
      </c>
      <c r="B376" s="83" t="s">
        <v>163</v>
      </c>
      <c r="F376" s="82"/>
      <c r="G376" s="82"/>
      <c r="H376" s="82"/>
      <c r="I376" s="82">
        <v>175000</v>
      </c>
      <c r="J376" s="82"/>
      <c r="K376" s="82"/>
      <c r="L376" s="82"/>
      <c r="M376" s="90">
        <f>SUM(H376:L376)</f>
        <v>175000</v>
      </c>
      <c r="N376" s="82">
        <f>M376*$C$2</f>
        <v>87500</v>
      </c>
      <c r="O376" s="82"/>
      <c r="P376" s="82">
        <f>M376-N376-O376</f>
        <v>87500</v>
      </c>
      <c r="Q376" s="83"/>
      <c r="R376" s="90">
        <f>4940283</f>
        <v>4940283</v>
      </c>
      <c r="S376" s="82">
        <f>R376*0.25</f>
        <v>1235070.75</v>
      </c>
      <c r="T376" s="82"/>
      <c r="U376" s="90">
        <f>R376-S376-T376</f>
        <v>3705212.25</v>
      </c>
      <c r="V376" s="83"/>
      <c r="W376" s="90">
        <f>5475000</f>
        <v>5475000</v>
      </c>
      <c r="X376" s="82">
        <f>W376*0.25</f>
        <v>1368750</v>
      </c>
      <c r="Y376" s="82"/>
      <c r="Z376" s="90">
        <f>W376-X376-Y376</f>
        <v>4106250</v>
      </c>
      <c r="AA376"/>
      <c r="AB376" s="83"/>
      <c r="AC376" s="83"/>
    </row>
    <row r="377" spans="1:30" s="86" customFormat="1" ht="12.75" customHeight="1">
      <c r="A377" s="117"/>
      <c r="B377" s="120"/>
      <c r="C377" s="93"/>
      <c r="D377" s="11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3"/>
      <c r="R377" s="82"/>
      <c r="S377" s="82"/>
      <c r="T377" s="82"/>
      <c r="U377" s="82"/>
      <c r="V377" s="83"/>
      <c r="W377" s="82"/>
      <c r="X377" s="82"/>
      <c r="Y377" s="82"/>
      <c r="Z377" s="82"/>
      <c r="AA377"/>
      <c r="AB377" s="83"/>
      <c r="AC377" s="83"/>
      <c r="AD377" s="83"/>
    </row>
    <row r="378" spans="1:29" ht="12.75" customHeight="1" thickBot="1">
      <c r="A378" s="73"/>
      <c r="B378" s="83" t="s">
        <v>79</v>
      </c>
      <c r="F378" s="126">
        <f aca="true" t="shared" si="138" ref="F378:N378">SUM(F374:F377)</f>
        <v>0</v>
      </c>
      <c r="G378" s="126">
        <f t="shared" si="138"/>
        <v>0</v>
      </c>
      <c r="H378" s="126">
        <f t="shared" si="138"/>
        <v>0</v>
      </c>
      <c r="I378" s="126">
        <f t="shared" si="138"/>
        <v>962512</v>
      </c>
      <c r="J378" s="126">
        <f t="shared" si="138"/>
        <v>0</v>
      </c>
      <c r="K378" s="126">
        <f t="shared" si="138"/>
        <v>0</v>
      </c>
      <c r="L378" s="126">
        <f t="shared" si="138"/>
        <v>0</v>
      </c>
      <c r="M378" s="126">
        <f t="shared" si="138"/>
        <v>962512</v>
      </c>
      <c r="N378" s="126">
        <f t="shared" si="138"/>
        <v>481256</v>
      </c>
      <c r="O378" s="126"/>
      <c r="P378" s="126">
        <f>SUM(P374:P377)</f>
        <v>481256</v>
      </c>
      <c r="Q378" s="83"/>
      <c r="R378" s="126">
        <f>SUM(R374:R377)</f>
        <v>4940283</v>
      </c>
      <c r="S378" s="126">
        <f>SUM(S374:S377)</f>
        <v>1235070.75</v>
      </c>
      <c r="T378" s="126"/>
      <c r="U378" s="126">
        <f>SUM(U374:U377)</f>
        <v>3705212.25</v>
      </c>
      <c r="V378" s="83"/>
      <c r="W378" s="126">
        <f>SUM(W374:W377)</f>
        <v>5475000</v>
      </c>
      <c r="X378" s="126">
        <f>SUM(X374:X377)</f>
        <v>1368750</v>
      </c>
      <c r="Y378" s="126"/>
      <c r="Z378" s="126">
        <f>SUM(Z374:Z377)</f>
        <v>4106250</v>
      </c>
      <c r="AA378"/>
      <c r="AB378" s="83"/>
      <c r="AC378" s="83"/>
    </row>
    <row r="379" spans="1:30" s="107" customFormat="1" ht="12.75" customHeight="1" thickTop="1">
      <c r="A379" s="117"/>
      <c r="B379" s="120"/>
      <c r="C379" s="93"/>
      <c r="D379" s="11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3"/>
      <c r="R379" s="82"/>
      <c r="S379" s="82"/>
      <c r="T379" s="82"/>
      <c r="U379" s="82"/>
      <c r="V379" s="83"/>
      <c r="W379" s="82"/>
      <c r="X379" s="82"/>
      <c r="Y379" s="82"/>
      <c r="Z379" s="82"/>
      <c r="AA379"/>
      <c r="AB379" s="83"/>
      <c r="AC379" s="83"/>
      <c r="AD379" s="111"/>
    </row>
    <row r="380" spans="1:30" s="107" customFormat="1" ht="12.75" customHeight="1">
      <c r="A380" s="106"/>
      <c r="B380" s="128" t="s">
        <v>80</v>
      </c>
      <c r="C380" s="93"/>
      <c r="D380" s="11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3"/>
      <c r="R380" s="82"/>
      <c r="S380" s="82"/>
      <c r="T380" s="82"/>
      <c r="U380" s="82"/>
      <c r="V380" s="83"/>
      <c r="W380" s="82"/>
      <c r="X380" s="82"/>
      <c r="Y380" s="82"/>
      <c r="Z380" s="82"/>
      <c r="AA380"/>
      <c r="AB380" s="83"/>
      <c r="AC380" s="83"/>
      <c r="AD380" s="111"/>
    </row>
    <row r="381" spans="1:30" s="86" customFormat="1" ht="12.75" customHeight="1">
      <c r="A381" s="73"/>
      <c r="B381" s="83" t="str">
        <f>J4</f>
        <v>200-1030-01</v>
      </c>
      <c r="C381" s="93"/>
      <c r="D381" s="112"/>
      <c r="E381" s="82"/>
      <c r="F381" s="82">
        <v>0</v>
      </c>
      <c r="G381" s="82">
        <v>0</v>
      </c>
      <c r="H381" s="90">
        <f>+G381+F381</f>
        <v>0</v>
      </c>
      <c r="I381" s="82">
        <f>I378</f>
        <v>962512</v>
      </c>
      <c r="J381" s="82">
        <v>0</v>
      </c>
      <c r="K381" s="82">
        <v>0</v>
      </c>
      <c r="L381" s="82">
        <v>0</v>
      </c>
      <c r="M381" s="90">
        <f>SUM(H381:L381)</f>
        <v>962512</v>
      </c>
      <c r="N381" s="82">
        <f>+M381*0.5</f>
        <v>481256</v>
      </c>
      <c r="O381" s="82"/>
      <c r="P381" s="82">
        <f>+M381-N381</f>
        <v>481256</v>
      </c>
      <c r="Q381" s="83"/>
      <c r="R381" s="90">
        <f>R378</f>
        <v>4940283</v>
      </c>
      <c r="S381" s="90">
        <f>S378</f>
        <v>1235070.75</v>
      </c>
      <c r="T381" s="90">
        <f>T378</f>
        <v>0</v>
      </c>
      <c r="U381" s="90">
        <f>U378</f>
        <v>3705212.25</v>
      </c>
      <c r="V381" s="83"/>
      <c r="W381" s="90">
        <f>W378</f>
        <v>5475000</v>
      </c>
      <c r="X381" s="90">
        <f>X378</f>
        <v>1368750</v>
      </c>
      <c r="Y381" s="90">
        <f>Y378</f>
        <v>0</v>
      </c>
      <c r="Z381" s="90">
        <f>Z378</f>
        <v>4106250</v>
      </c>
      <c r="AA381"/>
      <c r="AB381" s="83"/>
      <c r="AC381" s="83"/>
      <c r="AD381" s="83"/>
    </row>
    <row r="382" spans="1:29" ht="12.75" customHeight="1" thickBot="1">
      <c r="A382" s="73"/>
      <c r="B382" s="83"/>
      <c r="F382" s="126">
        <f aca="true" t="shared" si="139" ref="F382:P382">SUM(F381:F381)</f>
        <v>0</v>
      </c>
      <c r="G382" s="126">
        <f t="shared" si="139"/>
        <v>0</v>
      </c>
      <c r="H382" s="126">
        <f t="shared" si="139"/>
        <v>0</v>
      </c>
      <c r="I382" s="126">
        <f t="shared" si="139"/>
        <v>962512</v>
      </c>
      <c r="J382" s="126">
        <f t="shared" si="139"/>
        <v>0</v>
      </c>
      <c r="K382" s="126">
        <f t="shared" si="139"/>
        <v>0</v>
      </c>
      <c r="L382" s="126">
        <f t="shared" si="139"/>
        <v>0</v>
      </c>
      <c r="M382" s="126">
        <f t="shared" si="139"/>
        <v>962512</v>
      </c>
      <c r="N382" s="126">
        <f t="shared" si="139"/>
        <v>481256</v>
      </c>
      <c r="O382" s="126">
        <f t="shared" si="139"/>
        <v>0</v>
      </c>
      <c r="P382" s="126">
        <f t="shared" si="139"/>
        <v>481256</v>
      </c>
      <c r="Q382" s="83"/>
      <c r="R382" s="126">
        <f>SUM(R381:R381)</f>
        <v>4940283</v>
      </c>
      <c r="S382" s="126">
        <f>SUM(S381:S381)</f>
        <v>1235070.75</v>
      </c>
      <c r="T382" s="126">
        <f>SUM(T381:T381)</f>
        <v>0</v>
      </c>
      <c r="U382" s="126">
        <f>SUM(U381:U381)</f>
        <v>3705212.25</v>
      </c>
      <c r="V382" s="83"/>
      <c r="W382" s="126">
        <f>SUM(W381:W381)</f>
        <v>5475000</v>
      </c>
      <c r="X382" s="126">
        <f>SUM(X381:X381)</f>
        <v>1368750</v>
      </c>
      <c r="Y382" s="126">
        <f>SUM(Y381:Y381)</f>
        <v>0</v>
      </c>
      <c r="Z382" s="126">
        <f>SUM(Z381:Z381)</f>
        <v>4106250</v>
      </c>
      <c r="AA382"/>
      <c r="AB382" s="83"/>
      <c r="AC382" s="83"/>
    </row>
    <row r="383" spans="6:29" ht="12.75" customHeight="1" thickTop="1"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3"/>
      <c r="R383" s="82"/>
      <c r="S383" s="82"/>
      <c r="T383" s="82"/>
      <c r="U383" s="82"/>
      <c r="V383" s="83"/>
      <c r="W383" s="82"/>
      <c r="X383" s="82"/>
      <c r="Y383" s="82"/>
      <c r="Z383" s="82"/>
      <c r="AA383"/>
      <c r="AB383" s="83"/>
      <c r="AC383" s="83"/>
    </row>
    <row r="384" spans="1:30" s="107" customFormat="1" ht="12" customHeight="1" thickBot="1">
      <c r="A384" s="117">
        <v>21</v>
      </c>
      <c r="B384" s="118" t="s">
        <v>164</v>
      </c>
      <c r="C384" s="93"/>
      <c r="D384" s="11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3"/>
      <c r="R384" s="82"/>
      <c r="S384" s="82"/>
      <c r="T384" s="82"/>
      <c r="U384" s="82"/>
      <c r="V384" s="83"/>
      <c r="W384" s="82"/>
      <c r="X384" s="82"/>
      <c r="Y384" s="82"/>
      <c r="Z384" s="82"/>
      <c r="AA384"/>
      <c r="AB384" s="83"/>
      <c r="AC384" s="83"/>
      <c r="AD384" s="111"/>
    </row>
    <row r="385" spans="1:29" ht="12.75" customHeight="1" hidden="1">
      <c r="A385" s="106"/>
      <c r="B385" s="121" t="s">
        <v>77</v>
      </c>
      <c r="D385" s="109" t="s">
        <v>71</v>
      </c>
      <c r="E385" s="97" t="s">
        <v>72</v>
      </c>
      <c r="F385" s="97" t="s">
        <v>72</v>
      </c>
      <c r="G385" s="97" t="s">
        <v>73</v>
      </c>
      <c r="H385" s="97" t="s">
        <v>1</v>
      </c>
      <c r="I385" s="97" t="s">
        <v>74</v>
      </c>
      <c r="J385" s="97" t="s">
        <v>66</v>
      </c>
      <c r="K385" s="97" t="s">
        <v>59</v>
      </c>
      <c r="L385" s="97" t="s">
        <v>18</v>
      </c>
      <c r="M385" s="97" t="s">
        <v>1</v>
      </c>
      <c r="N385" s="97" t="s">
        <v>7</v>
      </c>
      <c r="O385" s="97" t="s">
        <v>75</v>
      </c>
      <c r="P385" s="97" t="s">
        <v>76</v>
      </c>
      <c r="Q385" s="108"/>
      <c r="R385" s="97" t="s">
        <v>1</v>
      </c>
      <c r="S385" s="97" t="s">
        <v>7</v>
      </c>
      <c r="T385" s="97" t="s">
        <v>75</v>
      </c>
      <c r="U385" s="97" t="s">
        <v>76</v>
      </c>
      <c r="V385" s="83"/>
      <c r="W385" s="97" t="s">
        <v>1</v>
      </c>
      <c r="X385" s="97" t="s">
        <v>7</v>
      </c>
      <c r="Y385" s="97" t="s">
        <v>75</v>
      </c>
      <c r="Z385" s="97" t="s">
        <v>76</v>
      </c>
      <c r="AA385"/>
      <c r="AB385" s="83"/>
      <c r="AC385" s="83"/>
    </row>
    <row r="386" spans="1:29" ht="12.75" customHeight="1" hidden="1">
      <c r="A386" s="156"/>
      <c r="B386" s="157"/>
      <c r="F386" s="82">
        <f>+E386*D386</f>
        <v>0</v>
      </c>
      <c r="G386" s="82">
        <f>+F386*$C$4</f>
        <v>0</v>
      </c>
      <c r="H386" s="82">
        <f>+G386+F386</f>
        <v>0</v>
      </c>
      <c r="I386" s="82"/>
      <c r="J386" s="82">
        <f>+$C$7*D386</f>
        <v>0</v>
      </c>
      <c r="K386" s="82">
        <f>$C$5*D386</f>
        <v>0</v>
      </c>
      <c r="L386" s="82">
        <f>+$C$6*D386</f>
        <v>0</v>
      </c>
      <c r="M386" s="82">
        <f>SUM(H386:L386)</f>
        <v>0</v>
      </c>
      <c r="N386" s="82">
        <f>+M386*$C$2</f>
        <v>0</v>
      </c>
      <c r="O386" s="82"/>
      <c r="P386" s="82">
        <f>+M386-N386-O386</f>
        <v>0</v>
      </c>
      <c r="Q386" s="83"/>
      <c r="R386" s="82"/>
      <c r="S386" s="82">
        <f>+R386*0.5</f>
        <v>0</v>
      </c>
      <c r="T386" s="82"/>
      <c r="U386" s="82">
        <f>+R386-S386-T386</f>
        <v>0</v>
      </c>
      <c r="V386" s="83"/>
      <c r="W386" s="82"/>
      <c r="X386" s="82">
        <f>+W386*0.5</f>
        <v>0</v>
      </c>
      <c r="Y386" s="82"/>
      <c r="Z386" s="82">
        <f>+W386-X386-Y386</f>
        <v>0</v>
      </c>
      <c r="AA386"/>
      <c r="AB386" s="83"/>
      <c r="AC386" s="83"/>
    </row>
    <row r="387" spans="1:29" ht="12.75" customHeight="1" hidden="1" thickBot="1">
      <c r="A387" s="158"/>
      <c r="F387" s="123">
        <f>+E387*D387</f>
        <v>0</v>
      </c>
      <c r="G387" s="123">
        <f>+F387*$C$4</f>
        <v>0</v>
      </c>
      <c r="H387" s="123">
        <f>+G387+F387</f>
        <v>0</v>
      </c>
      <c r="I387" s="123"/>
      <c r="J387" s="123">
        <f>+$C$7*D387</f>
        <v>0</v>
      </c>
      <c r="K387" s="123">
        <f>$C$5*D387</f>
        <v>0</v>
      </c>
      <c r="L387" s="123">
        <f>+$C$6*D387</f>
        <v>0</v>
      </c>
      <c r="M387" s="123">
        <f>SUM(H387:L387)</f>
        <v>0</v>
      </c>
      <c r="N387" s="123">
        <f>+M387*$C$2</f>
        <v>0</v>
      </c>
      <c r="O387" s="123"/>
      <c r="P387" s="123">
        <f>+M387-N387-O387</f>
        <v>0</v>
      </c>
      <c r="Q387" s="138"/>
      <c r="R387" s="123"/>
      <c r="S387" s="123">
        <f>+R387*0.5</f>
        <v>0</v>
      </c>
      <c r="T387" s="123"/>
      <c r="U387" s="123">
        <f>+R387-S387-T387</f>
        <v>0</v>
      </c>
      <c r="V387" s="83"/>
      <c r="W387" s="123"/>
      <c r="X387" s="123">
        <f>+W387*0.5</f>
        <v>0</v>
      </c>
      <c r="Y387" s="123"/>
      <c r="Z387" s="123">
        <f>+W387-X387-Y387</f>
        <v>0</v>
      </c>
      <c r="AA387"/>
      <c r="AB387" s="83"/>
      <c r="AC387" s="83"/>
    </row>
    <row r="388" spans="1:30" s="86" customFormat="1" ht="12.75" customHeight="1" hidden="1">
      <c r="A388" s="73"/>
      <c r="B388" s="83"/>
      <c r="C388" s="93"/>
      <c r="D388" s="112"/>
      <c r="E388" s="82"/>
      <c r="F388" s="82">
        <f aca="true" t="shared" si="140" ref="F388:P388">SUM(F386:F387)</f>
        <v>0</v>
      </c>
      <c r="G388" s="82">
        <f t="shared" si="140"/>
        <v>0</v>
      </c>
      <c r="H388" s="82">
        <f t="shared" si="140"/>
        <v>0</v>
      </c>
      <c r="I388" s="82">
        <f t="shared" si="140"/>
        <v>0</v>
      </c>
      <c r="J388" s="82">
        <f t="shared" si="140"/>
        <v>0</v>
      </c>
      <c r="K388" s="82">
        <f t="shared" si="140"/>
        <v>0</v>
      </c>
      <c r="L388" s="82">
        <f t="shared" si="140"/>
        <v>0</v>
      </c>
      <c r="M388" s="82">
        <f t="shared" si="140"/>
        <v>0</v>
      </c>
      <c r="N388" s="82">
        <f t="shared" si="140"/>
        <v>0</v>
      </c>
      <c r="O388" s="82">
        <f t="shared" si="140"/>
        <v>0</v>
      </c>
      <c r="P388" s="82">
        <f t="shared" si="140"/>
        <v>0</v>
      </c>
      <c r="Q388" s="83"/>
      <c r="R388" s="82"/>
      <c r="S388" s="82"/>
      <c r="T388" s="82"/>
      <c r="U388" s="82"/>
      <c r="V388" s="83"/>
      <c r="W388" s="82"/>
      <c r="X388" s="82"/>
      <c r="Y388" s="82"/>
      <c r="Z388" s="82"/>
      <c r="AA388"/>
      <c r="AB388" s="83"/>
      <c r="AC388" s="83"/>
      <c r="AD388" s="83"/>
    </row>
    <row r="389" spans="6:29" ht="12.75" customHeight="1"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3"/>
      <c r="R389" s="82"/>
      <c r="S389" s="82"/>
      <c r="T389" s="82"/>
      <c r="U389" s="82"/>
      <c r="V389" s="83"/>
      <c r="W389" s="82"/>
      <c r="X389" s="82"/>
      <c r="Y389" s="82"/>
      <c r="Z389" s="82"/>
      <c r="AA389"/>
      <c r="AB389" s="83"/>
      <c r="AC389" s="83"/>
    </row>
    <row r="390" spans="1:30" s="107" customFormat="1" ht="12.75" customHeight="1">
      <c r="A390" s="93">
        <v>806</v>
      </c>
      <c r="B390" s="83" t="s">
        <v>127</v>
      </c>
      <c r="C390" s="93"/>
      <c r="D390" s="112"/>
      <c r="E390" s="82"/>
      <c r="F390" s="82"/>
      <c r="G390" s="82"/>
      <c r="H390" s="82"/>
      <c r="I390" s="82"/>
      <c r="K390" s="82"/>
      <c r="L390" s="82">
        <v>8000000</v>
      </c>
      <c r="M390" s="90">
        <f>SUM(H390:L390)</f>
        <v>8000000</v>
      </c>
      <c r="N390" s="82">
        <f>M390*0.25</f>
        <v>2000000</v>
      </c>
      <c r="O390" s="82"/>
      <c r="P390" s="82">
        <f>+M390-N390</f>
        <v>6000000</v>
      </c>
      <c r="Q390" s="83"/>
      <c r="R390" s="90"/>
      <c r="S390" s="82"/>
      <c r="T390" s="82"/>
      <c r="U390" s="82">
        <f>+R390-S390</f>
        <v>0</v>
      </c>
      <c r="V390" s="83"/>
      <c r="W390" s="90"/>
      <c r="X390" s="82"/>
      <c r="Y390" s="82"/>
      <c r="Z390" s="82">
        <f>+W390-X390</f>
        <v>0</v>
      </c>
      <c r="AA390"/>
      <c r="AB390" s="83"/>
      <c r="AC390" s="83"/>
      <c r="AD390" s="111"/>
    </row>
    <row r="391" spans="6:29" ht="12.75" customHeight="1"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3"/>
      <c r="R391" s="82"/>
      <c r="S391" s="82"/>
      <c r="T391" s="82"/>
      <c r="U391" s="82"/>
      <c r="V391" s="83"/>
      <c r="W391" s="82"/>
      <c r="X391" s="82"/>
      <c r="Y391" s="82"/>
      <c r="Z391" s="82"/>
      <c r="AA391"/>
      <c r="AB391" s="83"/>
      <c r="AC391" s="83"/>
    </row>
    <row r="392" spans="1:30" s="107" customFormat="1" ht="12.75" customHeight="1" thickBot="1">
      <c r="A392" s="106"/>
      <c r="B392" s="111" t="s">
        <v>79</v>
      </c>
      <c r="C392" s="93"/>
      <c r="D392" s="112"/>
      <c r="E392" s="82"/>
      <c r="F392" s="126">
        <f aca="true" t="shared" si="141" ref="F392:N392">SUM(F388:F391)</f>
        <v>0</v>
      </c>
      <c r="G392" s="126">
        <f t="shared" si="141"/>
        <v>0</v>
      </c>
      <c r="H392" s="126">
        <f t="shared" si="141"/>
        <v>0</v>
      </c>
      <c r="I392" s="126">
        <f t="shared" si="141"/>
        <v>0</v>
      </c>
      <c r="J392" s="126">
        <f t="shared" si="141"/>
        <v>0</v>
      </c>
      <c r="K392" s="126">
        <f t="shared" si="141"/>
        <v>0</v>
      </c>
      <c r="L392" s="126">
        <f t="shared" si="141"/>
        <v>8000000</v>
      </c>
      <c r="M392" s="126">
        <f t="shared" si="141"/>
        <v>8000000</v>
      </c>
      <c r="N392" s="126">
        <f t="shared" si="141"/>
        <v>2000000</v>
      </c>
      <c r="O392" s="126"/>
      <c r="P392" s="126">
        <f>SUM(P388:P391)</f>
        <v>6000000</v>
      </c>
      <c r="Q392" s="83"/>
      <c r="R392" s="126">
        <f>SUM(R388:R391)</f>
        <v>0</v>
      </c>
      <c r="S392" s="126">
        <f>SUM(S388:S391)</f>
        <v>0</v>
      </c>
      <c r="T392" s="126"/>
      <c r="U392" s="126">
        <f>SUM(U388:U391)</f>
        <v>0</v>
      </c>
      <c r="V392" s="83"/>
      <c r="W392" s="126">
        <f>SUM(W388:W391)</f>
        <v>0</v>
      </c>
      <c r="X392" s="126">
        <f>SUM(X388:X391)</f>
        <v>0</v>
      </c>
      <c r="Y392" s="126"/>
      <c r="Z392" s="126">
        <f>SUM(Z388:Z391)</f>
        <v>0</v>
      </c>
      <c r="AA392"/>
      <c r="AB392" s="83"/>
      <c r="AC392" s="83"/>
      <c r="AD392" s="111"/>
    </row>
    <row r="393" spans="1:30" s="86" customFormat="1" ht="12.75" customHeight="1" thickTop="1">
      <c r="A393" s="117"/>
      <c r="B393" s="120"/>
      <c r="C393" s="93"/>
      <c r="D393" s="11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3"/>
      <c r="R393" s="82"/>
      <c r="S393" s="82"/>
      <c r="T393" s="82"/>
      <c r="U393" s="82"/>
      <c r="V393" s="83"/>
      <c r="W393" s="82"/>
      <c r="X393" s="82"/>
      <c r="Y393" s="82"/>
      <c r="Z393" s="82"/>
      <c r="AA393"/>
      <c r="AB393" s="83"/>
      <c r="AC393" s="83"/>
      <c r="AD393" s="83"/>
    </row>
    <row r="394" spans="1:30" s="107" customFormat="1" ht="12.75" customHeight="1">
      <c r="A394" s="106"/>
      <c r="B394" s="128" t="s">
        <v>80</v>
      </c>
      <c r="C394" s="93"/>
      <c r="D394" s="11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3"/>
      <c r="R394" s="82"/>
      <c r="S394" s="82"/>
      <c r="T394" s="82"/>
      <c r="U394" s="82"/>
      <c r="V394" s="83"/>
      <c r="W394" s="82"/>
      <c r="X394" s="82"/>
      <c r="Y394" s="82"/>
      <c r="Z394" s="82"/>
      <c r="AA394"/>
      <c r="AB394" s="83"/>
      <c r="AC394" s="83"/>
      <c r="AD394" s="111"/>
    </row>
    <row r="395" spans="1:29" ht="12.75" customHeight="1">
      <c r="A395" s="73"/>
      <c r="B395" s="83" t="str">
        <f>J5</f>
        <v>200-1030-88</v>
      </c>
      <c r="F395" s="82">
        <v>0</v>
      </c>
      <c r="G395" s="82">
        <v>0</v>
      </c>
      <c r="H395" s="90">
        <f>+G395+F395</f>
        <v>0</v>
      </c>
      <c r="I395" s="82"/>
      <c r="J395" s="82">
        <f>J392</f>
        <v>0</v>
      </c>
      <c r="K395" s="82">
        <v>0</v>
      </c>
      <c r="L395" s="82">
        <f>L392</f>
        <v>8000000</v>
      </c>
      <c r="M395" s="90">
        <f>SUM(H395:L395)</f>
        <v>8000000</v>
      </c>
      <c r="N395" s="82">
        <f>N392</f>
        <v>2000000</v>
      </c>
      <c r="O395" s="82"/>
      <c r="P395" s="82">
        <f>+M395-N395</f>
        <v>6000000</v>
      </c>
      <c r="Q395" s="83"/>
      <c r="R395" s="90">
        <f>R390</f>
        <v>0</v>
      </c>
      <c r="S395" s="90">
        <f>S390</f>
        <v>0</v>
      </c>
      <c r="T395" s="90">
        <f>T390</f>
        <v>0</v>
      </c>
      <c r="U395" s="90">
        <f>U390</f>
        <v>0</v>
      </c>
      <c r="V395" s="83"/>
      <c r="W395" s="90">
        <f>W390</f>
        <v>0</v>
      </c>
      <c r="X395" s="90">
        <f>X390</f>
        <v>0</v>
      </c>
      <c r="Y395" s="90">
        <f>Y390</f>
        <v>0</v>
      </c>
      <c r="Z395" s="90">
        <f>Z390</f>
        <v>0</v>
      </c>
      <c r="AA395"/>
      <c r="AB395" s="83"/>
      <c r="AC395" s="83"/>
    </row>
    <row r="396" spans="1:30" s="107" customFormat="1" ht="12.75" customHeight="1" thickBot="1">
      <c r="A396" s="106"/>
      <c r="B396" s="83"/>
      <c r="C396" s="93"/>
      <c r="D396" s="112"/>
      <c r="E396" s="82"/>
      <c r="F396" s="126">
        <f aca="true" t="shared" si="142" ref="F396:P396">SUM(F395:F395)</f>
        <v>0</v>
      </c>
      <c r="G396" s="126">
        <f t="shared" si="142"/>
        <v>0</v>
      </c>
      <c r="H396" s="126">
        <f t="shared" si="142"/>
        <v>0</v>
      </c>
      <c r="I396" s="126">
        <f t="shared" si="142"/>
        <v>0</v>
      </c>
      <c r="J396" s="126">
        <f t="shared" si="142"/>
        <v>0</v>
      </c>
      <c r="K396" s="126">
        <f t="shared" si="142"/>
        <v>0</v>
      </c>
      <c r="L396" s="126">
        <f t="shared" si="142"/>
        <v>8000000</v>
      </c>
      <c r="M396" s="126">
        <f t="shared" si="142"/>
        <v>8000000</v>
      </c>
      <c r="N396" s="126">
        <f t="shared" si="142"/>
        <v>2000000</v>
      </c>
      <c r="O396" s="126">
        <f t="shared" si="142"/>
        <v>0</v>
      </c>
      <c r="P396" s="126">
        <f t="shared" si="142"/>
        <v>6000000</v>
      </c>
      <c r="Q396" s="83"/>
      <c r="R396" s="126">
        <f>SUM(R395:R395)</f>
        <v>0</v>
      </c>
      <c r="S396" s="126">
        <f>SUM(S395:S395)</f>
        <v>0</v>
      </c>
      <c r="T396" s="126">
        <f>SUM(T395:T395)</f>
        <v>0</v>
      </c>
      <c r="U396" s="126">
        <f>SUM(U395:U395)</f>
        <v>0</v>
      </c>
      <c r="V396" s="83"/>
      <c r="W396" s="126">
        <f>SUM(W395:W395)</f>
        <v>0</v>
      </c>
      <c r="X396" s="126">
        <f>SUM(X395:X395)</f>
        <v>0</v>
      </c>
      <c r="Y396" s="126">
        <f>SUM(Y395:Y395)</f>
        <v>0</v>
      </c>
      <c r="Z396" s="126">
        <f>SUM(Z395:Z395)</f>
        <v>0</v>
      </c>
      <c r="AA396"/>
      <c r="AB396" s="83"/>
      <c r="AC396" s="83"/>
      <c r="AD396" s="111"/>
    </row>
    <row r="397" spans="1:30" s="107" customFormat="1" ht="12.75" customHeight="1" thickTop="1">
      <c r="A397" s="106"/>
      <c r="B397" s="83"/>
      <c r="C397" s="93"/>
      <c r="D397" s="112"/>
      <c r="E397" s="82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83"/>
      <c r="R397" s="90"/>
      <c r="S397" s="90"/>
      <c r="T397" s="90"/>
      <c r="U397" s="90"/>
      <c r="V397" s="83"/>
      <c r="W397" s="90"/>
      <c r="X397" s="90"/>
      <c r="Y397" s="90"/>
      <c r="Z397" s="90"/>
      <c r="AA397"/>
      <c r="AB397" s="83"/>
      <c r="AC397" s="83"/>
      <c r="AD397" s="111"/>
    </row>
    <row r="398" spans="1:29" ht="12.75" customHeight="1" thickBot="1">
      <c r="A398" s="117">
        <v>22</v>
      </c>
      <c r="B398" s="118" t="s">
        <v>165</v>
      </c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3"/>
      <c r="R398" s="82"/>
      <c r="S398" s="82"/>
      <c r="T398" s="82"/>
      <c r="U398" s="82"/>
      <c r="V398" s="83"/>
      <c r="W398" s="82"/>
      <c r="X398" s="82"/>
      <c r="Y398" s="82"/>
      <c r="Z398" s="82"/>
      <c r="AA398"/>
      <c r="AB398" s="83"/>
      <c r="AC398" s="83"/>
    </row>
    <row r="399" spans="1:29" ht="12.75" customHeight="1">
      <c r="A399" s="106"/>
      <c r="B399" s="121" t="s">
        <v>77</v>
      </c>
      <c r="D399" s="109" t="s">
        <v>71</v>
      </c>
      <c r="E399" s="97" t="s">
        <v>72</v>
      </c>
      <c r="F399" s="97" t="s">
        <v>72</v>
      </c>
      <c r="G399" s="97" t="s">
        <v>73</v>
      </c>
      <c r="H399" s="97" t="s">
        <v>1</v>
      </c>
      <c r="I399" s="97" t="s">
        <v>74</v>
      </c>
      <c r="J399" s="97" t="s">
        <v>66</v>
      </c>
      <c r="K399" s="97" t="s">
        <v>59</v>
      </c>
      <c r="L399" s="97" t="s">
        <v>18</v>
      </c>
      <c r="M399" s="97" t="s">
        <v>1</v>
      </c>
      <c r="N399" s="97" t="s">
        <v>7</v>
      </c>
      <c r="O399" s="97" t="s">
        <v>75</v>
      </c>
      <c r="P399" s="97" t="s">
        <v>76</v>
      </c>
      <c r="Q399" s="108"/>
      <c r="R399" s="97" t="s">
        <v>1</v>
      </c>
      <c r="S399" s="97" t="s">
        <v>7</v>
      </c>
      <c r="T399" s="97" t="s">
        <v>75</v>
      </c>
      <c r="U399" s="97" t="s">
        <v>76</v>
      </c>
      <c r="V399" s="83"/>
      <c r="W399" s="97" t="s">
        <v>1</v>
      </c>
      <c r="X399" s="97" t="s">
        <v>7</v>
      </c>
      <c r="Y399" s="97" t="s">
        <v>75</v>
      </c>
      <c r="Z399" s="97" t="s">
        <v>76</v>
      </c>
      <c r="AA399"/>
      <c r="AB399" s="83"/>
      <c r="AC399" s="83"/>
    </row>
    <row r="400" spans="1:29" ht="12.75" customHeight="1">
      <c r="A400" s="106"/>
      <c r="B400" s="121"/>
      <c r="D400" s="131"/>
      <c r="E400" s="94"/>
      <c r="F400" s="82">
        <f>+E400*D400</f>
        <v>0</v>
      </c>
      <c r="G400" s="82">
        <f>+F400*$C$4</f>
        <v>0</v>
      </c>
      <c r="H400" s="82">
        <f>+G400+F400</f>
        <v>0</v>
      </c>
      <c r="I400" s="82"/>
      <c r="J400" s="82">
        <f>+$C$7*D400</f>
        <v>0</v>
      </c>
      <c r="K400" s="82">
        <f>$C$5*D400</f>
        <v>0</v>
      </c>
      <c r="L400" s="82">
        <f>+$C$6*D400</f>
        <v>0</v>
      </c>
      <c r="M400" s="82">
        <f>SUM(H400:L400)</f>
        <v>0</v>
      </c>
      <c r="N400" s="82">
        <f>+M400*$C$2</f>
        <v>0</v>
      </c>
      <c r="O400" s="82"/>
      <c r="P400" s="82">
        <f>+M400-N400-O400</f>
        <v>0</v>
      </c>
      <c r="Q400" s="83"/>
      <c r="R400" s="82"/>
      <c r="S400" s="82"/>
      <c r="T400" s="82"/>
      <c r="U400" s="82">
        <f>+R400-S400-T400</f>
        <v>0</v>
      </c>
      <c r="V400" s="83"/>
      <c r="W400" s="82"/>
      <c r="X400" s="82"/>
      <c r="Y400" s="82"/>
      <c r="Z400" s="82">
        <f>+W400-X400-Y400</f>
        <v>0</v>
      </c>
      <c r="AA400"/>
      <c r="AB400" s="83"/>
      <c r="AC400" s="83"/>
    </row>
    <row r="401" spans="1:29" ht="12.75" customHeight="1" thickBot="1">
      <c r="A401" s="93">
        <v>529</v>
      </c>
      <c r="B401" s="83" t="s">
        <v>166</v>
      </c>
      <c r="C401" s="93">
        <v>3287</v>
      </c>
      <c r="D401" s="112">
        <v>1</v>
      </c>
      <c r="E401" s="82">
        <v>42500</v>
      </c>
      <c r="F401" s="123">
        <f>+E401*D401</f>
        <v>42500</v>
      </c>
      <c r="G401" s="123">
        <f>+F401*$C$4</f>
        <v>19550</v>
      </c>
      <c r="H401" s="123">
        <f>+G401+F401</f>
        <v>62050</v>
      </c>
      <c r="I401" s="123"/>
      <c r="J401" s="123">
        <f>+$C$7*D401</f>
        <v>2500</v>
      </c>
      <c r="K401" s="123">
        <f>$C$5*D401</f>
        <v>5500</v>
      </c>
      <c r="L401" s="123">
        <f>+$C$6*D401</f>
        <v>1700</v>
      </c>
      <c r="M401" s="123">
        <f>SUM(H401:L401)</f>
        <v>71750</v>
      </c>
      <c r="N401" s="123">
        <f>+M401*$C$2</f>
        <v>35875</v>
      </c>
      <c r="O401" s="123"/>
      <c r="P401" s="123">
        <f>+M401-N401-O401</f>
        <v>35875</v>
      </c>
      <c r="Q401" s="138"/>
      <c r="R401" s="123">
        <v>0</v>
      </c>
      <c r="S401" s="123"/>
      <c r="T401" s="123"/>
      <c r="U401" s="123">
        <f>+R401-S401-T401</f>
        <v>0</v>
      </c>
      <c r="V401" s="83"/>
      <c r="W401" s="123">
        <v>0</v>
      </c>
      <c r="X401" s="123">
        <f>W401*$X$2</f>
        <v>0</v>
      </c>
      <c r="Y401" s="123"/>
      <c r="Z401" s="123">
        <f>W401-X401-Y401</f>
        <v>0</v>
      </c>
      <c r="AA401"/>
      <c r="AB401" s="83"/>
      <c r="AC401" s="83"/>
    </row>
    <row r="402" spans="1:30" s="86" customFormat="1" ht="12.75" customHeight="1">
      <c r="A402" s="117"/>
      <c r="B402" s="120"/>
      <c r="C402" s="93"/>
      <c r="D402" s="112"/>
      <c r="E402" s="82"/>
      <c r="F402" s="82">
        <f aca="true" t="shared" si="143" ref="F402:N402">SUM(F401:F401)</f>
        <v>42500</v>
      </c>
      <c r="G402" s="82">
        <f t="shared" si="143"/>
        <v>19550</v>
      </c>
      <c r="H402" s="82">
        <f t="shared" si="143"/>
        <v>62050</v>
      </c>
      <c r="I402" s="82">
        <f t="shared" si="143"/>
        <v>0</v>
      </c>
      <c r="J402" s="82">
        <f t="shared" si="143"/>
        <v>2500</v>
      </c>
      <c r="K402" s="82">
        <f t="shared" si="143"/>
        <v>5500</v>
      </c>
      <c r="L402" s="82">
        <f t="shared" si="143"/>
        <v>1700</v>
      </c>
      <c r="M402" s="82">
        <f t="shared" si="143"/>
        <v>71750</v>
      </c>
      <c r="N402" s="82">
        <f t="shared" si="143"/>
        <v>35875</v>
      </c>
      <c r="O402" s="82"/>
      <c r="P402" s="82">
        <f>SUM(P401:P401)</f>
        <v>35875</v>
      </c>
      <c r="Q402" s="83"/>
      <c r="R402" s="82">
        <f>SUM(R401:R401)</f>
        <v>0</v>
      </c>
      <c r="S402" s="82">
        <f>SUM(S401:S401)</f>
        <v>0</v>
      </c>
      <c r="T402" s="82"/>
      <c r="U402" s="82">
        <f>SUM(U401:U401)</f>
        <v>0</v>
      </c>
      <c r="V402" s="83"/>
      <c r="W402" s="82">
        <f>SUM(W401:W401)</f>
        <v>0</v>
      </c>
      <c r="X402" s="82">
        <f>SUM(X401:X401)</f>
        <v>0</v>
      </c>
      <c r="Y402" s="82"/>
      <c r="Z402" s="82">
        <f>SUM(Z401:Z401)</f>
        <v>0</v>
      </c>
      <c r="AA402"/>
      <c r="AB402" s="83"/>
      <c r="AC402" s="83"/>
      <c r="AD402" s="83"/>
    </row>
    <row r="403" spans="1:29" ht="12.75" customHeight="1">
      <c r="A403" s="73"/>
      <c r="B403" s="83"/>
      <c r="F403" s="82"/>
      <c r="G403" s="82"/>
      <c r="H403" s="82"/>
      <c r="I403" s="82"/>
      <c r="J403" s="82"/>
      <c r="K403" s="82"/>
      <c r="L403" s="82"/>
      <c r="M403" s="90">
        <f>SUM(H403:L403)</f>
        <v>0</v>
      </c>
      <c r="N403" s="82">
        <f>M403*C1</f>
        <v>0</v>
      </c>
      <c r="O403" s="82"/>
      <c r="P403" s="82">
        <f>+M403-N403-O403</f>
        <v>0</v>
      </c>
      <c r="Q403" s="83"/>
      <c r="R403" s="82"/>
      <c r="S403" s="82"/>
      <c r="T403" s="82"/>
      <c r="U403" s="82">
        <f>+R403-S403</f>
        <v>0</v>
      </c>
      <c r="V403" s="83"/>
      <c r="W403" s="82"/>
      <c r="X403" s="82"/>
      <c r="Y403" s="82"/>
      <c r="Z403" s="82">
        <f>+W403-X403</f>
        <v>0</v>
      </c>
      <c r="AA403"/>
      <c r="AB403" s="83"/>
      <c r="AC403" s="83"/>
    </row>
    <row r="404" spans="1:30" s="107" customFormat="1" ht="12.75" customHeight="1">
      <c r="A404" s="73"/>
      <c r="B404" s="83" t="s">
        <v>167</v>
      </c>
      <c r="C404" s="93"/>
      <c r="D404" s="112"/>
      <c r="E404" s="82"/>
      <c r="F404" s="82"/>
      <c r="G404" s="82"/>
      <c r="H404" s="82"/>
      <c r="I404" s="82"/>
      <c r="J404" s="82"/>
      <c r="K404" s="82"/>
      <c r="L404" s="82">
        <f>'[8]FY10 Priority  (2)'!$F$55-24300</f>
        <v>3328050</v>
      </c>
      <c r="M404" s="90">
        <f>SUM(H404:L404)</f>
        <v>3328050</v>
      </c>
      <c r="N404" s="82">
        <f>+M404*$C$1</f>
        <v>1171556.8012499998</v>
      </c>
      <c r="O404" s="82"/>
      <c r="P404" s="82">
        <f>+M404-N404-O404</f>
        <v>2156493.1987500004</v>
      </c>
      <c r="Q404" s="83"/>
      <c r="R404" s="90"/>
      <c r="S404" s="82"/>
      <c r="T404" s="82"/>
      <c r="U404" s="82">
        <f>+R404-S404</f>
        <v>0</v>
      </c>
      <c r="V404" s="83"/>
      <c r="W404" s="90"/>
      <c r="X404" s="82"/>
      <c r="Y404" s="82"/>
      <c r="Z404" s="82">
        <f>+W404-X404</f>
        <v>0</v>
      </c>
      <c r="AA404"/>
      <c r="AB404" s="83"/>
      <c r="AC404" s="83"/>
      <c r="AD404" s="111"/>
    </row>
    <row r="405" spans="6:29" ht="12.75" customHeight="1"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3"/>
      <c r="R405" s="82"/>
      <c r="S405" s="82"/>
      <c r="T405" s="82"/>
      <c r="U405" s="82"/>
      <c r="V405" s="83"/>
      <c r="W405" s="82"/>
      <c r="X405" s="82"/>
      <c r="Y405" s="82"/>
      <c r="Z405" s="82"/>
      <c r="AA405"/>
      <c r="AB405" s="83"/>
      <c r="AC405" s="83"/>
    </row>
    <row r="406" spans="1:30" s="107" customFormat="1" ht="12.75" customHeight="1" thickBot="1">
      <c r="A406" s="106"/>
      <c r="B406" s="111" t="s">
        <v>79</v>
      </c>
      <c r="C406" s="93"/>
      <c r="D406" s="112"/>
      <c r="E406" s="82"/>
      <c r="F406" s="126">
        <f aca="true" t="shared" si="144" ref="F406:P406">SUM(F402:F405)</f>
        <v>42500</v>
      </c>
      <c r="G406" s="126">
        <f t="shared" si="144"/>
        <v>19550</v>
      </c>
      <c r="H406" s="126">
        <f t="shared" si="144"/>
        <v>62050</v>
      </c>
      <c r="I406" s="126">
        <f t="shared" si="144"/>
        <v>0</v>
      </c>
      <c r="J406" s="126">
        <f t="shared" si="144"/>
        <v>2500</v>
      </c>
      <c r="K406" s="126">
        <f t="shared" si="144"/>
        <v>5500</v>
      </c>
      <c r="L406" s="126">
        <f t="shared" si="144"/>
        <v>3329750</v>
      </c>
      <c r="M406" s="126">
        <f t="shared" si="144"/>
        <v>3399800</v>
      </c>
      <c r="N406" s="126">
        <f t="shared" si="144"/>
        <v>1207431.8012499998</v>
      </c>
      <c r="O406" s="126">
        <f t="shared" si="144"/>
        <v>0</v>
      </c>
      <c r="P406" s="126">
        <f t="shared" si="144"/>
        <v>2192368.1987500004</v>
      </c>
      <c r="Q406" s="83"/>
      <c r="R406" s="126">
        <f>SUM(R402:R405)</f>
        <v>0</v>
      </c>
      <c r="S406" s="126">
        <f>SUM(S402:S405)</f>
        <v>0</v>
      </c>
      <c r="T406" s="126">
        <f>SUM(T402:T405)</f>
        <v>0</v>
      </c>
      <c r="U406" s="126">
        <f>SUM(U402:U405)</f>
        <v>0</v>
      </c>
      <c r="V406" s="83"/>
      <c r="W406" s="126">
        <f>SUM(W402:W405)</f>
        <v>0</v>
      </c>
      <c r="X406" s="126">
        <f>SUM(X402:X405)</f>
        <v>0</v>
      </c>
      <c r="Y406" s="126">
        <f>SUM(Y402:Y405)</f>
        <v>0</v>
      </c>
      <c r="Z406" s="126">
        <f>SUM(Z402:Z405)</f>
        <v>0</v>
      </c>
      <c r="AA406"/>
      <c r="AB406" s="83"/>
      <c r="AC406" s="83"/>
      <c r="AD406" s="111"/>
    </row>
    <row r="407" spans="1:30" s="86" customFormat="1" ht="12.75" customHeight="1" thickTop="1">
      <c r="A407" s="117"/>
      <c r="B407" s="120"/>
      <c r="C407" s="93"/>
      <c r="D407" s="11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3"/>
      <c r="R407" s="82"/>
      <c r="S407" s="82"/>
      <c r="T407" s="82"/>
      <c r="U407" s="82"/>
      <c r="V407" s="83"/>
      <c r="W407" s="82"/>
      <c r="X407" s="82"/>
      <c r="Y407" s="82"/>
      <c r="Z407" s="82"/>
      <c r="AA407"/>
      <c r="AB407" s="83"/>
      <c r="AC407" s="83"/>
      <c r="AD407" s="83"/>
    </row>
    <row r="408" spans="1:30" s="86" customFormat="1" ht="12.75" customHeight="1">
      <c r="A408" s="106"/>
      <c r="B408" s="128" t="s">
        <v>80</v>
      </c>
      <c r="C408" s="93"/>
      <c r="D408" s="11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3"/>
      <c r="R408" s="82"/>
      <c r="S408" s="82"/>
      <c r="T408" s="82"/>
      <c r="U408" s="82"/>
      <c r="V408" s="83"/>
      <c r="W408" s="82"/>
      <c r="X408" s="82"/>
      <c r="Y408" s="82"/>
      <c r="Z408" s="82"/>
      <c r="AA408"/>
      <c r="AB408" s="83"/>
      <c r="AC408" s="83"/>
      <c r="AD408" s="83"/>
    </row>
    <row r="409" spans="1:30" s="107" customFormat="1" ht="12.75" customHeight="1">
      <c r="A409" s="73"/>
      <c r="B409" s="129" t="str">
        <f>I4</f>
        <v>200-1010-12</v>
      </c>
      <c r="C409" s="93"/>
      <c r="D409" s="112"/>
      <c r="E409" s="82"/>
      <c r="F409" s="82">
        <f aca="true" t="shared" si="145" ref="F409:L409">F402</f>
        <v>42500</v>
      </c>
      <c r="G409" s="82">
        <f t="shared" si="145"/>
        <v>19550</v>
      </c>
      <c r="H409" s="82">
        <f t="shared" si="145"/>
        <v>62050</v>
      </c>
      <c r="I409" s="82">
        <f t="shared" si="145"/>
        <v>0</v>
      </c>
      <c r="J409" s="82">
        <f t="shared" si="145"/>
        <v>2500</v>
      </c>
      <c r="K409" s="82">
        <f t="shared" si="145"/>
        <v>5500</v>
      </c>
      <c r="L409" s="82">
        <f t="shared" si="145"/>
        <v>1700</v>
      </c>
      <c r="M409" s="82">
        <f>SUM(H409:L409)</f>
        <v>71750</v>
      </c>
      <c r="N409" s="82">
        <f>N402</f>
        <v>35875</v>
      </c>
      <c r="O409" s="82"/>
      <c r="P409" s="82">
        <f>M409-N409-O409</f>
        <v>35875</v>
      </c>
      <c r="Q409" s="83"/>
      <c r="R409" s="82"/>
      <c r="S409" s="82"/>
      <c r="T409" s="82"/>
      <c r="U409" s="82">
        <f>+R409-S409</f>
        <v>0</v>
      </c>
      <c r="V409" s="83"/>
      <c r="W409" s="82"/>
      <c r="X409" s="82"/>
      <c r="Y409" s="82"/>
      <c r="Z409" s="82">
        <f>+W409-X409</f>
        <v>0</v>
      </c>
      <c r="AA409"/>
      <c r="AB409" s="83"/>
      <c r="AC409" s="83"/>
      <c r="AD409" s="111"/>
    </row>
    <row r="410" spans="1:29" ht="12.75" customHeight="1">
      <c r="A410" s="73"/>
      <c r="B410" s="102" t="str">
        <f>K5</f>
        <v>340-1020-01</v>
      </c>
      <c r="F410" s="82">
        <f aca="true" t="shared" si="146" ref="F410:L410">F404</f>
        <v>0</v>
      </c>
      <c r="G410" s="82">
        <f t="shared" si="146"/>
        <v>0</v>
      </c>
      <c r="H410" s="82">
        <f t="shared" si="146"/>
        <v>0</v>
      </c>
      <c r="I410" s="82">
        <f t="shared" si="146"/>
        <v>0</v>
      </c>
      <c r="J410" s="82">
        <f t="shared" si="146"/>
        <v>0</v>
      </c>
      <c r="K410" s="82">
        <f t="shared" si="146"/>
        <v>0</v>
      </c>
      <c r="L410" s="82">
        <f t="shared" si="146"/>
        <v>3328050</v>
      </c>
      <c r="M410" s="90">
        <f>SUM(H410:L410)</f>
        <v>3328050</v>
      </c>
      <c r="N410" s="82">
        <f>M410*C1</f>
        <v>1171556.8012499998</v>
      </c>
      <c r="O410" s="82"/>
      <c r="P410" s="82">
        <f>M410-N410-O410</f>
        <v>2156493.1987500004</v>
      </c>
      <c r="Q410" s="83"/>
      <c r="R410" s="90"/>
      <c r="S410" s="82"/>
      <c r="T410" s="82"/>
      <c r="U410" s="82">
        <f>+R410-S410</f>
        <v>0</v>
      </c>
      <c r="V410" s="83"/>
      <c r="W410" s="90"/>
      <c r="X410" s="82"/>
      <c r="Y410" s="82"/>
      <c r="Z410" s="82">
        <f>+W410-X410</f>
        <v>0</v>
      </c>
      <c r="AA410"/>
      <c r="AB410" s="83"/>
      <c r="AC410" s="83"/>
    </row>
    <row r="411" spans="1:29" ht="12.75" customHeight="1" thickBot="1">
      <c r="A411" s="106"/>
      <c r="B411" s="111"/>
      <c r="F411" s="126">
        <f aca="true" t="shared" si="147" ref="F411:P411">SUM(F409:F410)</f>
        <v>42500</v>
      </c>
      <c r="G411" s="126">
        <f t="shared" si="147"/>
        <v>19550</v>
      </c>
      <c r="H411" s="126">
        <f t="shared" si="147"/>
        <v>62050</v>
      </c>
      <c r="I411" s="126">
        <f t="shared" si="147"/>
        <v>0</v>
      </c>
      <c r="J411" s="126">
        <f t="shared" si="147"/>
        <v>2500</v>
      </c>
      <c r="K411" s="126">
        <f t="shared" si="147"/>
        <v>5500</v>
      </c>
      <c r="L411" s="126">
        <f t="shared" si="147"/>
        <v>3329750</v>
      </c>
      <c r="M411" s="126">
        <f t="shared" si="147"/>
        <v>3399800</v>
      </c>
      <c r="N411" s="126">
        <f t="shared" si="147"/>
        <v>1207431.8012499998</v>
      </c>
      <c r="O411" s="126">
        <f t="shared" si="147"/>
        <v>0</v>
      </c>
      <c r="P411" s="126">
        <f t="shared" si="147"/>
        <v>2192368.1987500004</v>
      </c>
      <c r="Q411" s="130"/>
      <c r="R411" s="126">
        <f>SUM(R409:R410)</f>
        <v>0</v>
      </c>
      <c r="S411" s="126">
        <f>SUM(S409:S410)</f>
        <v>0</v>
      </c>
      <c r="T411" s="126">
        <f>SUM(T409:T410)</f>
        <v>0</v>
      </c>
      <c r="U411" s="126">
        <f>SUM(U409:U410)</f>
        <v>0</v>
      </c>
      <c r="V411" s="83"/>
      <c r="W411" s="126">
        <f>SUM(W409:W410)</f>
        <v>0</v>
      </c>
      <c r="X411" s="126">
        <f>SUM(X409:X410)</f>
        <v>0</v>
      </c>
      <c r="Y411" s="126">
        <f>SUM(Y409:Y410)</f>
        <v>0</v>
      </c>
      <c r="Z411" s="126">
        <f>SUM(Z409:Z410)</f>
        <v>0</v>
      </c>
      <c r="AA411"/>
      <c r="AB411" s="83"/>
      <c r="AC411" s="83"/>
    </row>
    <row r="412" spans="1:30" s="107" customFormat="1" ht="12.75" customHeight="1" thickTop="1">
      <c r="A412" s="106"/>
      <c r="B412" s="111"/>
      <c r="C412" s="93"/>
      <c r="D412" s="112"/>
      <c r="E412" s="82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83"/>
      <c r="R412" s="90"/>
      <c r="S412" s="90"/>
      <c r="T412" s="90"/>
      <c r="U412" s="90"/>
      <c r="V412" s="83"/>
      <c r="W412" s="90"/>
      <c r="X412" s="90"/>
      <c r="Y412" s="90"/>
      <c r="Z412" s="90"/>
      <c r="AA412"/>
      <c r="AB412" s="83"/>
      <c r="AC412" s="83"/>
      <c r="AD412" s="111"/>
    </row>
    <row r="413" spans="1:30" s="86" customFormat="1" ht="12.75" customHeight="1" thickBot="1">
      <c r="A413" s="117">
        <v>23</v>
      </c>
      <c r="B413" s="118" t="s">
        <v>168</v>
      </c>
      <c r="C413" s="93"/>
      <c r="D413" s="11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3"/>
      <c r="R413" s="82"/>
      <c r="S413" s="82"/>
      <c r="T413" s="82"/>
      <c r="U413" s="82"/>
      <c r="V413" s="83"/>
      <c r="W413" s="82"/>
      <c r="X413" s="82"/>
      <c r="Y413" s="82"/>
      <c r="Z413" s="82"/>
      <c r="AA413"/>
      <c r="AB413" s="83"/>
      <c r="AC413" s="83"/>
      <c r="AD413" s="83"/>
    </row>
    <row r="414" spans="1:30" s="86" customFormat="1" ht="12.75" customHeight="1">
      <c r="A414" s="106"/>
      <c r="B414" s="121" t="s">
        <v>77</v>
      </c>
      <c r="C414" s="93"/>
      <c r="D414" s="109" t="s">
        <v>71</v>
      </c>
      <c r="E414" s="97" t="s">
        <v>72</v>
      </c>
      <c r="F414" s="97" t="s">
        <v>72</v>
      </c>
      <c r="G414" s="97" t="s">
        <v>73</v>
      </c>
      <c r="H414" s="97" t="s">
        <v>1</v>
      </c>
      <c r="I414" s="97" t="s">
        <v>74</v>
      </c>
      <c r="J414" s="97" t="s">
        <v>66</v>
      </c>
      <c r="K414" s="97" t="s">
        <v>59</v>
      </c>
      <c r="L414" s="97" t="s">
        <v>18</v>
      </c>
      <c r="M414" s="97" t="s">
        <v>1</v>
      </c>
      <c r="N414" s="97" t="s">
        <v>7</v>
      </c>
      <c r="O414" s="97" t="s">
        <v>75</v>
      </c>
      <c r="P414" s="97" t="s">
        <v>76</v>
      </c>
      <c r="Q414" s="108"/>
      <c r="R414" s="97" t="s">
        <v>1</v>
      </c>
      <c r="S414" s="97" t="s">
        <v>7</v>
      </c>
      <c r="T414" s="97" t="s">
        <v>75</v>
      </c>
      <c r="U414" s="97" t="s">
        <v>76</v>
      </c>
      <c r="V414" s="83"/>
      <c r="W414" s="97" t="s">
        <v>1</v>
      </c>
      <c r="X414" s="97" t="s">
        <v>7</v>
      </c>
      <c r="Y414" s="97" t="s">
        <v>75</v>
      </c>
      <c r="Z414" s="97" t="s">
        <v>76</v>
      </c>
      <c r="AA414"/>
      <c r="AB414" s="83"/>
      <c r="AC414" s="83"/>
      <c r="AD414" s="83"/>
    </row>
    <row r="415" spans="1:30" s="107" customFormat="1" ht="12.75" customHeight="1">
      <c r="A415" s="156"/>
      <c r="B415" s="157"/>
      <c r="C415" s="93"/>
      <c r="D415" s="112"/>
      <c r="E415" s="82"/>
      <c r="F415" s="82">
        <f>+E415*D415</f>
        <v>0</v>
      </c>
      <c r="G415" s="82">
        <f>+F415*$C$4</f>
        <v>0</v>
      </c>
      <c r="H415" s="82">
        <f>+G415+F415</f>
        <v>0</v>
      </c>
      <c r="I415" s="82"/>
      <c r="J415" s="82">
        <f>+$C$7*D415</f>
        <v>0</v>
      </c>
      <c r="K415" s="82">
        <f>$C$5*D415</f>
        <v>0</v>
      </c>
      <c r="L415" s="82">
        <f>+$C$6*D415</f>
        <v>0</v>
      </c>
      <c r="M415" s="82">
        <f>SUM(H415:L415)</f>
        <v>0</v>
      </c>
      <c r="N415" s="82">
        <f>+M415*$C$2</f>
        <v>0</v>
      </c>
      <c r="O415" s="82"/>
      <c r="P415" s="82">
        <f>+M415-N415-O415</f>
        <v>0</v>
      </c>
      <c r="Q415" s="83"/>
      <c r="R415" s="82"/>
      <c r="S415" s="82"/>
      <c r="T415" s="82"/>
      <c r="U415" s="82">
        <f>+R415-S415-T415</f>
        <v>0</v>
      </c>
      <c r="V415" s="83"/>
      <c r="W415" s="82"/>
      <c r="X415" s="82"/>
      <c r="Y415" s="82"/>
      <c r="Z415" s="82">
        <f>+W415-X415-Y415</f>
        <v>0</v>
      </c>
      <c r="AA415"/>
      <c r="AB415" s="83"/>
      <c r="AC415" s="83"/>
      <c r="AD415" s="111"/>
    </row>
    <row r="416" spans="1:29" ht="12.75" customHeight="1" thickBot="1">
      <c r="A416" s="141">
        <v>701</v>
      </c>
      <c r="B416" s="83" t="s">
        <v>169</v>
      </c>
      <c r="C416" s="93">
        <v>1602</v>
      </c>
      <c r="D416" s="112">
        <v>1</v>
      </c>
      <c r="E416" s="82">
        <v>72550</v>
      </c>
      <c r="F416" s="123">
        <f>+E416*D416</f>
        <v>72550</v>
      </c>
      <c r="G416" s="123">
        <f>+F416*$C$4</f>
        <v>33373</v>
      </c>
      <c r="H416" s="123">
        <f>+G416+F416</f>
        <v>105923</v>
      </c>
      <c r="I416" s="123"/>
      <c r="J416" s="123">
        <f>+$C$7*D416</f>
        <v>2500</v>
      </c>
      <c r="K416" s="123">
        <f>$C$5*D416</f>
        <v>5500</v>
      </c>
      <c r="L416" s="123">
        <f>+$C$6*D416</f>
        <v>1700</v>
      </c>
      <c r="M416" s="123">
        <f>SUM(H416:L416)</f>
        <v>115623</v>
      </c>
      <c r="N416" s="123">
        <f>+M416*$C$2</f>
        <v>57811.5</v>
      </c>
      <c r="O416" s="123"/>
      <c r="P416" s="123">
        <f>+M416-N416-O416</f>
        <v>57811.5</v>
      </c>
      <c r="Q416" s="83"/>
      <c r="R416" s="145">
        <v>140300</v>
      </c>
      <c r="S416" s="123">
        <f>R416*$S$2</f>
        <v>70150</v>
      </c>
      <c r="T416" s="123"/>
      <c r="U416" s="123">
        <f>R416-S416-T416</f>
        <v>70150</v>
      </c>
      <c r="V416" s="83"/>
      <c r="W416" s="145">
        <v>145100</v>
      </c>
      <c r="X416" s="123">
        <f>W416*$X$2</f>
        <v>72550</v>
      </c>
      <c r="Y416" s="123"/>
      <c r="Z416" s="123">
        <f>W416-X416-Y416</f>
        <v>72550</v>
      </c>
      <c r="AA416"/>
      <c r="AB416" s="83"/>
      <c r="AC416" s="83"/>
    </row>
    <row r="417" spans="1:30" s="86" customFormat="1" ht="12.75" customHeight="1">
      <c r="A417" s="73"/>
      <c r="B417" s="83"/>
      <c r="C417" s="93"/>
      <c r="D417" s="112"/>
      <c r="E417" s="82"/>
      <c r="F417" s="82">
        <f aca="true" t="shared" si="148" ref="F417:P417">SUM(F415:F416)</f>
        <v>72550</v>
      </c>
      <c r="G417" s="82">
        <f t="shared" si="148"/>
        <v>33373</v>
      </c>
      <c r="H417" s="82">
        <f t="shared" si="148"/>
        <v>105923</v>
      </c>
      <c r="I417" s="82">
        <f t="shared" si="148"/>
        <v>0</v>
      </c>
      <c r="J417" s="82">
        <f t="shared" si="148"/>
        <v>2500</v>
      </c>
      <c r="K417" s="82">
        <f t="shared" si="148"/>
        <v>5500</v>
      </c>
      <c r="L417" s="82">
        <f t="shared" si="148"/>
        <v>1700</v>
      </c>
      <c r="M417" s="82">
        <f t="shared" si="148"/>
        <v>115623</v>
      </c>
      <c r="N417" s="82">
        <f t="shared" si="148"/>
        <v>57811.5</v>
      </c>
      <c r="O417" s="82">
        <f t="shared" si="148"/>
        <v>0</v>
      </c>
      <c r="P417" s="82">
        <f t="shared" si="148"/>
        <v>57811.5</v>
      </c>
      <c r="Q417" s="83"/>
      <c r="R417" s="82">
        <f>SUM(R415:R416)</f>
        <v>140300</v>
      </c>
      <c r="S417" s="82">
        <f>SUM(S415:S416)</f>
        <v>70150</v>
      </c>
      <c r="T417" s="82">
        <f>SUM(T415:T416)</f>
        <v>0</v>
      </c>
      <c r="U417" s="82">
        <f>SUM(U415:U416)</f>
        <v>70150</v>
      </c>
      <c r="V417" s="83"/>
      <c r="W417" s="82">
        <f>SUM(W415:W416)</f>
        <v>145100</v>
      </c>
      <c r="X417" s="82">
        <f>SUM(X415:X416)</f>
        <v>72550</v>
      </c>
      <c r="Y417" s="82">
        <f>SUM(Y415:Y416)</f>
        <v>0</v>
      </c>
      <c r="Z417" s="82">
        <f>SUM(Z415:Z416)</f>
        <v>72550</v>
      </c>
      <c r="AA417"/>
      <c r="AB417" s="83"/>
      <c r="AC417" s="83"/>
      <c r="AD417" s="83"/>
    </row>
    <row r="418" spans="6:29" ht="12.75" customHeight="1"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3"/>
      <c r="R418" s="82"/>
      <c r="S418" s="82"/>
      <c r="T418" s="82"/>
      <c r="U418" s="82"/>
      <c r="V418" s="83"/>
      <c r="W418" s="82"/>
      <c r="X418" s="82"/>
      <c r="Y418" s="82"/>
      <c r="Z418" s="82"/>
      <c r="AA418"/>
      <c r="AB418" s="83"/>
      <c r="AC418" s="83"/>
    </row>
    <row r="419" spans="6:29" ht="12.75" customHeight="1"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3"/>
      <c r="R419" s="82"/>
      <c r="S419" s="82"/>
      <c r="T419" s="82"/>
      <c r="U419" s="82"/>
      <c r="V419" s="83"/>
      <c r="W419" s="82"/>
      <c r="X419" s="82"/>
      <c r="Y419" s="82"/>
      <c r="Z419" s="82"/>
      <c r="AA419"/>
      <c r="AB419" s="83"/>
      <c r="AC419" s="83"/>
    </row>
    <row r="420" spans="1:30" s="107" customFormat="1" ht="12.75" customHeight="1" thickBot="1">
      <c r="A420" s="106"/>
      <c r="B420" s="111" t="s">
        <v>79</v>
      </c>
      <c r="C420" s="93"/>
      <c r="D420" s="112"/>
      <c r="E420" s="82"/>
      <c r="F420" s="126">
        <f aca="true" t="shared" si="149" ref="F420:N420">SUM(F417:F419)</f>
        <v>72550</v>
      </c>
      <c r="G420" s="126">
        <f t="shared" si="149"/>
        <v>33373</v>
      </c>
      <c r="H420" s="126">
        <f t="shared" si="149"/>
        <v>105923</v>
      </c>
      <c r="I420" s="126">
        <f t="shared" si="149"/>
        <v>0</v>
      </c>
      <c r="J420" s="126">
        <f t="shared" si="149"/>
        <v>2500</v>
      </c>
      <c r="K420" s="126">
        <f t="shared" si="149"/>
        <v>5500</v>
      </c>
      <c r="L420" s="126">
        <f t="shared" si="149"/>
        <v>1700</v>
      </c>
      <c r="M420" s="126">
        <f t="shared" si="149"/>
        <v>115623</v>
      </c>
      <c r="N420" s="126">
        <f t="shared" si="149"/>
        <v>57811.5</v>
      </c>
      <c r="O420" s="126"/>
      <c r="P420" s="126">
        <f>SUM(P417:P419)</f>
        <v>57811.5</v>
      </c>
      <c r="Q420" s="83"/>
      <c r="R420" s="126">
        <f>SUM(R417:R419)</f>
        <v>140300</v>
      </c>
      <c r="S420" s="126">
        <f>SUM(S417:S419)</f>
        <v>70150</v>
      </c>
      <c r="T420" s="126"/>
      <c r="U420" s="126">
        <f>SUM(U417:U419)</f>
        <v>70150</v>
      </c>
      <c r="V420" s="83"/>
      <c r="W420" s="126">
        <f>SUM(W417:W419)</f>
        <v>145100</v>
      </c>
      <c r="X420" s="126">
        <f>SUM(X417:X419)</f>
        <v>72550</v>
      </c>
      <c r="Y420" s="126"/>
      <c r="Z420" s="126">
        <f>SUM(Z417:Z419)</f>
        <v>72550</v>
      </c>
      <c r="AA420"/>
      <c r="AB420" s="83"/>
      <c r="AC420" s="83"/>
      <c r="AD420" s="111"/>
    </row>
    <row r="421" spans="1:30" s="86" customFormat="1" ht="12.75" customHeight="1" thickTop="1">
      <c r="A421" s="117"/>
      <c r="B421" s="120"/>
      <c r="C421" s="93"/>
      <c r="D421" s="11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3"/>
      <c r="R421" s="82"/>
      <c r="S421" s="82"/>
      <c r="T421" s="82"/>
      <c r="U421" s="82"/>
      <c r="V421" s="83"/>
      <c r="W421" s="82"/>
      <c r="X421" s="82"/>
      <c r="Y421" s="82"/>
      <c r="Z421" s="82"/>
      <c r="AA421"/>
      <c r="AB421" s="83"/>
      <c r="AC421" s="83"/>
      <c r="AD421" s="83"/>
    </row>
    <row r="422" spans="1:30" s="86" customFormat="1" ht="12.75" customHeight="1">
      <c r="A422" s="106"/>
      <c r="B422" s="128" t="s">
        <v>80</v>
      </c>
      <c r="C422" s="93"/>
      <c r="D422" s="11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3"/>
      <c r="R422" s="82"/>
      <c r="S422" s="90">
        <f>R422*$S$2</f>
        <v>0</v>
      </c>
      <c r="T422" s="90"/>
      <c r="U422" s="90">
        <f>R422-S422-T422</f>
        <v>0</v>
      </c>
      <c r="V422" s="83"/>
      <c r="W422" s="82"/>
      <c r="X422" s="82"/>
      <c r="Y422" s="82"/>
      <c r="Z422" s="82"/>
      <c r="AA422"/>
      <c r="AB422" s="83"/>
      <c r="AC422" s="83"/>
      <c r="AD422" s="83"/>
    </row>
    <row r="423" spans="1:30" s="107" customFormat="1" ht="12.75" customHeight="1">
      <c r="A423" s="73"/>
      <c r="B423" s="102" t="str">
        <f>I1</f>
        <v>200-1010-07</v>
      </c>
      <c r="C423" s="93"/>
      <c r="D423" s="112"/>
      <c r="E423" s="82"/>
      <c r="F423" s="82">
        <f>F420</f>
        <v>72550</v>
      </c>
      <c r="G423" s="82">
        <f>G420</f>
        <v>33373</v>
      </c>
      <c r="H423" s="90">
        <f>+G423+F423</f>
        <v>105923</v>
      </c>
      <c r="I423" s="82">
        <f>I420</f>
        <v>0</v>
      </c>
      <c r="J423" s="82">
        <f>J420</f>
        <v>2500</v>
      </c>
      <c r="K423" s="82">
        <f>K420</f>
        <v>5500</v>
      </c>
      <c r="L423" s="82">
        <f>L420</f>
        <v>1700</v>
      </c>
      <c r="M423" s="90">
        <f>SUM(H423:L423)</f>
        <v>115623</v>
      </c>
      <c r="N423" s="82">
        <f>+M423*0.5</f>
        <v>57811.5</v>
      </c>
      <c r="O423" s="82"/>
      <c r="P423" s="82">
        <f>+M423-N423-O423</f>
        <v>57811.5</v>
      </c>
      <c r="Q423" s="83"/>
      <c r="R423" s="90"/>
      <c r="S423" s="82"/>
      <c r="T423" s="82"/>
      <c r="U423" s="82">
        <f>+R423-S423</f>
        <v>0</v>
      </c>
      <c r="V423" s="83"/>
      <c r="W423" s="90"/>
      <c r="X423" s="82"/>
      <c r="Y423" s="82"/>
      <c r="Z423" s="82">
        <f>+W423-X423</f>
        <v>0</v>
      </c>
      <c r="AA423"/>
      <c r="AB423" s="83"/>
      <c r="AC423" s="83"/>
      <c r="AD423" s="111"/>
    </row>
    <row r="424" spans="1:30" s="107" customFormat="1" ht="12.75" customHeight="1" thickBot="1">
      <c r="A424" s="106"/>
      <c r="B424" s="83"/>
      <c r="C424" s="93"/>
      <c r="D424" s="112"/>
      <c r="E424" s="82"/>
      <c r="F424" s="126">
        <f aca="true" t="shared" si="150" ref="F424:P424">SUM(F423:F423)</f>
        <v>72550</v>
      </c>
      <c r="G424" s="126">
        <f t="shared" si="150"/>
        <v>33373</v>
      </c>
      <c r="H424" s="126">
        <f t="shared" si="150"/>
        <v>105923</v>
      </c>
      <c r="I424" s="126">
        <f t="shared" si="150"/>
        <v>0</v>
      </c>
      <c r="J424" s="126">
        <f t="shared" si="150"/>
        <v>2500</v>
      </c>
      <c r="K424" s="126">
        <f t="shared" si="150"/>
        <v>5500</v>
      </c>
      <c r="L424" s="126">
        <f t="shared" si="150"/>
        <v>1700</v>
      </c>
      <c r="M424" s="126">
        <f t="shared" si="150"/>
        <v>115623</v>
      </c>
      <c r="N424" s="126">
        <f t="shared" si="150"/>
        <v>57811.5</v>
      </c>
      <c r="O424" s="126">
        <f t="shared" si="150"/>
        <v>0</v>
      </c>
      <c r="P424" s="126">
        <f t="shared" si="150"/>
        <v>57811.5</v>
      </c>
      <c r="Q424" s="83"/>
      <c r="R424" s="126">
        <f>SUM(R423:R423)</f>
        <v>0</v>
      </c>
      <c r="S424" s="126">
        <f>SUM(S423:S423)</f>
        <v>0</v>
      </c>
      <c r="T424" s="126">
        <f>SUM(T423:T423)</f>
        <v>0</v>
      </c>
      <c r="U424" s="126">
        <f>SUM(U423:U423)</f>
        <v>0</v>
      </c>
      <c r="V424" s="83"/>
      <c r="W424" s="126">
        <f>SUM(W423:W423)</f>
        <v>0</v>
      </c>
      <c r="X424" s="126">
        <f>SUM(X423:X423)</f>
        <v>0</v>
      </c>
      <c r="Y424" s="126">
        <f>SUM(Y423:Y423)</f>
        <v>0</v>
      </c>
      <c r="Z424" s="126">
        <f>SUM(Z423:Z423)</f>
        <v>0</v>
      </c>
      <c r="AA424"/>
      <c r="AB424" s="83"/>
      <c r="AC424" s="83"/>
      <c r="AD424" s="111"/>
    </row>
    <row r="425" spans="1:29" ht="12.75" customHeight="1" thickTop="1">
      <c r="A425" s="106"/>
      <c r="B425" s="83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83"/>
      <c r="R425" s="90"/>
      <c r="S425" s="90"/>
      <c r="T425" s="90"/>
      <c r="U425" s="90"/>
      <c r="V425" s="83"/>
      <c r="W425" s="90"/>
      <c r="X425" s="90"/>
      <c r="Y425" s="90"/>
      <c r="Z425" s="90"/>
      <c r="AA425"/>
      <c r="AB425" s="83"/>
      <c r="AC425" s="83"/>
    </row>
    <row r="426" spans="1:29" ht="12.75" customHeight="1" thickBot="1">
      <c r="A426" s="117">
        <v>24</v>
      </c>
      <c r="B426" s="118" t="s">
        <v>170</v>
      </c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3"/>
      <c r="R426" s="82"/>
      <c r="S426" s="82"/>
      <c r="T426" s="82"/>
      <c r="U426" s="82"/>
      <c r="V426" s="83"/>
      <c r="W426" s="82"/>
      <c r="X426" s="82"/>
      <c r="Y426" s="82"/>
      <c r="Z426" s="82"/>
      <c r="AA426"/>
      <c r="AB426" s="83"/>
      <c r="AC426" s="83"/>
    </row>
    <row r="427" spans="1:30" s="107" customFormat="1" ht="12.75" customHeight="1">
      <c r="A427" s="106"/>
      <c r="B427" s="121" t="s">
        <v>77</v>
      </c>
      <c r="C427" s="93"/>
      <c r="D427" s="109" t="s">
        <v>71</v>
      </c>
      <c r="E427" s="97" t="s">
        <v>72</v>
      </c>
      <c r="F427" s="97" t="s">
        <v>72</v>
      </c>
      <c r="G427" s="97" t="s">
        <v>73</v>
      </c>
      <c r="H427" s="97" t="s">
        <v>1</v>
      </c>
      <c r="I427" s="97" t="s">
        <v>74</v>
      </c>
      <c r="J427" s="97" t="s">
        <v>66</v>
      </c>
      <c r="K427" s="97" t="s">
        <v>59</v>
      </c>
      <c r="L427" s="97" t="s">
        <v>18</v>
      </c>
      <c r="M427" s="97" t="s">
        <v>1</v>
      </c>
      <c r="N427" s="97" t="s">
        <v>7</v>
      </c>
      <c r="O427" s="97" t="s">
        <v>75</v>
      </c>
      <c r="P427" s="97" t="s">
        <v>76</v>
      </c>
      <c r="Q427" s="108"/>
      <c r="R427" s="97" t="s">
        <v>1</v>
      </c>
      <c r="S427" s="97" t="s">
        <v>7</v>
      </c>
      <c r="T427" s="97" t="s">
        <v>75</v>
      </c>
      <c r="U427" s="97" t="s">
        <v>76</v>
      </c>
      <c r="V427" s="83"/>
      <c r="W427" s="97" t="s">
        <v>1</v>
      </c>
      <c r="X427" s="97" t="s">
        <v>7</v>
      </c>
      <c r="Y427" s="97" t="s">
        <v>75</v>
      </c>
      <c r="Z427" s="97" t="s">
        <v>76</v>
      </c>
      <c r="AA427"/>
      <c r="AB427" s="83"/>
      <c r="AC427" s="83"/>
      <c r="AD427" s="111"/>
    </row>
    <row r="428" spans="1:30" s="86" customFormat="1" ht="12.75" customHeight="1">
      <c r="A428" s="156"/>
      <c r="B428" s="102"/>
      <c r="C428" s="93"/>
      <c r="D428" s="112"/>
      <c r="E428" s="82"/>
      <c r="F428" s="82">
        <f>+E428*D428</f>
        <v>0</v>
      </c>
      <c r="G428" s="82">
        <f>+F428*$C$4</f>
        <v>0</v>
      </c>
      <c r="H428" s="82">
        <f>+G428+F428</f>
        <v>0</v>
      </c>
      <c r="I428" s="82"/>
      <c r="J428" s="82">
        <f>+$C$7*D428</f>
        <v>0</v>
      </c>
      <c r="K428" s="82">
        <f>$C$5*D428</f>
        <v>0</v>
      </c>
      <c r="L428" s="82">
        <f>+$C$6*D428</f>
        <v>0</v>
      </c>
      <c r="M428" s="82">
        <f>SUM(H428:L428)</f>
        <v>0</v>
      </c>
      <c r="N428" s="82">
        <f>+M428*$C$2</f>
        <v>0</v>
      </c>
      <c r="O428" s="82"/>
      <c r="P428" s="82">
        <f>+M428-N428-O428</f>
        <v>0</v>
      </c>
      <c r="Q428" s="83"/>
      <c r="R428" s="90"/>
      <c r="S428" s="90"/>
      <c r="T428" s="90"/>
      <c r="U428" s="90">
        <f>R428-S428-T428</f>
        <v>0</v>
      </c>
      <c r="V428" s="83"/>
      <c r="W428" s="90"/>
      <c r="X428" s="90"/>
      <c r="Y428" s="90"/>
      <c r="Z428" s="90">
        <f>W428-X428-Y428</f>
        <v>0</v>
      </c>
      <c r="AA428"/>
      <c r="AB428" s="83"/>
      <c r="AC428" s="83"/>
      <c r="AD428" s="83"/>
    </row>
    <row r="429" spans="1:30" s="86" customFormat="1" ht="12.75" customHeight="1" thickBot="1">
      <c r="A429" s="141">
        <v>514</v>
      </c>
      <c r="B429" s="83" t="s">
        <v>171</v>
      </c>
      <c r="C429" s="93">
        <v>2000</v>
      </c>
      <c r="D429" s="112">
        <v>1</v>
      </c>
      <c r="E429" s="159">
        <v>142350</v>
      </c>
      <c r="F429" s="123">
        <f>+E429*D429</f>
        <v>142350</v>
      </c>
      <c r="G429" s="123">
        <f>+F429*$C$4</f>
        <v>65481</v>
      </c>
      <c r="H429" s="123">
        <f>+G429+F429</f>
        <v>207831</v>
      </c>
      <c r="I429" s="123"/>
      <c r="J429" s="123">
        <f>+$C$7*D429</f>
        <v>2500</v>
      </c>
      <c r="K429" s="123">
        <f>$C$5*D429</f>
        <v>5500</v>
      </c>
      <c r="L429" s="123">
        <f>+$C$6*D429</f>
        <v>1700</v>
      </c>
      <c r="M429" s="123">
        <f>SUM(H429:L429)</f>
        <v>217531</v>
      </c>
      <c r="N429" s="123">
        <f>+M429*$C$2</f>
        <v>108765.5</v>
      </c>
      <c r="O429" s="123"/>
      <c r="P429" s="123">
        <f>+M429-N429-O429</f>
        <v>108765.5</v>
      </c>
      <c r="Q429" s="138"/>
      <c r="R429" s="123"/>
      <c r="S429" s="123">
        <f>R429*$S$2</f>
        <v>0</v>
      </c>
      <c r="T429" s="123"/>
      <c r="U429" s="123">
        <f>R429-S429-T429</f>
        <v>0</v>
      </c>
      <c r="V429" s="83"/>
      <c r="W429" s="123"/>
      <c r="X429" s="123">
        <f>W429*$X$2</f>
        <v>0</v>
      </c>
      <c r="Y429" s="123"/>
      <c r="Z429" s="123">
        <f>W429-X429-Y429</f>
        <v>0</v>
      </c>
      <c r="AA429"/>
      <c r="AB429" s="83"/>
      <c r="AC429" s="83"/>
      <c r="AD429" s="83"/>
    </row>
    <row r="430" spans="1:29" ht="12.75" customHeight="1">
      <c r="A430" s="73"/>
      <c r="B430" s="83"/>
      <c r="F430" s="82">
        <f aca="true" t="shared" si="151" ref="F430:P430">SUM(F428:F429)</f>
        <v>142350</v>
      </c>
      <c r="G430" s="82">
        <f t="shared" si="151"/>
        <v>65481</v>
      </c>
      <c r="H430" s="82">
        <f t="shared" si="151"/>
        <v>207831</v>
      </c>
      <c r="I430" s="82">
        <f t="shared" si="151"/>
        <v>0</v>
      </c>
      <c r="J430" s="82">
        <f t="shared" si="151"/>
        <v>2500</v>
      </c>
      <c r="K430" s="82">
        <f t="shared" si="151"/>
        <v>5500</v>
      </c>
      <c r="L430" s="82">
        <f t="shared" si="151"/>
        <v>1700</v>
      </c>
      <c r="M430" s="82">
        <f t="shared" si="151"/>
        <v>217531</v>
      </c>
      <c r="N430" s="82">
        <f t="shared" si="151"/>
        <v>108765.5</v>
      </c>
      <c r="O430" s="82">
        <f t="shared" si="151"/>
        <v>0</v>
      </c>
      <c r="P430" s="82">
        <f t="shared" si="151"/>
        <v>108765.5</v>
      </c>
      <c r="Q430" s="83"/>
      <c r="R430" s="82">
        <f>SUM(R428:R429)</f>
        <v>0</v>
      </c>
      <c r="S430" s="82">
        <f>SUM(S428:S429)</f>
        <v>0</v>
      </c>
      <c r="T430" s="82">
        <f>SUM(T428:T429)</f>
        <v>0</v>
      </c>
      <c r="U430" s="82">
        <f>SUM(U428:U429)</f>
        <v>0</v>
      </c>
      <c r="V430" s="83"/>
      <c r="W430" s="82">
        <f>SUM(W428:W429)</f>
        <v>0</v>
      </c>
      <c r="X430" s="82">
        <f>SUM(X428:X429)</f>
        <v>0</v>
      </c>
      <c r="Y430" s="82">
        <f>SUM(Y428:Y429)</f>
        <v>0</v>
      </c>
      <c r="Z430" s="82">
        <f>SUM(Z428:Z429)</f>
        <v>0</v>
      </c>
      <c r="AA430"/>
      <c r="AB430" s="83"/>
      <c r="AC430" s="83"/>
    </row>
    <row r="431" spans="6:29" ht="12.75" customHeight="1"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3"/>
      <c r="R431" s="82"/>
      <c r="S431" s="82"/>
      <c r="T431" s="82"/>
      <c r="U431" s="82"/>
      <c r="V431" s="83"/>
      <c r="W431" s="82"/>
      <c r="X431" s="82"/>
      <c r="Y431" s="82"/>
      <c r="Z431" s="82"/>
      <c r="AA431"/>
      <c r="AB431" s="83"/>
      <c r="AC431" s="83"/>
    </row>
    <row r="432" spans="6:29" ht="12.75" customHeight="1"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3"/>
      <c r="R432" s="82"/>
      <c r="S432" s="82"/>
      <c r="T432" s="82"/>
      <c r="U432" s="82"/>
      <c r="V432" s="83"/>
      <c r="W432" s="82"/>
      <c r="X432" s="82"/>
      <c r="Y432" s="82"/>
      <c r="Z432" s="82"/>
      <c r="AA432"/>
      <c r="AB432" s="83"/>
      <c r="AC432" s="83"/>
    </row>
    <row r="433" spans="1:30" s="107" customFormat="1" ht="12.75" customHeight="1" thickBot="1">
      <c r="A433" s="106"/>
      <c r="B433" s="111" t="s">
        <v>79</v>
      </c>
      <c r="C433" s="93"/>
      <c r="D433" s="112"/>
      <c r="E433" s="82"/>
      <c r="F433" s="126">
        <f aca="true" t="shared" si="152" ref="F433:N433">SUM(F430:F432)</f>
        <v>142350</v>
      </c>
      <c r="G433" s="126">
        <f t="shared" si="152"/>
        <v>65481</v>
      </c>
      <c r="H433" s="126">
        <f t="shared" si="152"/>
        <v>207831</v>
      </c>
      <c r="I433" s="126">
        <f t="shared" si="152"/>
        <v>0</v>
      </c>
      <c r="J433" s="126">
        <f t="shared" si="152"/>
        <v>2500</v>
      </c>
      <c r="K433" s="126">
        <f t="shared" si="152"/>
        <v>5500</v>
      </c>
      <c r="L433" s="126">
        <f t="shared" si="152"/>
        <v>1700</v>
      </c>
      <c r="M433" s="126">
        <f t="shared" si="152"/>
        <v>217531</v>
      </c>
      <c r="N433" s="126">
        <f t="shared" si="152"/>
        <v>108765.5</v>
      </c>
      <c r="O433" s="126"/>
      <c r="P433" s="126">
        <f>SUM(P430:P432)</f>
        <v>108765.5</v>
      </c>
      <c r="Q433" s="83"/>
      <c r="R433" s="126">
        <f>SUM(R430:R432)</f>
        <v>0</v>
      </c>
      <c r="S433" s="126">
        <f>SUM(S430:S432)</f>
        <v>0</v>
      </c>
      <c r="T433" s="126"/>
      <c r="U433" s="126">
        <f>SUM(U430:U432)</f>
        <v>0</v>
      </c>
      <c r="V433" s="83"/>
      <c r="W433" s="126">
        <f>SUM(W430:W432)</f>
        <v>0</v>
      </c>
      <c r="X433" s="126">
        <f>SUM(X430:X432)</f>
        <v>0</v>
      </c>
      <c r="Y433" s="126"/>
      <c r="Z433" s="126">
        <f>SUM(Z430:Z432)</f>
        <v>0</v>
      </c>
      <c r="AA433"/>
      <c r="AB433" s="83"/>
      <c r="AC433" s="83"/>
      <c r="AD433" s="111"/>
    </row>
    <row r="434" spans="6:29" ht="12.75" customHeight="1" thickTop="1"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3"/>
      <c r="R434" s="82"/>
      <c r="S434" s="82"/>
      <c r="T434" s="82"/>
      <c r="U434" s="82"/>
      <c r="V434" s="83"/>
      <c r="W434" s="82"/>
      <c r="X434" s="82"/>
      <c r="Y434" s="82"/>
      <c r="Z434" s="82"/>
      <c r="AA434"/>
      <c r="AB434" s="83"/>
      <c r="AC434" s="83"/>
    </row>
    <row r="435" spans="1:30" s="107" customFormat="1" ht="12.75" customHeight="1">
      <c r="A435" s="106"/>
      <c r="B435" s="128" t="s">
        <v>80</v>
      </c>
      <c r="C435" s="93"/>
      <c r="D435" s="11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3"/>
      <c r="R435" s="82"/>
      <c r="S435" s="82"/>
      <c r="T435" s="82"/>
      <c r="U435" s="82"/>
      <c r="V435" s="83"/>
      <c r="W435" s="82"/>
      <c r="X435" s="82"/>
      <c r="Y435" s="82"/>
      <c r="Z435" s="82"/>
      <c r="AA435"/>
      <c r="AB435" s="83"/>
      <c r="AC435" s="83"/>
      <c r="AD435" s="111"/>
    </row>
    <row r="436" spans="1:30" s="86" customFormat="1" ht="12.75" customHeight="1">
      <c r="A436" s="73"/>
      <c r="B436" s="83" t="str">
        <f>I4</f>
        <v>200-1010-12</v>
      </c>
      <c r="C436" s="93"/>
      <c r="D436" s="112"/>
      <c r="E436" s="82"/>
      <c r="F436" s="82">
        <f>F433</f>
        <v>142350</v>
      </c>
      <c r="G436" s="82">
        <f>G433</f>
        <v>65481</v>
      </c>
      <c r="H436" s="90">
        <f>+G436+F436</f>
        <v>207831</v>
      </c>
      <c r="I436" s="82">
        <f>I433</f>
        <v>0</v>
      </c>
      <c r="J436" s="82">
        <f>J433</f>
        <v>2500</v>
      </c>
      <c r="K436" s="82">
        <f>K433</f>
        <v>5500</v>
      </c>
      <c r="L436" s="82">
        <f>L433</f>
        <v>1700</v>
      </c>
      <c r="M436" s="90">
        <f>SUM(H436:L436)</f>
        <v>217531</v>
      </c>
      <c r="N436" s="82">
        <f>+M436*0.5</f>
        <v>108765.5</v>
      </c>
      <c r="O436" s="82"/>
      <c r="P436" s="82">
        <f>+M436-N436-O436</f>
        <v>108765.5</v>
      </c>
      <c r="Q436" s="83"/>
      <c r="R436" s="90"/>
      <c r="S436" s="90">
        <f>R436*$S$2</f>
        <v>0</v>
      </c>
      <c r="T436" s="90"/>
      <c r="U436" s="90">
        <f>R436-S436-T436</f>
        <v>0</v>
      </c>
      <c r="V436" s="83"/>
      <c r="W436" s="90"/>
      <c r="X436" s="82"/>
      <c r="Y436" s="82"/>
      <c r="Z436" s="82">
        <f>+W436-X436</f>
        <v>0</v>
      </c>
      <c r="AA436"/>
      <c r="AB436" s="83"/>
      <c r="AC436" s="83"/>
      <c r="AD436" s="83"/>
    </row>
    <row r="437" spans="1:30" s="86" customFormat="1" ht="12.75" customHeight="1" thickBot="1">
      <c r="A437" s="106"/>
      <c r="B437" s="83"/>
      <c r="C437" s="93"/>
      <c r="D437" s="112"/>
      <c r="E437" s="82"/>
      <c r="F437" s="126">
        <f aca="true" t="shared" si="153" ref="F437:P437">SUM(F436:F436)</f>
        <v>142350</v>
      </c>
      <c r="G437" s="126">
        <f t="shared" si="153"/>
        <v>65481</v>
      </c>
      <c r="H437" s="126">
        <f t="shared" si="153"/>
        <v>207831</v>
      </c>
      <c r="I437" s="126">
        <f t="shared" si="153"/>
        <v>0</v>
      </c>
      <c r="J437" s="126">
        <f t="shared" si="153"/>
        <v>2500</v>
      </c>
      <c r="K437" s="126">
        <f t="shared" si="153"/>
        <v>5500</v>
      </c>
      <c r="L437" s="126">
        <f t="shared" si="153"/>
        <v>1700</v>
      </c>
      <c r="M437" s="126">
        <f t="shared" si="153"/>
        <v>217531</v>
      </c>
      <c r="N437" s="126">
        <f t="shared" si="153"/>
        <v>108765.5</v>
      </c>
      <c r="O437" s="126">
        <f t="shared" si="153"/>
        <v>0</v>
      </c>
      <c r="P437" s="126">
        <f t="shared" si="153"/>
        <v>108765.5</v>
      </c>
      <c r="Q437" s="83"/>
      <c r="R437" s="126">
        <f>SUM(R436:R436)</f>
        <v>0</v>
      </c>
      <c r="S437" s="126">
        <f>SUM(S436:S436)</f>
        <v>0</v>
      </c>
      <c r="T437" s="126">
        <f>SUM(T436:T436)</f>
        <v>0</v>
      </c>
      <c r="U437" s="126">
        <f>SUM(U436:U436)</f>
        <v>0</v>
      </c>
      <c r="V437" s="83"/>
      <c r="W437" s="126">
        <f>SUM(W436:W436)</f>
        <v>0</v>
      </c>
      <c r="X437" s="126">
        <f>SUM(X436:X436)</f>
        <v>0</v>
      </c>
      <c r="Y437" s="126">
        <f>SUM(Y436:Y436)</f>
        <v>0</v>
      </c>
      <c r="Z437" s="126">
        <f>SUM(Z436:Z436)</f>
        <v>0</v>
      </c>
      <c r="AA437"/>
      <c r="AB437" s="83"/>
      <c r="AC437" s="83"/>
      <c r="AD437" s="83"/>
    </row>
    <row r="438" spans="1:30" s="107" customFormat="1" ht="12.75" customHeight="1" thickTop="1">
      <c r="A438" s="106"/>
      <c r="B438" s="83"/>
      <c r="C438" s="93"/>
      <c r="D438" s="112"/>
      <c r="E438" s="82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83"/>
      <c r="R438" s="90"/>
      <c r="S438" s="90"/>
      <c r="T438" s="90"/>
      <c r="U438" s="90"/>
      <c r="V438" s="83"/>
      <c r="W438" s="90"/>
      <c r="X438" s="90"/>
      <c r="Y438" s="90"/>
      <c r="Z438" s="90"/>
      <c r="AA438"/>
      <c r="AB438" s="83"/>
      <c r="AC438" s="83"/>
      <c r="AD438" s="111"/>
    </row>
    <row r="439" spans="1:29" ht="12.75" customHeight="1" thickBot="1">
      <c r="A439" s="117">
        <v>25</v>
      </c>
      <c r="B439" s="118" t="s">
        <v>172</v>
      </c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3"/>
      <c r="R439" s="82"/>
      <c r="S439" s="82"/>
      <c r="T439" s="82"/>
      <c r="U439" s="82"/>
      <c r="V439" s="83"/>
      <c r="W439" s="82"/>
      <c r="X439" s="82"/>
      <c r="Y439" s="82"/>
      <c r="Z439" s="82"/>
      <c r="AA439"/>
      <c r="AB439" s="83"/>
      <c r="AC439" s="83"/>
    </row>
    <row r="440" spans="1:29" ht="12.75" customHeight="1">
      <c r="A440" s="106"/>
      <c r="B440" s="121" t="s">
        <v>77</v>
      </c>
      <c r="D440" s="109" t="s">
        <v>71</v>
      </c>
      <c r="E440" s="97" t="s">
        <v>72</v>
      </c>
      <c r="F440" s="97" t="s">
        <v>72</v>
      </c>
      <c r="G440" s="97" t="s">
        <v>73</v>
      </c>
      <c r="H440" s="97" t="s">
        <v>1</v>
      </c>
      <c r="I440" s="97" t="s">
        <v>74</v>
      </c>
      <c r="J440" s="97" t="s">
        <v>66</v>
      </c>
      <c r="K440" s="97" t="s">
        <v>59</v>
      </c>
      <c r="L440" s="97" t="s">
        <v>18</v>
      </c>
      <c r="M440" s="97" t="s">
        <v>1</v>
      </c>
      <c r="N440" s="97" t="s">
        <v>7</v>
      </c>
      <c r="O440" s="97" t="s">
        <v>75</v>
      </c>
      <c r="P440" s="97" t="s">
        <v>76</v>
      </c>
      <c r="Q440" s="108"/>
      <c r="R440" s="97" t="s">
        <v>1</v>
      </c>
      <c r="S440" s="97" t="s">
        <v>7</v>
      </c>
      <c r="T440" s="97" t="s">
        <v>75</v>
      </c>
      <c r="U440" s="97" t="s">
        <v>76</v>
      </c>
      <c r="V440" s="83"/>
      <c r="W440" s="97" t="s">
        <v>1</v>
      </c>
      <c r="X440" s="97" t="s">
        <v>7</v>
      </c>
      <c r="Y440" s="97" t="s">
        <v>75</v>
      </c>
      <c r="Z440" s="97" t="s">
        <v>76</v>
      </c>
      <c r="AA440"/>
      <c r="AB440" s="83"/>
      <c r="AC440" s="83"/>
    </row>
    <row r="441" spans="1:29" ht="12.75" customHeight="1">
      <c r="A441" s="93">
        <v>522</v>
      </c>
      <c r="B441" s="102" t="s">
        <v>125</v>
      </c>
      <c r="C441" s="93">
        <v>7152</v>
      </c>
      <c r="D441" s="131">
        <v>2</v>
      </c>
      <c r="E441" s="94">
        <v>42650</v>
      </c>
      <c r="F441" s="82">
        <f aca="true" t="shared" si="154" ref="F441:F446">+E441*D441</f>
        <v>85300</v>
      </c>
      <c r="G441" s="82">
        <f aca="true" t="shared" si="155" ref="G441:G446">+F441*$C$4</f>
        <v>39238</v>
      </c>
      <c r="H441" s="82">
        <f aca="true" t="shared" si="156" ref="H441:H446">+G441+F441</f>
        <v>124538</v>
      </c>
      <c r="I441" s="82"/>
      <c r="J441" s="82">
        <f aca="true" t="shared" si="157" ref="J441:J446">+$C$7*D441</f>
        <v>5000</v>
      </c>
      <c r="K441" s="82">
        <f aca="true" t="shared" si="158" ref="K441:K446">$C$5*D441</f>
        <v>11000</v>
      </c>
      <c r="L441" s="82">
        <f aca="true" t="shared" si="159" ref="L441:L446">+$C$6*D441</f>
        <v>3400</v>
      </c>
      <c r="M441" s="82">
        <f aca="true" t="shared" si="160" ref="M441:M446">SUM(H441:L441)</f>
        <v>143938</v>
      </c>
      <c r="N441" s="82">
        <f aca="true" t="shared" si="161" ref="N441:N446">+M441*$C$2</f>
        <v>71969</v>
      </c>
      <c r="O441" s="82"/>
      <c r="P441" s="82">
        <f aca="true" t="shared" si="162" ref="P441:P446">+M441-N441-O441</f>
        <v>71969</v>
      </c>
      <c r="Q441" s="83"/>
      <c r="R441" s="142"/>
      <c r="S441" s="90">
        <f>R441*$S$2</f>
        <v>0</v>
      </c>
      <c r="T441" s="90"/>
      <c r="U441" s="90">
        <f aca="true" t="shared" si="163" ref="U441:U446">R441-S441-T441</f>
        <v>0</v>
      </c>
      <c r="V441" s="83"/>
      <c r="W441" s="142"/>
      <c r="X441" s="90">
        <f>W441*$X$2</f>
        <v>0</v>
      </c>
      <c r="Y441" s="90"/>
      <c r="Z441" s="90">
        <f aca="true" t="shared" si="164" ref="Z441:Z446">W441-X441-Y441</f>
        <v>0</v>
      </c>
      <c r="AA441"/>
      <c r="AB441" s="83"/>
      <c r="AC441" s="83"/>
    </row>
    <row r="442" spans="1:29" ht="12.75" customHeight="1">
      <c r="A442" s="93">
        <v>534</v>
      </c>
      <c r="B442" s="102" t="s">
        <v>173</v>
      </c>
      <c r="C442" s="93">
        <v>9307</v>
      </c>
      <c r="D442" s="131">
        <v>1</v>
      </c>
      <c r="E442" s="94">
        <v>47750</v>
      </c>
      <c r="F442" s="82">
        <f t="shared" si="154"/>
        <v>47750</v>
      </c>
      <c r="G442" s="82">
        <f t="shared" si="155"/>
        <v>21965</v>
      </c>
      <c r="H442" s="82">
        <f t="shared" si="156"/>
        <v>69715</v>
      </c>
      <c r="I442" s="82"/>
      <c r="J442" s="82">
        <f t="shared" si="157"/>
        <v>2500</v>
      </c>
      <c r="K442" s="82">
        <f t="shared" si="158"/>
        <v>5500</v>
      </c>
      <c r="L442" s="82">
        <f t="shared" si="159"/>
        <v>1700</v>
      </c>
      <c r="M442" s="82">
        <f t="shared" si="160"/>
        <v>79415</v>
      </c>
      <c r="N442" s="82">
        <f t="shared" si="161"/>
        <v>39707.5</v>
      </c>
      <c r="O442" s="82"/>
      <c r="P442" s="82">
        <f t="shared" si="162"/>
        <v>39707.5</v>
      </c>
      <c r="Q442" s="83"/>
      <c r="R442" s="142"/>
      <c r="S442" s="90">
        <f>R442*$S$2</f>
        <v>0</v>
      </c>
      <c r="T442" s="90"/>
      <c r="U442" s="90">
        <f t="shared" si="163"/>
        <v>0</v>
      </c>
      <c r="V442" s="83"/>
      <c r="W442" s="142"/>
      <c r="X442" s="90">
        <f>W442*$X$2</f>
        <v>0</v>
      </c>
      <c r="Y442" s="90"/>
      <c r="Z442" s="90">
        <f t="shared" si="164"/>
        <v>0</v>
      </c>
      <c r="AA442"/>
      <c r="AB442" s="83"/>
      <c r="AC442" s="83"/>
    </row>
    <row r="443" spans="1:29" ht="12.75" customHeight="1">
      <c r="A443" s="93">
        <v>542</v>
      </c>
      <c r="B443" s="102" t="s">
        <v>174</v>
      </c>
      <c r="C443" s="93">
        <v>7152</v>
      </c>
      <c r="D443" s="131">
        <v>1</v>
      </c>
      <c r="E443" s="94">
        <v>51250</v>
      </c>
      <c r="F443" s="82">
        <f t="shared" si="154"/>
        <v>51250</v>
      </c>
      <c r="G443" s="82">
        <f t="shared" si="155"/>
        <v>23575</v>
      </c>
      <c r="H443" s="82">
        <f t="shared" si="156"/>
        <v>74825</v>
      </c>
      <c r="I443" s="82"/>
      <c r="J443" s="82">
        <f t="shared" si="157"/>
        <v>2500</v>
      </c>
      <c r="K443" s="82">
        <f t="shared" si="158"/>
        <v>5500</v>
      </c>
      <c r="L443" s="82">
        <f t="shared" si="159"/>
        <v>1700</v>
      </c>
      <c r="M443" s="82">
        <f t="shared" si="160"/>
        <v>84525</v>
      </c>
      <c r="N443" s="82">
        <f t="shared" si="161"/>
        <v>42262.5</v>
      </c>
      <c r="O443" s="82"/>
      <c r="P443" s="82">
        <f t="shared" si="162"/>
        <v>42262.5</v>
      </c>
      <c r="Q443" s="83"/>
      <c r="R443" s="142">
        <v>119300</v>
      </c>
      <c r="S443" s="90">
        <f>R443*$S$2</f>
        <v>59650</v>
      </c>
      <c r="T443" s="90"/>
      <c r="U443" s="90">
        <f t="shared" si="163"/>
        <v>59650</v>
      </c>
      <c r="V443" s="83"/>
      <c r="W443" s="142">
        <v>66500</v>
      </c>
      <c r="X443" s="90">
        <f>W443*$X$2</f>
        <v>33250</v>
      </c>
      <c r="Y443" s="90"/>
      <c r="Z443" s="90">
        <f t="shared" si="164"/>
        <v>33250</v>
      </c>
      <c r="AA443"/>
      <c r="AB443" s="83"/>
      <c r="AC443" s="83"/>
    </row>
    <row r="444" spans="1:29" ht="12.75" customHeight="1">
      <c r="A444" s="93">
        <v>808</v>
      </c>
      <c r="B444" s="102" t="s">
        <v>175</v>
      </c>
      <c r="C444" s="93">
        <v>4862</v>
      </c>
      <c r="D444" s="131">
        <v>1</v>
      </c>
      <c r="E444" s="94">
        <v>53650</v>
      </c>
      <c r="F444" s="82">
        <f t="shared" si="154"/>
        <v>53650</v>
      </c>
      <c r="G444" s="82">
        <f t="shared" si="155"/>
        <v>24679</v>
      </c>
      <c r="H444" s="82">
        <f t="shared" si="156"/>
        <v>78329</v>
      </c>
      <c r="I444" s="82"/>
      <c r="J444" s="82">
        <f t="shared" si="157"/>
        <v>2500</v>
      </c>
      <c r="K444" s="82">
        <f t="shared" si="158"/>
        <v>5500</v>
      </c>
      <c r="L444" s="82">
        <f t="shared" si="159"/>
        <v>1700</v>
      </c>
      <c r="M444" s="82">
        <f t="shared" si="160"/>
        <v>88029</v>
      </c>
      <c r="N444" s="82">
        <f t="shared" si="161"/>
        <v>44014.5</v>
      </c>
      <c r="O444" s="82"/>
      <c r="P444" s="82">
        <f t="shared" si="162"/>
        <v>44014.5</v>
      </c>
      <c r="Q444" s="83"/>
      <c r="R444" s="142"/>
      <c r="S444" s="90">
        <f>R444*$S$2</f>
        <v>0</v>
      </c>
      <c r="T444" s="90"/>
      <c r="U444" s="90">
        <f t="shared" si="163"/>
        <v>0</v>
      </c>
      <c r="V444" s="83"/>
      <c r="W444" s="142"/>
      <c r="X444" s="90">
        <f>W444*$X$2</f>
        <v>0</v>
      </c>
      <c r="Y444" s="90"/>
      <c r="Z444" s="90">
        <f t="shared" si="164"/>
        <v>0</v>
      </c>
      <c r="AA444"/>
      <c r="AB444" s="83"/>
      <c r="AC444" s="83"/>
    </row>
    <row r="445" spans="1:29" ht="12.75" customHeight="1">
      <c r="A445" s="93">
        <v>538</v>
      </c>
      <c r="B445" s="102" t="s">
        <v>176</v>
      </c>
      <c r="C445" s="93">
        <v>8169</v>
      </c>
      <c r="D445" s="131">
        <v>1</v>
      </c>
      <c r="E445" s="94">
        <v>51200</v>
      </c>
      <c r="F445" s="82">
        <f t="shared" si="154"/>
        <v>51200</v>
      </c>
      <c r="G445" s="82">
        <f t="shared" si="155"/>
        <v>23552</v>
      </c>
      <c r="H445" s="82">
        <f t="shared" si="156"/>
        <v>74752</v>
      </c>
      <c r="I445" s="82"/>
      <c r="J445" s="82">
        <f t="shared" si="157"/>
        <v>2500</v>
      </c>
      <c r="K445" s="82">
        <f t="shared" si="158"/>
        <v>5500</v>
      </c>
      <c r="L445" s="82">
        <f t="shared" si="159"/>
        <v>1700</v>
      </c>
      <c r="M445" s="82">
        <f t="shared" si="160"/>
        <v>84452</v>
      </c>
      <c r="N445" s="82">
        <f t="shared" si="161"/>
        <v>42226</v>
      </c>
      <c r="O445" s="82"/>
      <c r="P445" s="82">
        <f t="shared" si="162"/>
        <v>42226</v>
      </c>
      <c r="Q445" s="83"/>
      <c r="R445" s="142">
        <v>97600</v>
      </c>
      <c r="S445" s="90">
        <f>R445*$S$2</f>
        <v>48800</v>
      </c>
      <c r="T445" s="90"/>
      <c r="U445" s="90">
        <f t="shared" si="163"/>
        <v>48800</v>
      </c>
      <c r="V445" s="83"/>
      <c r="W445" s="142">
        <v>153600</v>
      </c>
      <c r="X445" s="90">
        <f>W445*$X$2</f>
        <v>76800</v>
      </c>
      <c r="Y445" s="90"/>
      <c r="Z445" s="90">
        <f t="shared" si="164"/>
        <v>76800</v>
      </c>
      <c r="AA445"/>
      <c r="AB445" s="83"/>
      <c r="AC445" s="83"/>
    </row>
    <row r="446" spans="1:30" s="107" customFormat="1" ht="12.75" customHeight="1" thickBot="1">
      <c r="A446" s="117"/>
      <c r="B446" s="120"/>
      <c r="C446" s="93"/>
      <c r="D446" s="112"/>
      <c r="E446" s="82"/>
      <c r="F446" s="123">
        <f t="shared" si="154"/>
        <v>0</v>
      </c>
      <c r="G446" s="123">
        <f t="shared" si="155"/>
        <v>0</v>
      </c>
      <c r="H446" s="123">
        <f t="shared" si="156"/>
        <v>0</v>
      </c>
      <c r="I446" s="123"/>
      <c r="J446" s="123">
        <f t="shared" si="157"/>
        <v>0</v>
      </c>
      <c r="K446" s="123">
        <f t="shared" si="158"/>
        <v>0</v>
      </c>
      <c r="L446" s="123">
        <f t="shared" si="159"/>
        <v>0</v>
      </c>
      <c r="M446" s="123">
        <f t="shared" si="160"/>
        <v>0</v>
      </c>
      <c r="N446" s="123">
        <f t="shared" si="161"/>
        <v>0</v>
      </c>
      <c r="O446" s="123"/>
      <c r="P446" s="123">
        <f t="shared" si="162"/>
        <v>0</v>
      </c>
      <c r="Q446" s="138"/>
      <c r="R446" s="123"/>
      <c r="S446" s="123"/>
      <c r="T446" s="123"/>
      <c r="U446" s="123">
        <f t="shared" si="163"/>
        <v>0</v>
      </c>
      <c r="V446" s="83"/>
      <c r="W446" s="123"/>
      <c r="X446" s="123"/>
      <c r="Y446" s="123"/>
      <c r="Z446" s="123">
        <f t="shared" si="164"/>
        <v>0</v>
      </c>
      <c r="AA446"/>
      <c r="AB446" s="83"/>
      <c r="AC446" s="83"/>
      <c r="AD446" s="111"/>
    </row>
    <row r="447" spans="6:29" ht="12.75" customHeight="1">
      <c r="F447" s="82">
        <f>SUM(F441:F446)</f>
        <v>289150</v>
      </c>
      <c r="G447" s="82">
        <f>SUM(G441:G446)</f>
        <v>133009</v>
      </c>
      <c r="H447" s="82">
        <f>F447+G447</f>
        <v>422159</v>
      </c>
      <c r="I447" s="82">
        <f aca="true" t="shared" si="165" ref="I447:P447">SUM(I441:I446)</f>
        <v>0</v>
      </c>
      <c r="J447" s="82">
        <f t="shared" si="165"/>
        <v>15000</v>
      </c>
      <c r="K447" s="82">
        <f t="shared" si="165"/>
        <v>33000</v>
      </c>
      <c r="L447" s="82">
        <f t="shared" si="165"/>
        <v>10200</v>
      </c>
      <c r="M447" s="82">
        <f t="shared" si="165"/>
        <v>480359</v>
      </c>
      <c r="N447" s="82">
        <f t="shared" si="165"/>
        <v>240179.5</v>
      </c>
      <c r="O447" s="82">
        <f t="shared" si="165"/>
        <v>0</v>
      </c>
      <c r="P447" s="82">
        <f t="shared" si="165"/>
        <v>240179.5</v>
      </c>
      <c r="Q447" s="82"/>
      <c r="R447" s="82">
        <f>SUM(R441:R446)</f>
        <v>216900</v>
      </c>
      <c r="S447" s="82">
        <f>SUM(S441:S446)</f>
        <v>108450</v>
      </c>
      <c r="T447" s="82">
        <f>SUM(T441:T446)</f>
        <v>0</v>
      </c>
      <c r="U447" s="82">
        <f>SUM(U441:U446)</f>
        <v>108450</v>
      </c>
      <c r="V447" s="83"/>
      <c r="W447" s="82">
        <f>SUM(W441:W446)</f>
        <v>220100</v>
      </c>
      <c r="X447" s="82">
        <f>SUM(X441:X446)</f>
        <v>110050</v>
      </c>
      <c r="Y447" s="82">
        <f>SUM(Y441:Y446)</f>
        <v>0</v>
      </c>
      <c r="Z447" s="82">
        <f>SUM(Z441:Z446)</f>
        <v>110050</v>
      </c>
      <c r="AA447"/>
      <c r="AB447" s="83"/>
      <c r="AC447" s="83"/>
    </row>
    <row r="448" spans="6:29" ht="12.75" customHeight="1"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3"/>
      <c r="R448" s="82"/>
      <c r="S448" s="82"/>
      <c r="T448" s="82"/>
      <c r="U448" s="82"/>
      <c r="V448" s="83"/>
      <c r="W448" s="82"/>
      <c r="X448" s="82"/>
      <c r="Y448" s="82"/>
      <c r="Z448" s="82"/>
      <c r="AA448"/>
      <c r="AB448" s="83"/>
      <c r="AC448" s="83"/>
    </row>
    <row r="449" spans="1:29" ht="12.75" customHeight="1">
      <c r="A449" s="73"/>
      <c r="B449" s="83" t="s">
        <v>167</v>
      </c>
      <c r="F449" s="82"/>
      <c r="G449" s="82"/>
      <c r="H449" s="82"/>
      <c r="I449" s="82"/>
      <c r="J449" s="82"/>
      <c r="K449" s="82"/>
      <c r="L449" s="82"/>
      <c r="M449" s="90">
        <f>SUM(H449:L449)</f>
        <v>0</v>
      </c>
      <c r="N449" s="82">
        <f>+M449*$C$2</f>
        <v>0</v>
      </c>
      <c r="O449" s="82"/>
      <c r="P449" s="82">
        <f>+M449-N449</f>
        <v>0</v>
      </c>
      <c r="Q449" s="83"/>
      <c r="R449" s="90"/>
      <c r="S449" s="82"/>
      <c r="T449" s="82"/>
      <c r="U449" s="82">
        <f>+R449-S449</f>
        <v>0</v>
      </c>
      <c r="V449" s="83"/>
      <c r="W449" s="90"/>
      <c r="X449" s="82">
        <f>+W449*$C$2</f>
        <v>0</v>
      </c>
      <c r="Y449" s="82"/>
      <c r="Z449" s="82">
        <f>+W449-X449</f>
        <v>0</v>
      </c>
      <c r="AA449"/>
      <c r="AB449" s="83"/>
      <c r="AC449" s="83"/>
    </row>
    <row r="450" spans="1:30" s="86" customFormat="1" ht="12.75" customHeight="1">
      <c r="A450" s="117"/>
      <c r="B450" s="120"/>
      <c r="C450" s="93"/>
      <c r="D450" s="11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3"/>
      <c r="R450" s="82"/>
      <c r="S450" s="82"/>
      <c r="T450" s="82"/>
      <c r="U450" s="82"/>
      <c r="V450" s="83"/>
      <c r="W450" s="82"/>
      <c r="X450" s="82"/>
      <c r="Y450" s="82"/>
      <c r="Z450" s="82"/>
      <c r="AA450"/>
      <c r="AB450" s="83"/>
      <c r="AC450" s="83"/>
      <c r="AD450" s="83"/>
    </row>
    <row r="451" spans="1:29" ht="12.75" customHeight="1" thickBot="1">
      <c r="A451" s="106"/>
      <c r="B451" s="111" t="s">
        <v>79</v>
      </c>
      <c r="F451" s="126">
        <f aca="true" t="shared" si="166" ref="F451:P451">SUM(F447:F450)</f>
        <v>289150</v>
      </c>
      <c r="G451" s="126">
        <f t="shared" si="166"/>
        <v>133009</v>
      </c>
      <c r="H451" s="126">
        <f t="shared" si="166"/>
        <v>422159</v>
      </c>
      <c r="I451" s="126">
        <f t="shared" si="166"/>
        <v>0</v>
      </c>
      <c r="J451" s="126">
        <f t="shared" si="166"/>
        <v>15000</v>
      </c>
      <c r="K451" s="126">
        <f t="shared" si="166"/>
        <v>33000</v>
      </c>
      <c r="L451" s="126">
        <f t="shared" si="166"/>
        <v>10200</v>
      </c>
      <c r="M451" s="126">
        <f t="shared" si="166"/>
        <v>480359</v>
      </c>
      <c r="N451" s="126">
        <f t="shared" si="166"/>
        <v>240179.5</v>
      </c>
      <c r="O451" s="126">
        <f t="shared" si="166"/>
        <v>0</v>
      </c>
      <c r="P451" s="126">
        <f t="shared" si="166"/>
        <v>240179.5</v>
      </c>
      <c r="Q451" s="83"/>
      <c r="R451" s="126">
        <f>SUM(R447:R450)</f>
        <v>216900</v>
      </c>
      <c r="S451" s="126">
        <f>SUM(S447:S450)</f>
        <v>108450</v>
      </c>
      <c r="T451" s="126">
        <f>SUM(T447:T450)</f>
        <v>0</v>
      </c>
      <c r="U451" s="126">
        <f>SUM(U447:U450)</f>
        <v>108450</v>
      </c>
      <c r="V451" s="83"/>
      <c r="W451" s="126">
        <f>SUM(W447:W450)</f>
        <v>220100</v>
      </c>
      <c r="X451" s="126">
        <f>SUM(X447:X450)</f>
        <v>110050</v>
      </c>
      <c r="Y451" s="126">
        <f>SUM(Y447:Y450)</f>
        <v>0</v>
      </c>
      <c r="Z451" s="126">
        <f>SUM(Z447:Z450)</f>
        <v>110050</v>
      </c>
      <c r="AA451"/>
      <c r="AB451" s="83"/>
      <c r="AC451" s="83"/>
    </row>
    <row r="452" spans="1:30" s="107" customFormat="1" ht="12.75" customHeight="1" thickTop="1">
      <c r="A452" s="117"/>
      <c r="B452" s="120"/>
      <c r="C452" s="93"/>
      <c r="D452" s="11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3"/>
      <c r="R452" s="82"/>
      <c r="S452" s="82"/>
      <c r="T452" s="82"/>
      <c r="U452" s="82"/>
      <c r="V452" s="83"/>
      <c r="W452" s="82"/>
      <c r="X452" s="82"/>
      <c r="Y452" s="82"/>
      <c r="Z452" s="82"/>
      <c r="AA452"/>
      <c r="AB452" s="83"/>
      <c r="AC452" s="83"/>
      <c r="AD452" s="111"/>
    </row>
    <row r="453" spans="1:29" ht="12.75" customHeight="1">
      <c r="A453" s="106"/>
      <c r="B453" s="128" t="s">
        <v>80</v>
      </c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3"/>
      <c r="R453" s="82"/>
      <c r="S453" s="82"/>
      <c r="T453" s="82"/>
      <c r="U453" s="82"/>
      <c r="V453" s="83"/>
      <c r="W453" s="82"/>
      <c r="X453" s="82"/>
      <c r="Y453" s="82"/>
      <c r="Z453" s="82"/>
      <c r="AA453"/>
      <c r="AB453" s="83"/>
      <c r="AC453" s="83"/>
    </row>
    <row r="454" spans="1:29" ht="12.75" customHeight="1">
      <c r="A454" s="93"/>
      <c r="B454" s="102" t="str">
        <f>I4</f>
        <v>200-1010-12</v>
      </c>
      <c r="F454" s="139">
        <f>F442</f>
        <v>47750</v>
      </c>
      <c r="G454" s="139">
        <f>G442</f>
        <v>21965</v>
      </c>
      <c r="H454" s="82">
        <f>F454+G454</f>
        <v>69715</v>
      </c>
      <c r="I454" s="139">
        <f>I442</f>
        <v>0</v>
      </c>
      <c r="J454" s="139">
        <f>J442</f>
        <v>2500</v>
      </c>
      <c r="K454" s="139">
        <f>K442</f>
        <v>5500</v>
      </c>
      <c r="L454" s="139">
        <f>L442</f>
        <v>1700</v>
      </c>
      <c r="M454" s="90">
        <f>SUM(H454:L454)</f>
        <v>79415</v>
      </c>
      <c r="N454" s="82">
        <f>M454*$C$2</f>
        <v>39707.5</v>
      </c>
      <c r="O454" s="82"/>
      <c r="P454" s="82">
        <f>+M454-N454-O454</f>
        <v>39707.5</v>
      </c>
      <c r="Q454" s="83"/>
      <c r="R454" s="90"/>
      <c r="S454" s="90">
        <f>R454*$S$2</f>
        <v>0</v>
      </c>
      <c r="T454" s="90"/>
      <c r="U454" s="90">
        <f>R454-S454-T454</f>
        <v>0</v>
      </c>
      <c r="V454" s="83"/>
      <c r="W454" s="90"/>
      <c r="X454" s="90">
        <f>W454*$X$2</f>
        <v>0</v>
      </c>
      <c r="Y454" s="90"/>
      <c r="Z454" s="90">
        <f>W454-X454-Y454</f>
        <v>0</v>
      </c>
      <c r="AA454"/>
      <c r="AB454" s="83"/>
      <c r="AC454" s="83"/>
    </row>
    <row r="455" spans="1:29" ht="12.75" customHeight="1">
      <c r="A455" s="93"/>
      <c r="B455" s="102" t="str">
        <f>I5</f>
        <v>200-1010-13</v>
      </c>
      <c r="F455" s="82">
        <f>F443+F445</f>
        <v>102450</v>
      </c>
      <c r="G455" s="82">
        <f>G443+G445</f>
        <v>47127</v>
      </c>
      <c r="H455" s="82">
        <f>F455+G455</f>
        <v>149577</v>
      </c>
      <c r="I455" s="82">
        <f>I443+I445</f>
        <v>0</v>
      </c>
      <c r="J455" s="82">
        <f>J443+J445</f>
        <v>5000</v>
      </c>
      <c r="K455" s="82">
        <f>K443+K445</f>
        <v>11000</v>
      </c>
      <c r="L455" s="82">
        <f>L443+L445</f>
        <v>3400</v>
      </c>
      <c r="M455" s="90">
        <f>SUM(H455:L455)</f>
        <v>168977</v>
      </c>
      <c r="N455" s="82">
        <f>M455*$C$2</f>
        <v>84488.5</v>
      </c>
      <c r="O455" s="82"/>
      <c r="P455" s="82">
        <f>+M455-N455-O455</f>
        <v>84488.5</v>
      </c>
      <c r="Q455" s="83"/>
      <c r="R455" s="90"/>
      <c r="S455" s="90">
        <f>R455*$S$2</f>
        <v>0</v>
      </c>
      <c r="T455" s="90"/>
      <c r="U455" s="90">
        <f>R455-S455-T455</f>
        <v>0</v>
      </c>
      <c r="V455" s="83"/>
      <c r="W455" s="90"/>
      <c r="X455" s="90">
        <f>W455*$X$2</f>
        <v>0</v>
      </c>
      <c r="Y455" s="90"/>
      <c r="Z455" s="90">
        <f>W455-X455-Y455</f>
        <v>0</v>
      </c>
      <c r="AA455"/>
      <c r="AB455" s="83"/>
      <c r="AC455" s="83"/>
    </row>
    <row r="456" spans="1:29" ht="12.75" customHeight="1">
      <c r="A456" s="93"/>
      <c r="B456" s="102" t="str">
        <f>J1</f>
        <v>200-1010-15</v>
      </c>
      <c r="F456" s="82">
        <f>F441</f>
        <v>85300</v>
      </c>
      <c r="G456" s="82">
        <f>G441</f>
        <v>39238</v>
      </c>
      <c r="H456" s="82">
        <f>F456+G456</f>
        <v>124538</v>
      </c>
      <c r="I456" s="82">
        <f>I441</f>
        <v>0</v>
      </c>
      <c r="J456" s="82">
        <f>J441</f>
        <v>5000</v>
      </c>
      <c r="K456" s="82">
        <f>K441</f>
        <v>11000</v>
      </c>
      <c r="L456" s="82">
        <f>L441</f>
        <v>3400</v>
      </c>
      <c r="M456" s="90">
        <f>SUM(H456:L456)</f>
        <v>143938</v>
      </c>
      <c r="N456" s="82">
        <f>M456*$C$2</f>
        <v>71969</v>
      </c>
      <c r="O456" s="82"/>
      <c r="P456" s="82">
        <f>+M456-N456-O456</f>
        <v>71969</v>
      </c>
      <c r="Q456" s="83"/>
      <c r="R456" s="90"/>
      <c r="S456" s="90">
        <f>R456*$S$2</f>
        <v>0</v>
      </c>
      <c r="T456" s="90"/>
      <c r="U456" s="90">
        <f>R456-S456-T456</f>
        <v>0</v>
      </c>
      <c r="V456" s="83"/>
      <c r="W456" s="90"/>
      <c r="X456" s="90">
        <f>W456*$X$2</f>
        <v>0</v>
      </c>
      <c r="Y456" s="90"/>
      <c r="Z456" s="90">
        <f>W456-X456-Y456</f>
        <v>0</v>
      </c>
      <c r="AA456"/>
      <c r="AB456" s="83"/>
      <c r="AC456" s="83"/>
    </row>
    <row r="457" spans="1:30" s="107" customFormat="1" ht="12.75" customHeight="1">
      <c r="A457" s="93"/>
      <c r="B457" s="137" t="str">
        <f>J3</f>
        <v>200-1010-88</v>
      </c>
      <c r="C457" s="93"/>
      <c r="D457" s="112"/>
      <c r="E457" s="82"/>
      <c r="F457" s="82">
        <f>F444</f>
        <v>53650</v>
      </c>
      <c r="G457" s="82">
        <f>G444</f>
        <v>24679</v>
      </c>
      <c r="H457" s="82">
        <f>F457+G457</f>
        <v>78329</v>
      </c>
      <c r="I457" s="82">
        <f>I444</f>
        <v>0</v>
      </c>
      <c r="J457" s="82">
        <f>J444</f>
        <v>2500</v>
      </c>
      <c r="K457" s="82">
        <f>K444</f>
        <v>5500</v>
      </c>
      <c r="L457" s="82">
        <f>L444</f>
        <v>1700</v>
      </c>
      <c r="M457" s="90">
        <f>SUM(H457:L457)</f>
        <v>88029</v>
      </c>
      <c r="N457" s="82">
        <f>M457*$C$2</f>
        <v>44014.5</v>
      </c>
      <c r="O457" s="82"/>
      <c r="P457" s="82">
        <f>+M457-N457-O457</f>
        <v>44014.5</v>
      </c>
      <c r="Q457" s="83"/>
      <c r="R457" s="90"/>
      <c r="S457" s="90">
        <f>R457*$S$2</f>
        <v>0</v>
      </c>
      <c r="T457" s="90"/>
      <c r="U457" s="90">
        <f>R457-S457-T457</f>
        <v>0</v>
      </c>
      <c r="V457" s="83"/>
      <c r="W457" s="90"/>
      <c r="X457" s="90">
        <f>W457*$X$2</f>
        <v>0</v>
      </c>
      <c r="Y457" s="90"/>
      <c r="Z457" s="90">
        <f>W457-X457-Y457</f>
        <v>0</v>
      </c>
      <c r="AA457"/>
      <c r="AB457" s="83"/>
      <c r="AC457" s="83"/>
      <c r="AD457" s="111"/>
    </row>
    <row r="458" spans="1:30" s="107" customFormat="1" ht="12.75" customHeight="1" thickBot="1">
      <c r="A458" s="106"/>
      <c r="B458" s="111"/>
      <c r="C458" s="93"/>
      <c r="D458" s="112"/>
      <c r="E458" s="82"/>
      <c r="F458" s="126">
        <f aca="true" t="shared" si="167" ref="F458:P458">SUM(F454:F457)</f>
        <v>289150</v>
      </c>
      <c r="G458" s="126">
        <f t="shared" si="167"/>
        <v>133009</v>
      </c>
      <c r="H458" s="126">
        <f t="shared" si="167"/>
        <v>422159</v>
      </c>
      <c r="I458" s="126">
        <f t="shared" si="167"/>
        <v>0</v>
      </c>
      <c r="J458" s="126">
        <f t="shared" si="167"/>
        <v>15000</v>
      </c>
      <c r="K458" s="126">
        <f t="shared" si="167"/>
        <v>33000</v>
      </c>
      <c r="L458" s="126">
        <f t="shared" si="167"/>
        <v>10200</v>
      </c>
      <c r="M458" s="126">
        <f t="shared" si="167"/>
        <v>480359</v>
      </c>
      <c r="N458" s="126">
        <f t="shared" si="167"/>
        <v>240179.5</v>
      </c>
      <c r="O458" s="126">
        <f t="shared" si="167"/>
        <v>0</v>
      </c>
      <c r="P458" s="126">
        <f t="shared" si="167"/>
        <v>240179.5</v>
      </c>
      <c r="Q458" s="126"/>
      <c r="R458" s="126">
        <f>SUM(R454:R457)</f>
        <v>0</v>
      </c>
      <c r="S458" s="126">
        <f>SUM(S454:S457)</f>
        <v>0</v>
      </c>
      <c r="T458" s="126">
        <f>SUM(T454:T457)</f>
        <v>0</v>
      </c>
      <c r="U458" s="126">
        <f>SUM(U454:U457)</f>
        <v>0</v>
      </c>
      <c r="V458" s="83"/>
      <c r="W458" s="126">
        <f>SUM(W454:W457)</f>
        <v>0</v>
      </c>
      <c r="X458" s="126">
        <f>SUM(X454:X457)</f>
        <v>0</v>
      </c>
      <c r="Y458" s="126">
        <f>SUM(Y454:Y457)</f>
        <v>0</v>
      </c>
      <c r="Z458" s="126">
        <f>SUM(Z454:Z457)</f>
        <v>0</v>
      </c>
      <c r="AA458"/>
      <c r="AB458" s="83"/>
      <c r="AC458" s="83"/>
      <c r="AD458" s="111"/>
    </row>
    <row r="459" spans="1:30" s="107" customFormat="1" ht="12.75" customHeight="1" thickTop="1">
      <c r="A459" s="106"/>
      <c r="B459" s="111"/>
      <c r="C459" s="93"/>
      <c r="D459" s="112"/>
      <c r="E459" s="82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83"/>
      <c r="R459" s="90"/>
      <c r="S459" s="90"/>
      <c r="T459" s="90"/>
      <c r="U459" s="90"/>
      <c r="V459" s="83"/>
      <c r="W459" s="90"/>
      <c r="X459" s="90"/>
      <c r="Y459" s="90"/>
      <c r="Z459" s="90"/>
      <c r="AA459"/>
      <c r="AB459" s="83"/>
      <c r="AC459" s="83"/>
      <c r="AD459" s="111"/>
    </row>
    <row r="460" spans="1:30" s="107" customFormat="1" ht="12.75" customHeight="1" thickBot="1">
      <c r="A460" s="117">
        <v>26</v>
      </c>
      <c r="B460" s="118" t="s">
        <v>177</v>
      </c>
      <c r="C460" s="93"/>
      <c r="D460" s="11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3"/>
      <c r="R460" s="82"/>
      <c r="S460" s="82"/>
      <c r="T460" s="82"/>
      <c r="U460" s="82"/>
      <c r="V460" s="83"/>
      <c r="W460" s="82"/>
      <c r="X460" s="82"/>
      <c r="Y460" s="82"/>
      <c r="Z460" s="82"/>
      <c r="AA460"/>
      <c r="AB460" s="83"/>
      <c r="AC460" s="83"/>
      <c r="AD460" s="111"/>
    </row>
    <row r="461" spans="1:30" s="107" customFormat="1" ht="12.75" customHeight="1" hidden="1">
      <c r="A461" s="106"/>
      <c r="B461" s="121" t="s">
        <v>77</v>
      </c>
      <c r="C461" s="93"/>
      <c r="D461" s="109" t="s">
        <v>71</v>
      </c>
      <c r="E461" s="97" t="s">
        <v>72</v>
      </c>
      <c r="F461" s="97" t="s">
        <v>72</v>
      </c>
      <c r="G461" s="97" t="s">
        <v>73</v>
      </c>
      <c r="H461" s="97" t="s">
        <v>1</v>
      </c>
      <c r="I461" s="97" t="s">
        <v>74</v>
      </c>
      <c r="J461" s="97" t="s">
        <v>66</v>
      </c>
      <c r="K461" s="97" t="s">
        <v>59</v>
      </c>
      <c r="L461" s="97" t="s">
        <v>18</v>
      </c>
      <c r="M461" s="97" t="s">
        <v>1</v>
      </c>
      <c r="N461" s="97" t="s">
        <v>7</v>
      </c>
      <c r="O461" s="97" t="s">
        <v>75</v>
      </c>
      <c r="P461" s="97" t="s">
        <v>76</v>
      </c>
      <c r="Q461" s="108"/>
      <c r="R461" s="97" t="s">
        <v>1</v>
      </c>
      <c r="S461" s="97" t="s">
        <v>7</v>
      </c>
      <c r="T461" s="97" t="s">
        <v>75</v>
      </c>
      <c r="U461" s="97" t="s">
        <v>76</v>
      </c>
      <c r="V461" s="83"/>
      <c r="W461" s="97" t="s">
        <v>1</v>
      </c>
      <c r="X461" s="97" t="s">
        <v>7</v>
      </c>
      <c r="Y461" s="97" t="s">
        <v>75</v>
      </c>
      <c r="Z461" s="97" t="s">
        <v>76</v>
      </c>
      <c r="AA461"/>
      <c r="AB461" s="83"/>
      <c r="AC461" s="83"/>
      <c r="AD461" s="111"/>
    </row>
    <row r="462" spans="1:30" s="107" customFormat="1" ht="12.75" customHeight="1" hidden="1">
      <c r="A462" s="106"/>
      <c r="B462" s="121"/>
      <c r="C462" s="93"/>
      <c r="D462" s="131"/>
      <c r="E462" s="94"/>
      <c r="F462" s="82">
        <f>+E462*D462</f>
        <v>0</v>
      </c>
      <c r="G462" s="82">
        <f>+F462*$C$4</f>
        <v>0</v>
      </c>
      <c r="H462" s="82">
        <f>+G462+F462</f>
        <v>0</v>
      </c>
      <c r="I462" s="82"/>
      <c r="J462" s="82">
        <f>+$C$7*D462</f>
        <v>0</v>
      </c>
      <c r="K462" s="82">
        <f>$C$5*D462</f>
        <v>0</v>
      </c>
      <c r="L462" s="82">
        <f>+$C$6*D462</f>
        <v>0</v>
      </c>
      <c r="M462" s="82">
        <f>SUM(H462:L462)</f>
        <v>0</v>
      </c>
      <c r="N462" s="82">
        <f>+M462*$C$2</f>
        <v>0</v>
      </c>
      <c r="O462" s="82"/>
      <c r="P462" s="82">
        <f>+M462-N462-O462</f>
        <v>0</v>
      </c>
      <c r="Q462" s="83"/>
      <c r="R462" s="90"/>
      <c r="S462" s="90"/>
      <c r="T462" s="90"/>
      <c r="U462" s="90">
        <f>R462-S462-T462</f>
        <v>0</v>
      </c>
      <c r="V462" s="83"/>
      <c r="W462" s="90"/>
      <c r="X462" s="90"/>
      <c r="Y462" s="90"/>
      <c r="Z462" s="90">
        <f>W462-X462-Y462</f>
        <v>0</v>
      </c>
      <c r="AA462"/>
      <c r="AB462" s="83"/>
      <c r="AC462" s="83"/>
      <c r="AD462" s="111"/>
    </row>
    <row r="463" spans="1:30" s="107" customFormat="1" ht="12.75" customHeight="1" hidden="1" thickBot="1">
      <c r="A463" s="117"/>
      <c r="B463" s="120"/>
      <c r="C463" s="93"/>
      <c r="D463" s="112"/>
      <c r="E463" s="82"/>
      <c r="F463" s="123">
        <f>+E463*D463</f>
        <v>0</v>
      </c>
      <c r="G463" s="123">
        <f>+F463*$C$4</f>
        <v>0</v>
      </c>
      <c r="H463" s="123">
        <f>+G463+F463</f>
        <v>0</v>
      </c>
      <c r="I463" s="123"/>
      <c r="J463" s="123">
        <f>+$C$7*D463</f>
        <v>0</v>
      </c>
      <c r="K463" s="123">
        <f>$C$5*D463</f>
        <v>0</v>
      </c>
      <c r="L463" s="123">
        <f>+$C$6*D463</f>
        <v>0</v>
      </c>
      <c r="M463" s="123">
        <f>SUM(H463:L463)</f>
        <v>0</v>
      </c>
      <c r="N463" s="123">
        <f>+M463*$C$2</f>
        <v>0</v>
      </c>
      <c r="O463" s="123"/>
      <c r="P463" s="123">
        <f>+M463-N463-O463</f>
        <v>0</v>
      </c>
      <c r="Q463" s="138"/>
      <c r="R463" s="123"/>
      <c r="S463" s="123"/>
      <c r="T463" s="123"/>
      <c r="U463" s="123">
        <f>R463-S463-T463</f>
        <v>0</v>
      </c>
      <c r="V463" s="83"/>
      <c r="W463" s="123"/>
      <c r="X463" s="123"/>
      <c r="Y463" s="123"/>
      <c r="Z463" s="123">
        <f>W463-X463-Y463</f>
        <v>0</v>
      </c>
      <c r="AA463"/>
      <c r="AB463" s="83"/>
      <c r="AC463" s="83"/>
      <c r="AD463" s="111"/>
    </row>
    <row r="464" spans="1:30" s="107" customFormat="1" ht="12.75" customHeight="1" hidden="1">
      <c r="A464" s="117"/>
      <c r="B464" s="120"/>
      <c r="C464" s="93"/>
      <c r="D464" s="112"/>
      <c r="E464" s="82"/>
      <c r="F464" s="82">
        <f aca="true" t="shared" si="168" ref="F464:P464">SUM(F462:F463)</f>
        <v>0</v>
      </c>
      <c r="G464" s="82">
        <f t="shared" si="168"/>
        <v>0</v>
      </c>
      <c r="H464" s="82">
        <f t="shared" si="168"/>
        <v>0</v>
      </c>
      <c r="I464" s="82">
        <f t="shared" si="168"/>
        <v>0</v>
      </c>
      <c r="J464" s="82">
        <f t="shared" si="168"/>
        <v>0</v>
      </c>
      <c r="K464" s="82">
        <f t="shared" si="168"/>
        <v>0</v>
      </c>
      <c r="L464" s="82">
        <f t="shared" si="168"/>
        <v>0</v>
      </c>
      <c r="M464" s="82">
        <f t="shared" si="168"/>
        <v>0</v>
      </c>
      <c r="N464" s="82">
        <f t="shared" si="168"/>
        <v>0</v>
      </c>
      <c r="O464" s="82">
        <f t="shared" si="168"/>
        <v>0</v>
      </c>
      <c r="P464" s="82">
        <f t="shared" si="168"/>
        <v>0</v>
      </c>
      <c r="Q464" s="83"/>
      <c r="R464" s="82">
        <f>SUM(R462:R463)</f>
        <v>0</v>
      </c>
      <c r="S464" s="82">
        <f>SUM(S462:S463)</f>
        <v>0</v>
      </c>
      <c r="T464" s="82">
        <f>SUM(T462:T463)</f>
        <v>0</v>
      </c>
      <c r="U464" s="82">
        <f>SUM(U462:U463)</f>
        <v>0</v>
      </c>
      <c r="V464" s="83"/>
      <c r="W464" s="82">
        <f>SUM(W462:W463)</f>
        <v>0</v>
      </c>
      <c r="X464" s="82">
        <f>SUM(X462:X463)</f>
        <v>0</v>
      </c>
      <c r="Y464" s="82">
        <f>SUM(Y462:Y463)</f>
        <v>0</v>
      </c>
      <c r="Z464" s="82">
        <f>SUM(Z462:Z463)</f>
        <v>0</v>
      </c>
      <c r="AA464"/>
      <c r="AB464" s="83"/>
      <c r="AC464" s="83"/>
      <c r="AD464" s="111"/>
    </row>
    <row r="465" spans="1:30" s="107" customFormat="1" ht="12.75" customHeight="1">
      <c r="A465" s="117"/>
      <c r="B465" s="120"/>
      <c r="C465" s="93"/>
      <c r="D465" s="11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3"/>
      <c r="R465" s="82"/>
      <c r="S465" s="82"/>
      <c r="T465" s="82"/>
      <c r="U465" s="82"/>
      <c r="V465" s="83"/>
      <c r="W465" s="82"/>
      <c r="X465" s="82"/>
      <c r="Y465" s="82"/>
      <c r="Z465" s="82"/>
      <c r="AA465"/>
      <c r="AB465" s="83"/>
      <c r="AC465" s="83"/>
      <c r="AD465" s="111"/>
    </row>
    <row r="466" spans="1:30" s="107" customFormat="1" ht="12.75" customHeight="1">
      <c r="A466" s="93">
        <v>520</v>
      </c>
      <c r="B466" s="83" t="s">
        <v>127</v>
      </c>
      <c r="C466" s="93"/>
      <c r="D466" s="112"/>
      <c r="E466" s="82"/>
      <c r="F466" s="82"/>
      <c r="G466" s="82"/>
      <c r="H466" s="82"/>
      <c r="I466" s="82"/>
      <c r="J466" s="82"/>
      <c r="K466" s="82"/>
      <c r="L466" s="82">
        <f>'[8]FY10 Priority  (2)'!$F$59</f>
        <v>557000</v>
      </c>
      <c r="M466" s="90">
        <f>SUM(H466:L466)</f>
        <v>557000</v>
      </c>
      <c r="N466" s="82">
        <f>M466*C1</f>
        <v>196077.92499999996</v>
      </c>
      <c r="O466" s="82"/>
      <c r="P466" s="82">
        <f>+M466-N466-O466</f>
        <v>360922.07500000007</v>
      </c>
      <c r="Q466" s="83"/>
      <c r="R466" s="90"/>
      <c r="S466" s="82"/>
      <c r="T466" s="82"/>
      <c r="U466" s="82">
        <f>+R466-S466-T466</f>
        <v>0</v>
      </c>
      <c r="V466" s="83"/>
      <c r="W466" s="90"/>
      <c r="X466" s="82"/>
      <c r="Y466" s="82"/>
      <c r="Z466" s="82">
        <f>+W466-X466-Y466</f>
        <v>0</v>
      </c>
      <c r="AA466"/>
      <c r="AB466" s="83"/>
      <c r="AC466" s="83"/>
      <c r="AD466" s="111"/>
    </row>
    <row r="467" spans="1:30" s="107" customFormat="1" ht="12.75" customHeight="1">
      <c r="A467" s="117"/>
      <c r="B467" s="120"/>
      <c r="C467" s="93"/>
      <c r="D467" s="11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3"/>
      <c r="R467" s="82"/>
      <c r="S467" s="82"/>
      <c r="T467" s="82"/>
      <c r="U467" s="82"/>
      <c r="V467" s="83"/>
      <c r="W467" s="82"/>
      <c r="X467" s="82"/>
      <c r="Y467" s="82"/>
      <c r="Z467" s="82"/>
      <c r="AA467"/>
      <c r="AB467" s="83"/>
      <c r="AC467" s="83"/>
      <c r="AD467" s="111"/>
    </row>
    <row r="468" spans="1:30" s="107" customFormat="1" ht="12.75" customHeight="1" thickBot="1">
      <c r="A468" s="106"/>
      <c r="B468" s="111" t="s">
        <v>79</v>
      </c>
      <c r="C468" s="93"/>
      <c r="D468" s="112"/>
      <c r="E468" s="82"/>
      <c r="F468" s="126">
        <f>SUM(F464:F467)</f>
        <v>0</v>
      </c>
      <c r="G468" s="126">
        <f>SUM(G464:G467)</f>
        <v>0</v>
      </c>
      <c r="H468" s="126"/>
      <c r="I468" s="126"/>
      <c r="J468" s="126">
        <f>SUM(J464:J467)</f>
        <v>0</v>
      </c>
      <c r="K468" s="126">
        <f>SUM(K464:K467)</f>
        <v>0</v>
      </c>
      <c r="L468" s="126">
        <f>SUM(L464:L467)</f>
        <v>557000</v>
      </c>
      <c r="M468" s="126">
        <f>SUM(M464:M467)</f>
        <v>557000</v>
      </c>
      <c r="N468" s="126">
        <f>SUM(N464:N467)</f>
        <v>196077.92499999996</v>
      </c>
      <c r="O468" s="126"/>
      <c r="P468" s="126">
        <f>SUM(P464:P467)</f>
        <v>360922.07500000007</v>
      </c>
      <c r="Q468" s="83"/>
      <c r="R468" s="126"/>
      <c r="S468" s="126"/>
      <c r="T468" s="126"/>
      <c r="U468" s="126"/>
      <c r="V468" s="83"/>
      <c r="W468" s="126"/>
      <c r="X468" s="126"/>
      <c r="Y468" s="126"/>
      <c r="Z468" s="126"/>
      <c r="AA468"/>
      <c r="AB468" s="83"/>
      <c r="AC468" s="83"/>
      <c r="AD468" s="111"/>
    </row>
    <row r="469" spans="1:30" s="107" customFormat="1" ht="12.75" customHeight="1" thickTop="1">
      <c r="A469" s="117"/>
      <c r="B469" s="120"/>
      <c r="C469" s="93"/>
      <c r="D469" s="11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3"/>
      <c r="R469" s="82"/>
      <c r="S469" s="82"/>
      <c r="T469" s="82"/>
      <c r="U469" s="82"/>
      <c r="V469" s="83"/>
      <c r="W469" s="82"/>
      <c r="X469" s="82"/>
      <c r="Y469" s="82"/>
      <c r="Z469" s="82"/>
      <c r="AA469"/>
      <c r="AB469" s="83"/>
      <c r="AC469" s="83"/>
      <c r="AD469" s="111"/>
    </row>
    <row r="470" spans="1:30" s="107" customFormat="1" ht="12.75" customHeight="1">
      <c r="A470" s="106"/>
      <c r="B470" s="128" t="s">
        <v>80</v>
      </c>
      <c r="C470" s="93"/>
      <c r="D470" s="11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3"/>
      <c r="R470" s="82"/>
      <c r="S470" s="82"/>
      <c r="T470" s="82"/>
      <c r="U470" s="82"/>
      <c r="V470" s="83"/>
      <c r="W470" s="82"/>
      <c r="X470" s="82"/>
      <c r="Y470" s="82"/>
      <c r="Z470" s="82"/>
      <c r="AA470"/>
      <c r="AB470" s="83"/>
      <c r="AC470" s="83"/>
      <c r="AD470" s="111"/>
    </row>
    <row r="471" spans="1:30" s="107" customFormat="1" ht="12.75" customHeight="1">
      <c r="A471" s="73"/>
      <c r="B471" s="83" t="str">
        <f>K5</f>
        <v>340-1020-01</v>
      </c>
      <c r="C471" s="93"/>
      <c r="D471" s="112"/>
      <c r="E471" s="82"/>
      <c r="F471" s="82"/>
      <c r="G471" s="82"/>
      <c r="H471" s="82"/>
      <c r="I471" s="82"/>
      <c r="J471" s="82">
        <f>+J466</f>
        <v>0</v>
      </c>
      <c r="K471" s="82"/>
      <c r="L471" s="82">
        <f>L468</f>
        <v>557000</v>
      </c>
      <c r="M471" s="90">
        <f>SUM(H471:L471)</f>
        <v>557000</v>
      </c>
      <c r="N471" s="82">
        <f>N468</f>
        <v>196077.92499999996</v>
      </c>
      <c r="O471" s="82"/>
      <c r="P471" s="82">
        <f>+M471-N471</f>
        <v>360922.07500000007</v>
      </c>
      <c r="Q471" s="83"/>
      <c r="R471" s="90"/>
      <c r="S471" s="82"/>
      <c r="T471" s="82"/>
      <c r="U471" s="82">
        <f>+R471-S471-T471</f>
        <v>0</v>
      </c>
      <c r="V471" s="83"/>
      <c r="W471" s="90"/>
      <c r="X471" s="82"/>
      <c r="Y471" s="82"/>
      <c r="Z471" s="82">
        <f>+W471-X471-Y471</f>
        <v>0</v>
      </c>
      <c r="AA471"/>
      <c r="AB471" s="83"/>
      <c r="AC471" s="83"/>
      <c r="AD471" s="111"/>
    </row>
    <row r="472" spans="1:30" s="86" customFormat="1" ht="12.75" customHeight="1" thickBot="1">
      <c r="A472" s="106"/>
      <c r="B472" s="111"/>
      <c r="C472" s="93"/>
      <c r="D472" s="112"/>
      <c r="E472" s="82"/>
      <c r="F472" s="126">
        <f aca="true" t="shared" si="169" ref="F472:P472">SUM(F471:F471)</f>
        <v>0</v>
      </c>
      <c r="G472" s="126">
        <f t="shared" si="169"/>
        <v>0</v>
      </c>
      <c r="H472" s="126">
        <f t="shared" si="169"/>
        <v>0</v>
      </c>
      <c r="I472" s="126">
        <f t="shared" si="169"/>
        <v>0</v>
      </c>
      <c r="J472" s="126">
        <f t="shared" si="169"/>
        <v>0</v>
      </c>
      <c r="K472" s="126">
        <f t="shared" si="169"/>
        <v>0</v>
      </c>
      <c r="L472" s="126">
        <f t="shared" si="169"/>
        <v>557000</v>
      </c>
      <c r="M472" s="126">
        <f t="shared" si="169"/>
        <v>557000</v>
      </c>
      <c r="N472" s="126">
        <f t="shared" si="169"/>
        <v>196077.92499999996</v>
      </c>
      <c r="O472" s="126">
        <f t="shared" si="169"/>
        <v>0</v>
      </c>
      <c r="P472" s="126">
        <f t="shared" si="169"/>
        <v>360922.07500000007</v>
      </c>
      <c r="Q472" s="83"/>
      <c r="R472" s="126">
        <f>SUM(R471:R471)</f>
        <v>0</v>
      </c>
      <c r="S472" s="126">
        <f>SUM(S471:S471)</f>
        <v>0</v>
      </c>
      <c r="T472" s="126">
        <f>SUM(T471:T471)</f>
        <v>0</v>
      </c>
      <c r="U472" s="126">
        <f>SUM(U471:U471)</f>
        <v>0</v>
      </c>
      <c r="V472" s="83"/>
      <c r="W472" s="126">
        <f>SUM(W471:W471)</f>
        <v>0</v>
      </c>
      <c r="X472" s="126">
        <f>SUM(X471:X471)</f>
        <v>0</v>
      </c>
      <c r="Y472" s="126">
        <f>SUM(Y471:Y471)</f>
        <v>0</v>
      </c>
      <c r="Z472" s="126">
        <f>SUM(Z471:Z471)</f>
        <v>0</v>
      </c>
      <c r="AA472"/>
      <c r="AB472" s="83"/>
      <c r="AC472" s="83"/>
      <c r="AD472" s="83"/>
    </row>
    <row r="473" spans="1:30" s="86" customFormat="1" ht="12.75" customHeight="1" thickTop="1">
      <c r="A473" s="106"/>
      <c r="B473" s="111"/>
      <c r="C473" s="93"/>
      <c r="D473" s="112"/>
      <c r="E473" s="82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83"/>
      <c r="R473" s="90"/>
      <c r="S473" s="90"/>
      <c r="T473" s="90"/>
      <c r="U473" s="90"/>
      <c r="V473" s="83"/>
      <c r="W473" s="90"/>
      <c r="X473" s="90"/>
      <c r="Y473" s="90"/>
      <c r="Z473" s="90"/>
      <c r="AA473"/>
      <c r="AB473" s="83"/>
      <c r="AC473" s="83"/>
      <c r="AD473" s="83"/>
    </row>
    <row r="474" spans="1:30" s="86" customFormat="1" ht="12.75" customHeight="1" thickBot="1">
      <c r="A474" s="106">
        <v>27</v>
      </c>
      <c r="B474" s="118" t="s">
        <v>178</v>
      </c>
      <c r="C474" s="93"/>
      <c r="D474" s="11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3"/>
      <c r="R474" s="82"/>
      <c r="S474" s="82"/>
      <c r="T474" s="82"/>
      <c r="U474" s="82"/>
      <c r="V474" s="83"/>
      <c r="W474" s="82"/>
      <c r="X474" s="82"/>
      <c r="Y474" s="82"/>
      <c r="Z474" s="82"/>
      <c r="AA474"/>
      <c r="AB474" s="83"/>
      <c r="AC474" s="83"/>
      <c r="AD474" s="83"/>
    </row>
    <row r="475" spans="1:30" s="86" customFormat="1" ht="12.75" customHeight="1" hidden="1">
      <c r="A475" s="106"/>
      <c r="B475" s="121" t="s">
        <v>77</v>
      </c>
      <c r="C475" s="93"/>
      <c r="D475" s="109" t="s">
        <v>71</v>
      </c>
      <c r="E475" s="97" t="s">
        <v>72</v>
      </c>
      <c r="F475" s="97" t="s">
        <v>72</v>
      </c>
      <c r="G475" s="97" t="s">
        <v>73</v>
      </c>
      <c r="H475" s="97" t="s">
        <v>1</v>
      </c>
      <c r="I475" s="97" t="s">
        <v>74</v>
      </c>
      <c r="J475" s="97" t="s">
        <v>66</v>
      </c>
      <c r="K475" s="97" t="s">
        <v>59</v>
      </c>
      <c r="L475" s="97" t="s">
        <v>18</v>
      </c>
      <c r="M475" s="97" t="s">
        <v>1</v>
      </c>
      <c r="N475" s="97" t="s">
        <v>7</v>
      </c>
      <c r="O475" s="97" t="s">
        <v>75</v>
      </c>
      <c r="P475" s="97" t="s">
        <v>76</v>
      </c>
      <c r="Q475" s="108"/>
      <c r="R475" s="97" t="s">
        <v>1</v>
      </c>
      <c r="S475" s="97" t="s">
        <v>7</v>
      </c>
      <c r="T475" s="97" t="s">
        <v>75</v>
      </c>
      <c r="U475" s="97" t="s">
        <v>76</v>
      </c>
      <c r="V475" s="83"/>
      <c r="W475" s="97" t="s">
        <v>1</v>
      </c>
      <c r="X475" s="97" t="s">
        <v>7</v>
      </c>
      <c r="Y475" s="97" t="s">
        <v>75</v>
      </c>
      <c r="Z475" s="97" t="s">
        <v>76</v>
      </c>
      <c r="AA475"/>
      <c r="AB475" s="83"/>
      <c r="AC475" s="83"/>
      <c r="AD475" s="83"/>
    </row>
    <row r="476" spans="1:30" s="86" customFormat="1" ht="12.75" customHeight="1" hidden="1">
      <c r="A476" s="106"/>
      <c r="B476" s="121"/>
      <c r="C476" s="93"/>
      <c r="D476" s="131"/>
      <c r="E476" s="94"/>
      <c r="F476" s="90">
        <f>E476*D476</f>
        <v>0</v>
      </c>
      <c r="G476" s="94">
        <f>+F476*$C$4</f>
        <v>0</v>
      </c>
      <c r="H476" s="90">
        <f>+G476+F476</f>
        <v>0</v>
      </c>
      <c r="I476" s="94"/>
      <c r="J476" s="94">
        <f>D476*$C$7</f>
        <v>0</v>
      </c>
      <c r="K476" s="94">
        <f>D476*$C$5</f>
        <v>0</v>
      </c>
      <c r="L476" s="94">
        <f>D476*$C$6</f>
        <v>0</v>
      </c>
      <c r="M476" s="90">
        <f>SUM(H476:L476)</f>
        <v>0</v>
      </c>
      <c r="N476" s="94">
        <f>M476*$C$2</f>
        <v>0</v>
      </c>
      <c r="O476" s="90"/>
      <c r="P476" s="90">
        <f>M476-N476</f>
        <v>0</v>
      </c>
      <c r="Q476" s="83"/>
      <c r="R476" s="90"/>
      <c r="S476" s="90"/>
      <c r="T476" s="90"/>
      <c r="U476" s="90">
        <f>R476-S476-T476</f>
        <v>0</v>
      </c>
      <c r="V476" s="83"/>
      <c r="W476" s="90"/>
      <c r="X476" s="90"/>
      <c r="Y476" s="90"/>
      <c r="Z476" s="90">
        <f>W476-X476-Y476</f>
        <v>0</v>
      </c>
      <c r="AA476"/>
      <c r="AB476" s="83"/>
      <c r="AC476" s="83"/>
      <c r="AD476" s="83"/>
    </row>
    <row r="477" spans="1:30" s="86" customFormat="1" ht="12.75" customHeight="1" hidden="1" thickBot="1">
      <c r="A477" s="106"/>
      <c r="B477" s="120"/>
      <c r="C477" s="93"/>
      <c r="D477" s="112"/>
      <c r="E477" s="82"/>
      <c r="F477" s="123">
        <f>E477*D477</f>
        <v>0</v>
      </c>
      <c r="G477" s="143">
        <f>+F477*$C$4</f>
        <v>0</v>
      </c>
      <c r="H477" s="123">
        <f>+G477+F477</f>
        <v>0</v>
      </c>
      <c r="I477" s="143"/>
      <c r="J477" s="143">
        <f>D477*$C$7</f>
        <v>0</v>
      </c>
      <c r="K477" s="143">
        <f>D477*$C$5</f>
        <v>0</v>
      </c>
      <c r="L477" s="143">
        <f>D477*$C$6</f>
        <v>0</v>
      </c>
      <c r="M477" s="123">
        <f>SUM(H477:L477)</f>
        <v>0</v>
      </c>
      <c r="N477" s="143">
        <f>M477*$C$2</f>
        <v>0</v>
      </c>
      <c r="O477" s="123"/>
      <c r="P477" s="123">
        <f>M477-N477</f>
        <v>0</v>
      </c>
      <c r="Q477" s="138"/>
      <c r="R477" s="123"/>
      <c r="S477" s="123"/>
      <c r="T477" s="123"/>
      <c r="U477" s="123">
        <f>R477-S477-T477</f>
        <v>0</v>
      </c>
      <c r="V477" s="83"/>
      <c r="W477" s="123"/>
      <c r="X477" s="123"/>
      <c r="Y477" s="123"/>
      <c r="Z477" s="123">
        <f>W477-X477-Y477</f>
        <v>0</v>
      </c>
      <c r="AA477"/>
      <c r="AB477" s="83"/>
      <c r="AC477" s="83"/>
      <c r="AD477" s="83"/>
    </row>
    <row r="478" spans="1:30" s="86" customFormat="1" ht="12.75" customHeight="1" hidden="1">
      <c r="A478" s="106"/>
      <c r="B478" s="120"/>
      <c r="C478" s="93"/>
      <c r="D478" s="112"/>
      <c r="E478" s="82"/>
      <c r="F478" s="82">
        <f aca="true" t="shared" si="170" ref="F478:P478">SUM(F476:F477)</f>
        <v>0</v>
      </c>
      <c r="G478" s="82">
        <f t="shared" si="170"/>
        <v>0</v>
      </c>
      <c r="H478" s="82">
        <f t="shared" si="170"/>
        <v>0</v>
      </c>
      <c r="I478" s="82">
        <f t="shared" si="170"/>
        <v>0</v>
      </c>
      <c r="J478" s="82">
        <f t="shared" si="170"/>
        <v>0</v>
      </c>
      <c r="K478" s="82">
        <f t="shared" si="170"/>
        <v>0</v>
      </c>
      <c r="L478" s="82">
        <f t="shared" si="170"/>
        <v>0</v>
      </c>
      <c r="M478" s="82">
        <f t="shared" si="170"/>
        <v>0</v>
      </c>
      <c r="N478" s="82">
        <f t="shared" si="170"/>
        <v>0</v>
      </c>
      <c r="O478" s="82">
        <f t="shared" si="170"/>
        <v>0</v>
      </c>
      <c r="P478" s="82">
        <f t="shared" si="170"/>
        <v>0</v>
      </c>
      <c r="Q478" s="83"/>
      <c r="R478" s="82">
        <f>SUM(R476:R477)</f>
        <v>0</v>
      </c>
      <c r="S478" s="82">
        <f>SUM(S476:S477)</f>
        <v>0</v>
      </c>
      <c r="T478" s="82">
        <f>SUM(T476:T477)</f>
        <v>0</v>
      </c>
      <c r="U478" s="82">
        <f>SUM(U476:U477)</f>
        <v>0</v>
      </c>
      <c r="V478" s="83"/>
      <c r="W478" s="82">
        <f>SUM(W476:W477)</f>
        <v>0</v>
      </c>
      <c r="X478" s="82">
        <f>SUM(X476:X477)</f>
        <v>0</v>
      </c>
      <c r="Y478" s="82">
        <f>SUM(Y476:Y477)</f>
        <v>0</v>
      </c>
      <c r="Z478" s="82">
        <f>SUM(Z476:Z477)</f>
        <v>0</v>
      </c>
      <c r="AA478"/>
      <c r="AB478" s="83"/>
      <c r="AC478" s="83"/>
      <c r="AD478" s="83"/>
    </row>
    <row r="479" spans="1:30" s="86" customFormat="1" ht="12.75" customHeight="1">
      <c r="A479" s="106"/>
      <c r="B479" s="120"/>
      <c r="C479" s="93"/>
      <c r="D479" s="112"/>
      <c r="E479" s="82"/>
      <c r="F479" s="82">
        <f>SUM(F478:F478)</f>
        <v>0</v>
      </c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3"/>
      <c r="R479" s="82"/>
      <c r="S479" s="82"/>
      <c r="T479" s="82"/>
      <c r="U479" s="82"/>
      <c r="V479" s="83"/>
      <c r="W479" s="82"/>
      <c r="X479" s="82"/>
      <c r="Y479" s="82"/>
      <c r="Z479" s="82"/>
      <c r="AA479"/>
      <c r="AB479" s="83"/>
      <c r="AC479" s="83"/>
      <c r="AD479" s="83"/>
    </row>
    <row r="480" spans="1:30" s="86" customFormat="1" ht="12.75" customHeight="1">
      <c r="A480" s="93">
        <v>601</v>
      </c>
      <c r="B480" s="83" t="s">
        <v>127</v>
      </c>
      <c r="C480" s="136">
        <v>544401</v>
      </c>
      <c r="D480" s="112"/>
      <c r="E480" s="82"/>
      <c r="F480" s="82"/>
      <c r="G480" s="82"/>
      <c r="H480" s="82"/>
      <c r="I480" s="82"/>
      <c r="J480" s="82"/>
      <c r="K480" s="82"/>
      <c r="L480" s="82">
        <f>'[8]FY10 Priority  (2)'!$F$62</f>
        <v>1000000</v>
      </c>
      <c r="M480" s="90">
        <f>SUM(H480:L480)</f>
        <v>1000000</v>
      </c>
      <c r="N480" s="82">
        <f>M480*C2</f>
        <v>500000</v>
      </c>
      <c r="O480" s="82"/>
      <c r="P480" s="82">
        <f>+M480-N480-O480</f>
        <v>500000</v>
      </c>
      <c r="Q480" s="83"/>
      <c r="R480" s="90"/>
      <c r="S480" s="82"/>
      <c r="T480" s="82"/>
      <c r="U480" s="82">
        <f>+R480-S480-T480</f>
        <v>0</v>
      </c>
      <c r="V480" s="83"/>
      <c r="W480" s="90"/>
      <c r="X480" s="82"/>
      <c r="Y480" s="82"/>
      <c r="Z480" s="82">
        <f>+W480-X480-Y480</f>
        <v>0</v>
      </c>
      <c r="AA480"/>
      <c r="AB480" s="83"/>
      <c r="AC480" s="83"/>
      <c r="AD480" s="83"/>
    </row>
    <row r="481" spans="1:30" s="86" customFormat="1" ht="12.75" customHeight="1">
      <c r="A481" s="106"/>
      <c r="B481" s="120"/>
      <c r="C481" s="93"/>
      <c r="D481" s="11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3"/>
      <c r="R481" s="82"/>
      <c r="S481" s="82"/>
      <c r="T481" s="82"/>
      <c r="U481" s="82"/>
      <c r="V481" s="83"/>
      <c r="W481" s="82"/>
      <c r="X481" s="82"/>
      <c r="Y481" s="82"/>
      <c r="Z481" s="82"/>
      <c r="AA481"/>
      <c r="AB481" s="83"/>
      <c r="AC481" s="83"/>
      <c r="AD481" s="83"/>
    </row>
    <row r="482" spans="1:30" s="86" customFormat="1" ht="12.75" customHeight="1" thickBot="1">
      <c r="A482" s="106"/>
      <c r="B482" s="111" t="s">
        <v>79</v>
      </c>
      <c r="C482" s="93"/>
      <c r="D482" s="112"/>
      <c r="E482" s="82"/>
      <c r="F482" s="126">
        <f>SUM(F478:F481)</f>
        <v>0</v>
      </c>
      <c r="G482" s="126">
        <f>SUM(G478:G481)</f>
        <v>0</v>
      </c>
      <c r="H482" s="126"/>
      <c r="I482" s="126"/>
      <c r="J482" s="126">
        <f>SUM(J478:J481)</f>
        <v>0</v>
      </c>
      <c r="K482" s="126">
        <f>SUM(K478:K481)</f>
        <v>0</v>
      </c>
      <c r="L482" s="126">
        <f>SUM(L478:L481)</f>
        <v>1000000</v>
      </c>
      <c r="M482" s="126">
        <f>SUM(M478:M481)</f>
        <v>1000000</v>
      </c>
      <c r="N482" s="126">
        <f>SUM(N478:N481)</f>
        <v>500000</v>
      </c>
      <c r="O482" s="126"/>
      <c r="P482" s="126">
        <f>SUM(P478:P481)</f>
        <v>500000</v>
      </c>
      <c r="Q482" s="83"/>
      <c r="R482" s="126"/>
      <c r="S482" s="126"/>
      <c r="T482" s="126"/>
      <c r="U482" s="126"/>
      <c r="V482" s="83"/>
      <c r="W482" s="126"/>
      <c r="X482" s="126"/>
      <c r="Y482" s="126"/>
      <c r="Z482" s="126"/>
      <c r="AA482"/>
      <c r="AB482" s="83"/>
      <c r="AC482" s="83"/>
      <c r="AD482" s="83"/>
    </row>
    <row r="483" spans="1:30" s="86" customFormat="1" ht="12.75" customHeight="1" thickTop="1">
      <c r="A483" s="106"/>
      <c r="B483" s="120"/>
      <c r="C483" s="93"/>
      <c r="D483" s="11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3"/>
      <c r="R483" s="82"/>
      <c r="S483" s="82"/>
      <c r="T483" s="82"/>
      <c r="U483" s="82"/>
      <c r="V483" s="83"/>
      <c r="W483" s="82"/>
      <c r="X483" s="82"/>
      <c r="Y483" s="82"/>
      <c r="Z483" s="82"/>
      <c r="AA483"/>
      <c r="AB483" s="83"/>
      <c r="AC483" s="83"/>
      <c r="AD483" s="83"/>
    </row>
    <row r="484" spans="1:30" s="86" customFormat="1" ht="12.75" customHeight="1">
      <c r="A484" s="106"/>
      <c r="B484" s="128" t="s">
        <v>80</v>
      </c>
      <c r="C484" s="93"/>
      <c r="D484" s="11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3"/>
      <c r="R484" s="82"/>
      <c r="S484" s="82"/>
      <c r="T484" s="82"/>
      <c r="U484" s="82"/>
      <c r="V484" s="83"/>
      <c r="W484" s="82"/>
      <c r="X484" s="82"/>
      <c r="Y484" s="82"/>
      <c r="Z484" s="82"/>
      <c r="AA484"/>
      <c r="AB484" s="83"/>
      <c r="AC484" s="83"/>
      <c r="AD484" s="83"/>
    </row>
    <row r="485" spans="1:30" s="86" customFormat="1" ht="12.75" customHeight="1">
      <c r="A485" s="106"/>
      <c r="B485" s="83" t="str">
        <f>J4</f>
        <v>200-1030-01</v>
      </c>
      <c r="C485" s="93"/>
      <c r="D485" s="112"/>
      <c r="E485" s="82"/>
      <c r="F485" s="82"/>
      <c r="G485" s="82"/>
      <c r="H485" s="82"/>
      <c r="I485" s="82"/>
      <c r="J485" s="82">
        <f>+J480</f>
        <v>0</v>
      </c>
      <c r="K485" s="82"/>
      <c r="L485" s="82">
        <f>L482</f>
        <v>1000000</v>
      </c>
      <c r="M485" s="90">
        <f>SUM(H485:L485)</f>
        <v>1000000</v>
      </c>
      <c r="N485" s="82">
        <f>N482</f>
        <v>500000</v>
      </c>
      <c r="O485" s="82">
        <f>O482</f>
        <v>0</v>
      </c>
      <c r="P485" s="82">
        <f>P482</f>
        <v>500000</v>
      </c>
      <c r="Q485" s="83"/>
      <c r="R485" s="90"/>
      <c r="S485" s="82"/>
      <c r="T485" s="82"/>
      <c r="U485" s="82">
        <f>+R485-S485-T485</f>
        <v>0</v>
      </c>
      <c r="V485" s="83"/>
      <c r="W485" s="90"/>
      <c r="X485" s="82"/>
      <c r="Y485" s="82"/>
      <c r="Z485" s="82">
        <f>+W485-X485-Y485</f>
        <v>0</v>
      </c>
      <c r="AA485"/>
      <c r="AB485" s="83"/>
      <c r="AC485" s="83"/>
      <c r="AD485" s="83"/>
    </row>
    <row r="486" spans="1:30" s="86" customFormat="1" ht="12.75" customHeight="1" thickBot="1">
      <c r="A486" s="106"/>
      <c r="B486" s="111"/>
      <c r="C486" s="93"/>
      <c r="D486" s="112"/>
      <c r="E486" s="82"/>
      <c r="F486" s="126">
        <f aca="true" t="shared" si="171" ref="F486:P486">SUM(F485:F485)</f>
        <v>0</v>
      </c>
      <c r="G486" s="126">
        <f t="shared" si="171"/>
        <v>0</v>
      </c>
      <c r="H486" s="126">
        <f t="shared" si="171"/>
        <v>0</v>
      </c>
      <c r="I486" s="126">
        <f t="shared" si="171"/>
        <v>0</v>
      </c>
      <c r="J486" s="126">
        <f t="shared" si="171"/>
        <v>0</v>
      </c>
      <c r="K486" s="126">
        <f t="shared" si="171"/>
        <v>0</v>
      </c>
      <c r="L486" s="126">
        <f t="shared" si="171"/>
        <v>1000000</v>
      </c>
      <c r="M486" s="126">
        <f t="shared" si="171"/>
        <v>1000000</v>
      </c>
      <c r="N486" s="126">
        <f t="shared" si="171"/>
        <v>500000</v>
      </c>
      <c r="O486" s="126">
        <f t="shared" si="171"/>
        <v>0</v>
      </c>
      <c r="P486" s="126">
        <f t="shared" si="171"/>
        <v>500000</v>
      </c>
      <c r="Q486" s="83"/>
      <c r="R486" s="126">
        <f>SUM(R485:R485)</f>
        <v>0</v>
      </c>
      <c r="S486" s="126">
        <f>SUM(S485:S485)</f>
        <v>0</v>
      </c>
      <c r="T486" s="126">
        <f>SUM(T485:T485)</f>
        <v>0</v>
      </c>
      <c r="U486" s="126">
        <f>SUM(U485:U485)</f>
        <v>0</v>
      </c>
      <c r="V486" s="83"/>
      <c r="W486" s="126">
        <f>SUM(W485:W485)</f>
        <v>0</v>
      </c>
      <c r="X486" s="126">
        <f>SUM(X485:X485)</f>
        <v>0</v>
      </c>
      <c r="Y486" s="126">
        <f>SUM(Y485:Y485)</f>
        <v>0</v>
      </c>
      <c r="Z486" s="126">
        <f>SUM(Z485:Z485)</f>
        <v>0</v>
      </c>
      <c r="AA486"/>
      <c r="AB486" s="83"/>
      <c r="AC486" s="83"/>
      <c r="AD486" s="83"/>
    </row>
    <row r="487" spans="1:30" s="86" customFormat="1" ht="12.75" customHeight="1" thickTop="1">
      <c r="A487" s="106"/>
      <c r="B487" s="111"/>
      <c r="C487" s="93"/>
      <c r="D487" s="112"/>
      <c r="E487" s="82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83"/>
      <c r="R487" s="90"/>
      <c r="S487" s="90"/>
      <c r="T487" s="90"/>
      <c r="U487" s="90"/>
      <c r="V487" s="83"/>
      <c r="W487" s="90"/>
      <c r="X487" s="90"/>
      <c r="Y487" s="90"/>
      <c r="Z487" s="90"/>
      <c r="AA487"/>
      <c r="AB487" s="83"/>
      <c r="AC487" s="83"/>
      <c r="AD487" s="83"/>
    </row>
    <row r="488" spans="1:30" s="86" customFormat="1" ht="12.75" customHeight="1" thickBot="1">
      <c r="A488" s="106">
        <v>28</v>
      </c>
      <c r="B488" s="118" t="s">
        <v>179</v>
      </c>
      <c r="C488" s="93"/>
      <c r="D488" s="11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3"/>
      <c r="R488" s="82"/>
      <c r="S488" s="82"/>
      <c r="T488" s="82"/>
      <c r="U488" s="82"/>
      <c r="V488" s="83"/>
      <c r="W488" s="82"/>
      <c r="X488" s="82"/>
      <c r="Y488" s="82"/>
      <c r="Z488" s="82"/>
      <c r="AA488"/>
      <c r="AB488" s="83"/>
      <c r="AC488" s="83"/>
      <c r="AD488" s="83"/>
    </row>
    <row r="489" spans="1:30" s="86" customFormat="1" ht="0.75" customHeight="1">
      <c r="A489" s="106"/>
      <c r="B489" s="121" t="s">
        <v>77</v>
      </c>
      <c r="C489" s="93"/>
      <c r="D489" s="109" t="s">
        <v>71</v>
      </c>
      <c r="E489" s="97" t="s">
        <v>72</v>
      </c>
      <c r="F489" s="97" t="s">
        <v>72</v>
      </c>
      <c r="G489" s="97" t="s">
        <v>73</v>
      </c>
      <c r="H489" s="97" t="s">
        <v>1</v>
      </c>
      <c r="I489" s="97" t="s">
        <v>74</v>
      </c>
      <c r="J489" s="97" t="s">
        <v>66</v>
      </c>
      <c r="K489" s="97" t="s">
        <v>59</v>
      </c>
      <c r="L489" s="97" t="s">
        <v>18</v>
      </c>
      <c r="M489" s="97" t="s">
        <v>1</v>
      </c>
      <c r="N489" s="97" t="s">
        <v>7</v>
      </c>
      <c r="O489" s="97" t="s">
        <v>75</v>
      </c>
      <c r="P489" s="97" t="s">
        <v>76</v>
      </c>
      <c r="Q489" s="108"/>
      <c r="R489" s="97" t="s">
        <v>1</v>
      </c>
      <c r="S489" s="97" t="s">
        <v>7</v>
      </c>
      <c r="T489" s="97" t="s">
        <v>75</v>
      </c>
      <c r="U489" s="97" t="s">
        <v>76</v>
      </c>
      <c r="V489" s="83"/>
      <c r="W489" s="97" t="s">
        <v>1</v>
      </c>
      <c r="X489" s="97" t="s">
        <v>7</v>
      </c>
      <c r="Y489" s="97" t="s">
        <v>75</v>
      </c>
      <c r="Z489" s="97" t="s">
        <v>76</v>
      </c>
      <c r="AA489"/>
      <c r="AB489" s="83"/>
      <c r="AC489" s="83"/>
      <c r="AD489" s="83"/>
    </row>
    <row r="490" spans="1:30" s="86" customFormat="1" ht="12.75" customHeight="1" hidden="1">
      <c r="A490" s="106"/>
      <c r="B490" s="121"/>
      <c r="C490" s="93"/>
      <c r="D490" s="131"/>
      <c r="E490" s="94"/>
      <c r="F490" s="90">
        <f>E490*D490</f>
        <v>0</v>
      </c>
      <c r="G490" s="94">
        <f>+F490*$C$4</f>
        <v>0</v>
      </c>
      <c r="H490" s="90">
        <f>+G490+F490</f>
        <v>0</v>
      </c>
      <c r="I490" s="94"/>
      <c r="J490" s="94">
        <f>D490*$C$7</f>
        <v>0</v>
      </c>
      <c r="K490" s="94">
        <f>D490*$C$5</f>
        <v>0</v>
      </c>
      <c r="L490" s="94">
        <f>D490*$C$6</f>
        <v>0</v>
      </c>
      <c r="M490" s="90">
        <f>SUM(H490:L490)</f>
        <v>0</v>
      </c>
      <c r="N490" s="94">
        <f>M490*$C$2</f>
        <v>0</v>
      </c>
      <c r="O490" s="90"/>
      <c r="P490" s="90">
        <f>M490-N490</f>
        <v>0</v>
      </c>
      <c r="Q490" s="83"/>
      <c r="R490" s="90"/>
      <c r="S490" s="90"/>
      <c r="T490" s="90"/>
      <c r="U490" s="90">
        <f>R490-S490-T490</f>
        <v>0</v>
      </c>
      <c r="V490" s="83"/>
      <c r="W490" s="90"/>
      <c r="X490" s="90"/>
      <c r="Y490" s="90"/>
      <c r="Z490" s="90">
        <f>W490-X490-Y490</f>
        <v>0</v>
      </c>
      <c r="AA490"/>
      <c r="AB490" s="83"/>
      <c r="AC490" s="83"/>
      <c r="AD490" s="83"/>
    </row>
    <row r="491" spans="1:30" s="86" customFormat="1" ht="12.75" customHeight="1" hidden="1" thickBot="1">
      <c r="A491" s="106"/>
      <c r="B491" s="120"/>
      <c r="C491" s="93"/>
      <c r="D491" s="112"/>
      <c r="E491" s="82"/>
      <c r="F491" s="123">
        <f>E491*D491</f>
        <v>0</v>
      </c>
      <c r="G491" s="143">
        <f>+F491*$C$4</f>
        <v>0</v>
      </c>
      <c r="H491" s="123">
        <f>+G491+F491</f>
        <v>0</v>
      </c>
      <c r="I491" s="143"/>
      <c r="J491" s="143">
        <f>D491*$C$7</f>
        <v>0</v>
      </c>
      <c r="K491" s="143">
        <f>D491*$C$5</f>
        <v>0</v>
      </c>
      <c r="L491" s="143">
        <f>D491*$C$6</f>
        <v>0</v>
      </c>
      <c r="M491" s="123">
        <f>SUM(H491:L491)</f>
        <v>0</v>
      </c>
      <c r="N491" s="143">
        <f>M491*$C$2</f>
        <v>0</v>
      </c>
      <c r="O491" s="123"/>
      <c r="P491" s="123">
        <f>M491-N491</f>
        <v>0</v>
      </c>
      <c r="Q491" s="138"/>
      <c r="R491" s="123"/>
      <c r="S491" s="123"/>
      <c r="T491" s="123"/>
      <c r="U491" s="123">
        <f>R491-S491-T491</f>
        <v>0</v>
      </c>
      <c r="V491" s="83"/>
      <c r="W491" s="123"/>
      <c r="X491" s="123"/>
      <c r="Y491" s="123"/>
      <c r="Z491" s="123">
        <f>W491-X491-Y491</f>
        <v>0</v>
      </c>
      <c r="AA491"/>
      <c r="AB491" s="83"/>
      <c r="AC491" s="83"/>
      <c r="AD491" s="83"/>
    </row>
    <row r="492" spans="1:30" s="86" customFormat="1" ht="12.75" customHeight="1" hidden="1">
      <c r="A492" s="106"/>
      <c r="B492" s="120"/>
      <c r="C492" s="93"/>
      <c r="D492" s="112"/>
      <c r="E492" s="82"/>
      <c r="F492" s="82">
        <f aca="true" t="shared" si="172" ref="F492:P492">SUM(F490:F491)</f>
        <v>0</v>
      </c>
      <c r="G492" s="82">
        <f t="shared" si="172"/>
        <v>0</v>
      </c>
      <c r="H492" s="82">
        <f t="shared" si="172"/>
        <v>0</v>
      </c>
      <c r="I492" s="82">
        <f t="shared" si="172"/>
        <v>0</v>
      </c>
      <c r="J492" s="82">
        <f t="shared" si="172"/>
        <v>0</v>
      </c>
      <c r="K492" s="82">
        <f t="shared" si="172"/>
        <v>0</v>
      </c>
      <c r="L492" s="82">
        <f t="shared" si="172"/>
        <v>0</v>
      </c>
      <c r="M492" s="82">
        <f t="shared" si="172"/>
        <v>0</v>
      </c>
      <c r="N492" s="82">
        <f t="shared" si="172"/>
        <v>0</v>
      </c>
      <c r="O492" s="82">
        <f t="shared" si="172"/>
        <v>0</v>
      </c>
      <c r="P492" s="82">
        <f t="shared" si="172"/>
        <v>0</v>
      </c>
      <c r="Q492" s="83"/>
      <c r="R492" s="82">
        <f>SUM(R490:R491)</f>
        <v>0</v>
      </c>
      <c r="S492" s="82">
        <f>SUM(S490:S491)</f>
        <v>0</v>
      </c>
      <c r="T492" s="82">
        <f>SUM(T490:T491)</f>
        <v>0</v>
      </c>
      <c r="U492" s="82">
        <f>SUM(U490:U491)</f>
        <v>0</v>
      </c>
      <c r="V492" s="83"/>
      <c r="W492" s="82">
        <f>SUM(W490:W491)</f>
        <v>0</v>
      </c>
      <c r="X492" s="82">
        <f>SUM(X490:X491)</f>
        <v>0</v>
      </c>
      <c r="Y492" s="82">
        <f>SUM(Y490:Y491)</f>
        <v>0</v>
      </c>
      <c r="Z492" s="82">
        <f>SUM(Z490:Z491)</f>
        <v>0</v>
      </c>
      <c r="AA492"/>
      <c r="AB492" s="83"/>
      <c r="AC492" s="83"/>
      <c r="AD492" s="83"/>
    </row>
    <row r="493" spans="1:30" s="86" customFormat="1" ht="12.75" customHeight="1">
      <c r="A493" s="106"/>
      <c r="B493" s="120"/>
      <c r="C493" s="93"/>
      <c r="D493" s="112"/>
      <c r="E493" s="82"/>
      <c r="F493" s="82">
        <f>SUM(F492:F492)</f>
        <v>0</v>
      </c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3"/>
      <c r="R493" s="82"/>
      <c r="S493" s="82"/>
      <c r="T493" s="82"/>
      <c r="U493" s="82"/>
      <c r="V493" s="83"/>
      <c r="W493" s="82"/>
      <c r="X493" s="82"/>
      <c r="Y493" s="82"/>
      <c r="Z493" s="82"/>
      <c r="AA493"/>
      <c r="AB493" s="83"/>
      <c r="AC493" s="83"/>
      <c r="AD493" s="83"/>
    </row>
    <row r="494" spans="1:30" s="86" customFormat="1" ht="12.75" customHeight="1">
      <c r="A494" s="160">
        <v>531</v>
      </c>
      <c r="B494" s="83" t="s">
        <v>127</v>
      </c>
      <c r="C494" s="93"/>
      <c r="D494" s="112"/>
      <c r="E494" s="82"/>
      <c r="F494" s="82"/>
      <c r="G494" s="82"/>
      <c r="H494" s="82"/>
      <c r="I494" s="82"/>
      <c r="J494" s="82"/>
      <c r="K494" s="82"/>
      <c r="L494" s="82">
        <f>'[8]FY10 Priority  (2)'!$F$63</f>
        <v>173600</v>
      </c>
      <c r="M494" s="90">
        <f>SUM(H494:L494)</f>
        <v>173600</v>
      </c>
      <c r="N494" s="82">
        <f>M494*C1</f>
        <v>61111.539999999986</v>
      </c>
      <c r="O494" s="82"/>
      <c r="P494" s="82">
        <f>+M494-N494-O494</f>
        <v>112488.46000000002</v>
      </c>
      <c r="Q494" s="83"/>
      <c r="R494" s="90"/>
      <c r="S494" s="82"/>
      <c r="T494" s="82"/>
      <c r="U494" s="82"/>
      <c r="V494" s="83"/>
      <c r="W494" s="90"/>
      <c r="X494" s="82"/>
      <c r="Y494" s="82"/>
      <c r="Z494" s="82"/>
      <c r="AA494"/>
      <c r="AB494" s="83"/>
      <c r="AC494" s="83"/>
      <c r="AD494" s="83"/>
    </row>
    <row r="495" spans="1:30" s="86" customFormat="1" ht="12.75" customHeight="1">
      <c r="A495" s="106"/>
      <c r="B495" s="120"/>
      <c r="C495" s="93"/>
      <c r="D495" s="11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3"/>
      <c r="R495" s="82"/>
      <c r="S495" s="82"/>
      <c r="T495" s="82"/>
      <c r="U495" s="82"/>
      <c r="V495" s="83"/>
      <c r="W495" s="82"/>
      <c r="X495" s="82"/>
      <c r="Y495" s="82"/>
      <c r="Z495" s="82"/>
      <c r="AA495"/>
      <c r="AB495" s="83"/>
      <c r="AC495" s="83"/>
      <c r="AD495" s="83"/>
    </row>
    <row r="496" spans="1:30" s="86" customFormat="1" ht="12.75" customHeight="1" thickBot="1">
      <c r="A496" s="106"/>
      <c r="B496" s="111" t="s">
        <v>79</v>
      </c>
      <c r="C496" s="93"/>
      <c r="D496" s="112"/>
      <c r="E496" s="82"/>
      <c r="F496" s="126">
        <f>SUM(F492:F495)</f>
        <v>0</v>
      </c>
      <c r="G496" s="126">
        <f>SUM(G492:G495)</f>
        <v>0</v>
      </c>
      <c r="H496" s="126"/>
      <c r="I496" s="126"/>
      <c r="J496" s="126">
        <f>SUM(J492:J495)</f>
        <v>0</v>
      </c>
      <c r="K496" s="126">
        <f>SUM(K492:K495)</f>
        <v>0</v>
      </c>
      <c r="L496" s="126">
        <f>SUM(L492:L495)</f>
        <v>173600</v>
      </c>
      <c r="M496" s="126">
        <f>SUM(M492:M495)</f>
        <v>173600</v>
      </c>
      <c r="N496" s="126">
        <f>SUM(N492:N495)</f>
        <v>61111.539999999986</v>
      </c>
      <c r="O496" s="126"/>
      <c r="P496" s="126">
        <f>SUM(P492:P495)</f>
        <v>112488.46000000002</v>
      </c>
      <c r="Q496" s="83"/>
      <c r="R496" s="126"/>
      <c r="S496" s="126"/>
      <c r="T496" s="126"/>
      <c r="U496" s="126"/>
      <c r="V496" s="83"/>
      <c r="W496" s="126"/>
      <c r="X496" s="126"/>
      <c r="Y496" s="126"/>
      <c r="Z496" s="126"/>
      <c r="AA496"/>
      <c r="AB496" s="83"/>
      <c r="AC496" s="83"/>
      <c r="AD496" s="83"/>
    </row>
    <row r="497" spans="1:30" s="86" customFormat="1" ht="12.75" customHeight="1" thickTop="1">
      <c r="A497" s="106"/>
      <c r="B497" s="120"/>
      <c r="C497" s="93"/>
      <c r="D497" s="11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3"/>
      <c r="R497" s="82"/>
      <c r="S497" s="82"/>
      <c r="T497" s="82"/>
      <c r="U497" s="82"/>
      <c r="V497" s="83"/>
      <c r="W497" s="82"/>
      <c r="X497" s="82"/>
      <c r="Y497" s="82"/>
      <c r="Z497" s="82"/>
      <c r="AA497"/>
      <c r="AB497" s="83"/>
      <c r="AC497" s="83"/>
      <c r="AD497" s="83"/>
    </row>
    <row r="498" spans="1:30" s="86" customFormat="1" ht="12.75" customHeight="1">
      <c r="A498" s="106"/>
      <c r="B498" s="128" t="s">
        <v>80</v>
      </c>
      <c r="C498" s="93"/>
      <c r="D498" s="11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3"/>
      <c r="R498" s="82"/>
      <c r="S498" s="82"/>
      <c r="T498" s="82"/>
      <c r="U498" s="82"/>
      <c r="V498" s="83"/>
      <c r="W498" s="82"/>
      <c r="X498" s="82"/>
      <c r="Y498" s="82"/>
      <c r="Z498" s="82"/>
      <c r="AA498"/>
      <c r="AB498" s="83"/>
      <c r="AC498" s="83"/>
      <c r="AD498" s="83"/>
    </row>
    <row r="499" spans="1:30" s="86" customFormat="1" ht="12.75" customHeight="1">
      <c r="A499" s="106"/>
      <c r="B499" s="83" t="str">
        <f>K5</f>
        <v>340-1020-01</v>
      </c>
      <c r="C499" s="93"/>
      <c r="D499" s="112"/>
      <c r="E499" s="82"/>
      <c r="F499" s="82"/>
      <c r="G499" s="82"/>
      <c r="H499" s="82"/>
      <c r="I499" s="82"/>
      <c r="J499" s="82">
        <f>+J494</f>
        <v>0</v>
      </c>
      <c r="K499" s="82"/>
      <c r="L499" s="82">
        <f>L496</f>
        <v>173600</v>
      </c>
      <c r="M499" s="90">
        <f>SUM(H499:L499)</f>
        <v>173600</v>
      </c>
      <c r="N499" s="82">
        <f>N496</f>
        <v>61111.539999999986</v>
      </c>
      <c r="O499" s="82"/>
      <c r="P499" s="82">
        <f>+M499-N499</f>
        <v>112488.46000000002</v>
      </c>
      <c r="Q499" s="83"/>
      <c r="R499" s="90"/>
      <c r="S499" s="82"/>
      <c r="T499" s="82"/>
      <c r="U499" s="82">
        <f>+R499-S499-T499</f>
        <v>0</v>
      </c>
      <c r="V499" s="83"/>
      <c r="W499" s="90"/>
      <c r="X499" s="82"/>
      <c r="Y499" s="82"/>
      <c r="Z499" s="82">
        <f>+W499-X499-Y499</f>
        <v>0</v>
      </c>
      <c r="AA499"/>
      <c r="AB499" s="83"/>
      <c r="AC499" s="83"/>
      <c r="AD499" s="83"/>
    </row>
    <row r="500" spans="1:30" s="86" customFormat="1" ht="12.75" customHeight="1" thickBot="1">
      <c r="A500" s="106"/>
      <c r="B500" s="111"/>
      <c r="C500" s="93"/>
      <c r="D500" s="112"/>
      <c r="E500" s="82"/>
      <c r="F500" s="126">
        <f aca="true" t="shared" si="173" ref="F500:P500">SUM(F499:F499)</f>
        <v>0</v>
      </c>
      <c r="G500" s="126">
        <f t="shared" si="173"/>
        <v>0</v>
      </c>
      <c r="H500" s="126">
        <f t="shared" si="173"/>
        <v>0</v>
      </c>
      <c r="I500" s="126">
        <f t="shared" si="173"/>
        <v>0</v>
      </c>
      <c r="J500" s="126">
        <f t="shared" si="173"/>
        <v>0</v>
      </c>
      <c r="K500" s="126">
        <f t="shared" si="173"/>
        <v>0</v>
      </c>
      <c r="L500" s="126">
        <f t="shared" si="173"/>
        <v>173600</v>
      </c>
      <c r="M500" s="126">
        <f t="shared" si="173"/>
        <v>173600</v>
      </c>
      <c r="N500" s="126">
        <f t="shared" si="173"/>
        <v>61111.539999999986</v>
      </c>
      <c r="O500" s="126">
        <f t="shared" si="173"/>
        <v>0</v>
      </c>
      <c r="P500" s="126">
        <f t="shared" si="173"/>
        <v>112488.46000000002</v>
      </c>
      <c r="Q500" s="83"/>
      <c r="R500" s="126">
        <f>SUM(R499:R499)</f>
        <v>0</v>
      </c>
      <c r="S500" s="126">
        <f>SUM(S499:S499)</f>
        <v>0</v>
      </c>
      <c r="T500" s="126">
        <f>SUM(T499:T499)</f>
        <v>0</v>
      </c>
      <c r="U500" s="126">
        <f>SUM(U499:U499)</f>
        <v>0</v>
      </c>
      <c r="V500" s="83"/>
      <c r="W500" s="126">
        <f>SUM(W499:W499)</f>
        <v>0</v>
      </c>
      <c r="X500" s="126">
        <f>SUM(X499:X499)</f>
        <v>0</v>
      </c>
      <c r="Y500" s="126">
        <f>SUM(Y499:Y499)</f>
        <v>0</v>
      </c>
      <c r="Z500" s="126">
        <f>SUM(Z499:Z499)</f>
        <v>0</v>
      </c>
      <c r="AA500"/>
      <c r="AB500" s="83"/>
      <c r="AC500" s="83"/>
      <c r="AD500" s="83"/>
    </row>
    <row r="501" spans="1:30" s="86" customFormat="1" ht="12.75" customHeight="1" thickTop="1">
      <c r="A501" s="106"/>
      <c r="B501" s="111"/>
      <c r="C501" s="93"/>
      <c r="D501" s="112"/>
      <c r="E501" s="82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83"/>
      <c r="R501" s="90"/>
      <c r="S501" s="90"/>
      <c r="T501" s="90"/>
      <c r="U501" s="90"/>
      <c r="V501" s="83"/>
      <c r="W501" s="90"/>
      <c r="X501" s="90"/>
      <c r="Y501" s="90"/>
      <c r="Z501" s="90"/>
      <c r="AA501"/>
      <c r="AB501" s="83"/>
      <c r="AC501" s="83"/>
      <c r="AD501" s="83"/>
    </row>
    <row r="502" spans="1:30" s="86" customFormat="1" ht="12.75" customHeight="1" thickBot="1">
      <c r="A502" s="106">
        <v>29</v>
      </c>
      <c r="B502" s="118" t="s">
        <v>180</v>
      </c>
      <c r="C502" s="93"/>
      <c r="D502" s="11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3"/>
      <c r="R502" s="82"/>
      <c r="S502" s="82"/>
      <c r="T502" s="82"/>
      <c r="U502" s="82"/>
      <c r="V502" s="83"/>
      <c r="W502" s="82"/>
      <c r="X502" s="82"/>
      <c r="Y502" s="82"/>
      <c r="Z502" s="82"/>
      <c r="AA502"/>
      <c r="AB502" s="83"/>
      <c r="AC502" s="83"/>
      <c r="AD502" s="83"/>
    </row>
    <row r="503" spans="1:30" s="86" customFormat="1" ht="0.75" customHeight="1">
      <c r="A503" s="106"/>
      <c r="B503" s="121" t="s">
        <v>77</v>
      </c>
      <c r="C503" s="93"/>
      <c r="D503" s="109" t="s">
        <v>71</v>
      </c>
      <c r="E503" s="97" t="s">
        <v>72</v>
      </c>
      <c r="F503" s="97" t="s">
        <v>72</v>
      </c>
      <c r="G503" s="97" t="s">
        <v>73</v>
      </c>
      <c r="H503" s="97" t="s">
        <v>1</v>
      </c>
      <c r="I503" s="97" t="s">
        <v>74</v>
      </c>
      <c r="J503" s="97" t="s">
        <v>66</v>
      </c>
      <c r="K503" s="97" t="s">
        <v>59</v>
      </c>
      <c r="L503" s="97" t="s">
        <v>18</v>
      </c>
      <c r="M503" s="97" t="s">
        <v>1</v>
      </c>
      <c r="N503" s="97" t="s">
        <v>7</v>
      </c>
      <c r="O503" s="97" t="s">
        <v>75</v>
      </c>
      <c r="P503" s="97" t="s">
        <v>76</v>
      </c>
      <c r="Q503" s="108"/>
      <c r="R503" s="97" t="s">
        <v>1</v>
      </c>
      <c r="S503" s="97" t="s">
        <v>7</v>
      </c>
      <c r="T503" s="97" t="s">
        <v>75</v>
      </c>
      <c r="U503" s="97" t="s">
        <v>76</v>
      </c>
      <c r="V503" s="83"/>
      <c r="W503" s="97" t="s">
        <v>1</v>
      </c>
      <c r="X503" s="97" t="s">
        <v>7</v>
      </c>
      <c r="Y503" s="97" t="s">
        <v>75</v>
      </c>
      <c r="Z503" s="97" t="s">
        <v>76</v>
      </c>
      <c r="AA503"/>
      <c r="AB503" s="83"/>
      <c r="AC503" s="83"/>
      <c r="AD503" s="83"/>
    </row>
    <row r="504" spans="1:30" s="86" customFormat="1" ht="12.75" customHeight="1" hidden="1">
      <c r="A504" s="106"/>
      <c r="B504" s="121"/>
      <c r="C504" s="93"/>
      <c r="D504" s="131"/>
      <c r="E504" s="94"/>
      <c r="F504" s="90">
        <f>E504*D504</f>
        <v>0</v>
      </c>
      <c r="G504" s="94">
        <f>+F504*$C$4</f>
        <v>0</v>
      </c>
      <c r="H504" s="90">
        <f>+G504+F504</f>
        <v>0</v>
      </c>
      <c r="I504" s="94"/>
      <c r="J504" s="94">
        <f>D504*$C$7</f>
        <v>0</v>
      </c>
      <c r="K504" s="94">
        <f>D504*$C$5</f>
        <v>0</v>
      </c>
      <c r="L504" s="94">
        <f>D504*$C$6</f>
        <v>0</v>
      </c>
      <c r="M504" s="90">
        <f>SUM(H504:L504)</f>
        <v>0</v>
      </c>
      <c r="N504" s="94">
        <f>M504*$C$2</f>
        <v>0</v>
      </c>
      <c r="O504" s="90"/>
      <c r="P504" s="90">
        <f>M504-N504</f>
        <v>0</v>
      </c>
      <c r="Q504" s="83"/>
      <c r="R504" s="90"/>
      <c r="S504" s="90"/>
      <c r="T504" s="90"/>
      <c r="U504" s="90">
        <f>R504-S504-T504</f>
        <v>0</v>
      </c>
      <c r="V504" s="83"/>
      <c r="W504" s="90"/>
      <c r="X504" s="90"/>
      <c r="Y504" s="90"/>
      <c r="Z504" s="90">
        <f>W504-X504-Y504</f>
        <v>0</v>
      </c>
      <c r="AA504"/>
      <c r="AB504" s="83"/>
      <c r="AC504" s="83"/>
      <c r="AD504" s="83"/>
    </row>
    <row r="505" spans="1:30" s="86" customFormat="1" ht="12.75" customHeight="1" hidden="1" thickBot="1">
      <c r="A505" s="106"/>
      <c r="B505" s="120"/>
      <c r="C505" s="93"/>
      <c r="D505" s="112"/>
      <c r="E505" s="82"/>
      <c r="F505" s="123">
        <f>E505*D505</f>
        <v>0</v>
      </c>
      <c r="G505" s="143">
        <f>+F505*$C$4</f>
        <v>0</v>
      </c>
      <c r="H505" s="123">
        <f>+G505+F505</f>
        <v>0</v>
      </c>
      <c r="I505" s="143"/>
      <c r="J505" s="143">
        <f>D505*$C$7</f>
        <v>0</v>
      </c>
      <c r="K505" s="143">
        <f>D505*$C$5</f>
        <v>0</v>
      </c>
      <c r="L505" s="143">
        <f>D505*$C$6</f>
        <v>0</v>
      </c>
      <c r="M505" s="123">
        <f>SUM(H505:L505)</f>
        <v>0</v>
      </c>
      <c r="N505" s="143">
        <f>M505*$C$2</f>
        <v>0</v>
      </c>
      <c r="O505" s="123"/>
      <c r="P505" s="123">
        <f>M505-N505</f>
        <v>0</v>
      </c>
      <c r="Q505" s="138"/>
      <c r="R505" s="123"/>
      <c r="S505" s="123"/>
      <c r="T505" s="123"/>
      <c r="U505" s="123">
        <f>R505-S505-T505</f>
        <v>0</v>
      </c>
      <c r="V505" s="83"/>
      <c r="W505" s="123"/>
      <c r="X505" s="123"/>
      <c r="Y505" s="123"/>
      <c r="Z505" s="123">
        <f>W505-X505-Y505</f>
        <v>0</v>
      </c>
      <c r="AA505"/>
      <c r="AB505" s="83"/>
      <c r="AC505" s="83"/>
      <c r="AD505" s="83"/>
    </row>
    <row r="506" spans="1:30" s="86" customFormat="1" ht="12.75" customHeight="1" hidden="1">
      <c r="A506" s="106"/>
      <c r="B506" s="120"/>
      <c r="C506" s="93"/>
      <c r="D506" s="112"/>
      <c r="E506" s="82"/>
      <c r="F506" s="82">
        <f aca="true" t="shared" si="174" ref="F506:P506">SUM(F504:F505)</f>
        <v>0</v>
      </c>
      <c r="G506" s="82">
        <f t="shared" si="174"/>
        <v>0</v>
      </c>
      <c r="H506" s="82">
        <f t="shared" si="174"/>
        <v>0</v>
      </c>
      <c r="I506" s="82">
        <f t="shared" si="174"/>
        <v>0</v>
      </c>
      <c r="J506" s="82">
        <f t="shared" si="174"/>
        <v>0</v>
      </c>
      <c r="K506" s="82">
        <f t="shared" si="174"/>
        <v>0</v>
      </c>
      <c r="L506" s="82">
        <f t="shared" si="174"/>
        <v>0</v>
      </c>
      <c r="M506" s="82">
        <f t="shared" si="174"/>
        <v>0</v>
      </c>
      <c r="N506" s="82">
        <f t="shared" si="174"/>
        <v>0</v>
      </c>
      <c r="O506" s="82">
        <f t="shared" si="174"/>
        <v>0</v>
      </c>
      <c r="P506" s="82">
        <f t="shared" si="174"/>
        <v>0</v>
      </c>
      <c r="Q506" s="83"/>
      <c r="R506" s="82">
        <f>SUM(R504:R505)</f>
        <v>0</v>
      </c>
      <c r="S506" s="82">
        <f>SUM(S504:S505)</f>
        <v>0</v>
      </c>
      <c r="T506" s="82">
        <f>SUM(T504:T505)</f>
        <v>0</v>
      </c>
      <c r="U506" s="82">
        <f>SUM(U504:U505)</f>
        <v>0</v>
      </c>
      <c r="V506" s="83"/>
      <c r="W506" s="82">
        <f>SUM(W504:W505)</f>
        <v>0</v>
      </c>
      <c r="X506" s="82">
        <f>SUM(X504:X505)</f>
        <v>0</v>
      </c>
      <c r="Y506" s="82">
        <f>SUM(Y504:Y505)</f>
        <v>0</v>
      </c>
      <c r="Z506" s="82">
        <f>SUM(Z504:Z505)</f>
        <v>0</v>
      </c>
      <c r="AA506"/>
      <c r="AB506" s="83"/>
      <c r="AC506" s="83"/>
      <c r="AD506" s="83"/>
    </row>
    <row r="507" spans="1:30" s="86" customFormat="1" ht="12.75" customHeight="1">
      <c r="A507" s="106"/>
      <c r="B507" s="120"/>
      <c r="C507" s="93"/>
      <c r="D507" s="112"/>
      <c r="E507" s="82"/>
      <c r="F507" s="82">
        <f>SUM(F506:F506)</f>
        <v>0</v>
      </c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3"/>
      <c r="R507" s="82"/>
      <c r="S507" s="82"/>
      <c r="T507" s="82"/>
      <c r="U507" s="82"/>
      <c r="V507" s="83"/>
      <c r="W507" s="82"/>
      <c r="X507" s="82"/>
      <c r="Y507" s="82"/>
      <c r="Z507" s="82"/>
      <c r="AA507"/>
      <c r="AB507" s="83"/>
      <c r="AC507" s="83"/>
      <c r="AD507" s="83"/>
    </row>
    <row r="508" spans="1:30" s="86" customFormat="1" ht="12.75" customHeight="1">
      <c r="A508" s="93">
        <v>547</v>
      </c>
      <c r="B508" s="83" t="s">
        <v>127</v>
      </c>
      <c r="C508" s="93"/>
      <c r="D508" s="112"/>
      <c r="E508" s="82"/>
      <c r="F508" s="82"/>
      <c r="G508" s="82"/>
      <c r="H508" s="82"/>
      <c r="I508" s="82">
        <v>150000</v>
      </c>
      <c r="J508" s="82"/>
      <c r="K508" s="82"/>
      <c r="L508" s="82"/>
      <c r="M508" s="90">
        <f>SUM(H508:L508)</f>
        <v>150000</v>
      </c>
      <c r="N508" s="82">
        <f>M508*C2</f>
        <v>75000</v>
      </c>
      <c r="O508" s="82"/>
      <c r="P508" s="82">
        <f>+M508-N508-O508</f>
        <v>75000</v>
      </c>
      <c r="Q508" s="83"/>
      <c r="R508" s="90">
        <v>22832</v>
      </c>
      <c r="S508" s="82">
        <f>R508*S2</f>
        <v>11416</v>
      </c>
      <c r="T508" s="82"/>
      <c r="U508" s="82">
        <f>+R508-S508-T508</f>
        <v>11416</v>
      </c>
      <c r="V508" s="83"/>
      <c r="W508" s="90">
        <v>32000</v>
      </c>
      <c r="X508" s="82">
        <f>W508*X2</f>
        <v>16000</v>
      </c>
      <c r="Y508" s="82"/>
      <c r="Z508" s="82">
        <f>+W508-X508-Y508</f>
        <v>16000</v>
      </c>
      <c r="AA508"/>
      <c r="AB508" s="83"/>
      <c r="AC508" s="83"/>
      <c r="AD508" s="83"/>
    </row>
    <row r="509" spans="1:30" s="86" customFormat="1" ht="12.75" customHeight="1">
      <c r="A509" s="106"/>
      <c r="B509" s="120"/>
      <c r="C509" s="93"/>
      <c r="D509" s="11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3"/>
      <c r="R509" s="82"/>
      <c r="S509" s="82"/>
      <c r="T509" s="82"/>
      <c r="U509" s="82"/>
      <c r="V509" s="83"/>
      <c r="W509" s="82"/>
      <c r="X509" s="82"/>
      <c r="Y509" s="82"/>
      <c r="Z509" s="82"/>
      <c r="AA509"/>
      <c r="AB509" s="83"/>
      <c r="AC509" s="83"/>
      <c r="AD509" s="83"/>
    </row>
    <row r="510" spans="1:30" s="86" customFormat="1" ht="12.75" customHeight="1" thickBot="1">
      <c r="A510" s="106"/>
      <c r="B510" s="111" t="s">
        <v>79</v>
      </c>
      <c r="C510" s="93"/>
      <c r="D510" s="112"/>
      <c r="E510" s="82"/>
      <c r="F510" s="126">
        <f>SUM(F506:F509)</f>
        <v>0</v>
      </c>
      <c r="G510" s="126">
        <f>SUM(G506:G509)</f>
        <v>0</v>
      </c>
      <c r="H510" s="126"/>
      <c r="I510" s="126"/>
      <c r="J510" s="126">
        <f>SUM(J506:J509)</f>
        <v>0</v>
      </c>
      <c r="K510" s="126"/>
      <c r="L510" s="126"/>
      <c r="M510" s="126">
        <f>SUM(M506:M509)</f>
        <v>150000</v>
      </c>
      <c r="N510" s="126">
        <f>SUM(N506:N509)</f>
        <v>75000</v>
      </c>
      <c r="O510" s="126"/>
      <c r="P510" s="126">
        <f>SUM(P506:P509)</f>
        <v>75000</v>
      </c>
      <c r="Q510" s="83"/>
      <c r="R510" s="126">
        <f>SUM(R508:R509)</f>
        <v>22832</v>
      </c>
      <c r="S510" s="126">
        <f>SUM(S508:S509)</f>
        <v>11416</v>
      </c>
      <c r="T510" s="126">
        <f>SUM(T508:T509)</f>
        <v>0</v>
      </c>
      <c r="U510" s="126">
        <f>SUM(U508:U509)</f>
        <v>11416</v>
      </c>
      <c r="V510" s="83"/>
      <c r="W510" s="126">
        <f>SUM(W508:W509)</f>
        <v>32000</v>
      </c>
      <c r="X510" s="126">
        <f>SUM(X508:X509)</f>
        <v>16000</v>
      </c>
      <c r="Y510" s="126">
        <f>SUM(Y508:Y509)</f>
        <v>0</v>
      </c>
      <c r="Z510" s="126">
        <f>SUM(Z508:Z509)</f>
        <v>16000</v>
      </c>
      <c r="AA510"/>
      <c r="AB510" s="83"/>
      <c r="AC510" s="83"/>
      <c r="AD510" s="83"/>
    </row>
    <row r="511" spans="1:30" s="86" customFormat="1" ht="12.75" customHeight="1" thickTop="1">
      <c r="A511" s="106"/>
      <c r="B511" s="120"/>
      <c r="C511" s="93"/>
      <c r="D511" s="11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3"/>
      <c r="R511" s="82"/>
      <c r="S511" s="82"/>
      <c r="T511" s="82"/>
      <c r="U511" s="82"/>
      <c r="V511" s="83"/>
      <c r="W511" s="82"/>
      <c r="X511" s="82"/>
      <c r="Y511" s="82"/>
      <c r="Z511" s="82"/>
      <c r="AA511"/>
      <c r="AB511" s="83"/>
      <c r="AC511" s="83"/>
      <c r="AD511" s="83"/>
    </row>
    <row r="512" spans="1:30" s="86" customFormat="1" ht="12.75" customHeight="1">
      <c r="A512" s="106"/>
      <c r="B512" s="128" t="s">
        <v>80</v>
      </c>
      <c r="C512" s="93"/>
      <c r="D512" s="11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3"/>
      <c r="R512" s="82"/>
      <c r="S512" s="82"/>
      <c r="T512" s="82"/>
      <c r="U512" s="82"/>
      <c r="V512" s="83"/>
      <c r="W512" s="82"/>
      <c r="X512" s="82"/>
      <c r="Y512" s="82"/>
      <c r="Z512" s="82"/>
      <c r="AA512"/>
      <c r="AB512" s="83"/>
      <c r="AC512" s="83"/>
      <c r="AD512" s="83"/>
    </row>
    <row r="513" spans="1:30" s="86" customFormat="1" ht="12.75" customHeight="1">
      <c r="A513" s="106"/>
      <c r="B513" s="102" t="str">
        <f>J4</f>
        <v>200-1030-01</v>
      </c>
      <c r="C513" s="93"/>
      <c r="D513" s="112"/>
      <c r="E513" s="82"/>
      <c r="F513" s="82"/>
      <c r="G513" s="82"/>
      <c r="H513" s="82"/>
      <c r="I513" s="82">
        <f>I508</f>
        <v>150000</v>
      </c>
      <c r="J513" s="82"/>
      <c r="K513" s="82"/>
      <c r="L513" s="82"/>
      <c r="M513" s="90">
        <f>SUM(H513:L513)</f>
        <v>150000</v>
      </c>
      <c r="N513" s="82">
        <f>N510</f>
        <v>75000</v>
      </c>
      <c r="O513" s="82"/>
      <c r="P513" s="82">
        <f>+M513-N513-O513</f>
        <v>75000</v>
      </c>
      <c r="Q513" s="83"/>
      <c r="R513" s="82">
        <f>R510</f>
        <v>22832</v>
      </c>
      <c r="S513" s="90">
        <f>R513*$S$2</f>
        <v>11416</v>
      </c>
      <c r="T513" s="90"/>
      <c r="U513" s="90">
        <f>R513-S513-T513</f>
        <v>11416</v>
      </c>
      <c r="V513" s="83"/>
      <c r="W513" s="90">
        <f>W510</f>
        <v>32000</v>
      </c>
      <c r="X513" s="90">
        <f>W513*$X$2</f>
        <v>16000</v>
      </c>
      <c r="Y513" s="90"/>
      <c r="Z513" s="90">
        <f>W513-X513-Y513</f>
        <v>16000</v>
      </c>
      <c r="AA513"/>
      <c r="AB513" s="83"/>
      <c r="AC513" s="83"/>
      <c r="AD513" s="83"/>
    </row>
    <row r="514" spans="1:30" s="86" customFormat="1" ht="12.75" customHeight="1">
      <c r="A514" s="106"/>
      <c r="B514" s="83"/>
      <c r="C514" s="93"/>
      <c r="D514" s="112"/>
      <c r="E514" s="82"/>
      <c r="F514" s="82"/>
      <c r="G514" s="82"/>
      <c r="H514" s="82"/>
      <c r="I514" s="82"/>
      <c r="J514" s="82">
        <f>+J508</f>
        <v>0</v>
      </c>
      <c r="K514" s="82"/>
      <c r="L514" s="82"/>
      <c r="M514" s="90">
        <f>SUM(H514:L514)</f>
        <v>0</v>
      </c>
      <c r="N514" s="82">
        <f>+M514*0.5</f>
        <v>0</v>
      </c>
      <c r="O514" s="82"/>
      <c r="P514" s="82">
        <f>+M514-N514</f>
        <v>0</v>
      </c>
      <c r="Q514" s="83"/>
      <c r="R514" s="90"/>
      <c r="S514" s="82"/>
      <c r="T514" s="82"/>
      <c r="U514" s="82"/>
      <c r="V514" s="83"/>
      <c r="W514" s="90"/>
      <c r="X514" s="82"/>
      <c r="Y514" s="82"/>
      <c r="Z514" s="82"/>
      <c r="AA514"/>
      <c r="AB514" s="83"/>
      <c r="AC514" s="83"/>
      <c r="AD514" s="83"/>
    </row>
    <row r="515" spans="1:30" s="86" customFormat="1" ht="12.75" customHeight="1" thickBot="1">
      <c r="A515" s="106"/>
      <c r="B515" s="111"/>
      <c r="C515" s="93"/>
      <c r="D515" s="112"/>
      <c r="E515" s="82"/>
      <c r="F515" s="126">
        <f aca="true" t="shared" si="175" ref="F515:P515">SUM(F513:F514)</f>
        <v>0</v>
      </c>
      <c r="G515" s="126">
        <f t="shared" si="175"/>
        <v>0</v>
      </c>
      <c r="H515" s="126">
        <f t="shared" si="175"/>
        <v>0</v>
      </c>
      <c r="I515" s="126">
        <f t="shared" si="175"/>
        <v>150000</v>
      </c>
      <c r="J515" s="126">
        <f t="shared" si="175"/>
        <v>0</v>
      </c>
      <c r="K515" s="126">
        <f t="shared" si="175"/>
        <v>0</v>
      </c>
      <c r="L515" s="126">
        <f t="shared" si="175"/>
        <v>0</v>
      </c>
      <c r="M515" s="126">
        <f t="shared" si="175"/>
        <v>150000</v>
      </c>
      <c r="N515" s="126">
        <f t="shared" si="175"/>
        <v>75000</v>
      </c>
      <c r="O515" s="126">
        <f t="shared" si="175"/>
        <v>0</v>
      </c>
      <c r="P515" s="126">
        <f t="shared" si="175"/>
        <v>75000</v>
      </c>
      <c r="Q515" s="83"/>
      <c r="R515" s="126">
        <f>SUM(R513:R514)</f>
        <v>22832</v>
      </c>
      <c r="S515" s="126">
        <f>SUM(S513:S514)</f>
        <v>11416</v>
      </c>
      <c r="T515" s="126">
        <f>SUM(T513:T514)</f>
        <v>0</v>
      </c>
      <c r="U515" s="126">
        <f>SUM(U513:U514)</f>
        <v>11416</v>
      </c>
      <c r="V515" s="83"/>
      <c r="W515" s="126">
        <f>SUM(W513:W514)</f>
        <v>32000</v>
      </c>
      <c r="X515" s="126">
        <f>SUM(X513:X514)</f>
        <v>16000</v>
      </c>
      <c r="Y515" s="126">
        <f>SUM(Y513:Y514)</f>
        <v>0</v>
      </c>
      <c r="Z515" s="126">
        <f>SUM(Z513:Z514)</f>
        <v>16000</v>
      </c>
      <c r="AA515"/>
      <c r="AB515" s="83"/>
      <c r="AC515" s="83"/>
      <c r="AD515" s="83"/>
    </row>
    <row r="516" spans="1:30" s="86" customFormat="1" ht="12.75" customHeight="1" thickTop="1">
      <c r="A516" s="106"/>
      <c r="B516" s="111"/>
      <c r="C516" s="93"/>
      <c r="D516" s="112"/>
      <c r="E516" s="82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83"/>
      <c r="R516" s="90"/>
      <c r="S516" s="90"/>
      <c r="T516" s="90"/>
      <c r="U516" s="90"/>
      <c r="V516" s="83"/>
      <c r="W516" s="90"/>
      <c r="X516" s="90"/>
      <c r="Y516" s="90"/>
      <c r="Z516" s="90"/>
      <c r="AA516"/>
      <c r="AB516" s="83"/>
      <c r="AC516" s="83"/>
      <c r="AD516" s="83"/>
    </row>
    <row r="517" spans="1:30" s="86" customFormat="1" ht="12.75" customHeight="1" thickBot="1">
      <c r="A517" s="106">
        <v>30</v>
      </c>
      <c r="B517" s="118" t="s">
        <v>181</v>
      </c>
      <c r="C517" s="93"/>
      <c r="D517" s="11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3"/>
      <c r="R517" s="82"/>
      <c r="S517" s="82"/>
      <c r="T517" s="82"/>
      <c r="U517" s="82"/>
      <c r="V517" s="83"/>
      <c r="W517" s="82"/>
      <c r="X517" s="82"/>
      <c r="Y517" s="82"/>
      <c r="Z517" s="82"/>
      <c r="AA517"/>
      <c r="AB517" s="83"/>
      <c r="AC517" s="83"/>
      <c r="AD517" s="83"/>
    </row>
    <row r="518" spans="1:30" s="86" customFormat="1" ht="0.75" customHeight="1">
      <c r="A518" s="106"/>
      <c r="B518" s="121" t="s">
        <v>77</v>
      </c>
      <c r="C518" s="93"/>
      <c r="D518" s="109" t="s">
        <v>71</v>
      </c>
      <c r="E518" s="97" t="s">
        <v>72</v>
      </c>
      <c r="F518" s="97" t="s">
        <v>72</v>
      </c>
      <c r="G518" s="97" t="s">
        <v>73</v>
      </c>
      <c r="H518" s="97" t="s">
        <v>1</v>
      </c>
      <c r="I518" s="97" t="s">
        <v>74</v>
      </c>
      <c r="J518" s="97" t="s">
        <v>66</v>
      </c>
      <c r="K518" s="97" t="s">
        <v>59</v>
      </c>
      <c r="L518" s="97" t="s">
        <v>18</v>
      </c>
      <c r="M518" s="97" t="s">
        <v>1</v>
      </c>
      <c r="N518" s="97" t="s">
        <v>7</v>
      </c>
      <c r="O518" s="97" t="s">
        <v>75</v>
      </c>
      <c r="P518" s="97" t="s">
        <v>76</v>
      </c>
      <c r="Q518" s="108"/>
      <c r="R518" s="97" t="s">
        <v>1</v>
      </c>
      <c r="S518" s="97" t="s">
        <v>7</v>
      </c>
      <c r="T518" s="97" t="s">
        <v>75</v>
      </c>
      <c r="U518" s="97" t="s">
        <v>76</v>
      </c>
      <c r="V518" s="83"/>
      <c r="W518" s="97" t="s">
        <v>1</v>
      </c>
      <c r="X518" s="97" t="s">
        <v>7</v>
      </c>
      <c r="Y518" s="97" t="s">
        <v>75</v>
      </c>
      <c r="Z518" s="97" t="s">
        <v>76</v>
      </c>
      <c r="AA518"/>
      <c r="AB518" s="83"/>
      <c r="AC518" s="83"/>
      <c r="AD518" s="83"/>
    </row>
    <row r="519" spans="1:30" s="86" customFormat="1" ht="12.75" customHeight="1" hidden="1">
      <c r="A519" s="106"/>
      <c r="B519" s="121"/>
      <c r="C519" s="93"/>
      <c r="D519" s="131"/>
      <c r="E519" s="94"/>
      <c r="F519" s="90">
        <f>E519*D519</f>
        <v>0</v>
      </c>
      <c r="G519" s="94">
        <f>+F519*$C$4</f>
        <v>0</v>
      </c>
      <c r="H519" s="90">
        <f>+G519+F519</f>
        <v>0</v>
      </c>
      <c r="I519" s="94"/>
      <c r="J519" s="94">
        <f>D519*$C$7</f>
        <v>0</v>
      </c>
      <c r="K519" s="94">
        <f>D519*$C$5</f>
        <v>0</v>
      </c>
      <c r="L519" s="94">
        <f>D519*$C$6</f>
        <v>0</v>
      </c>
      <c r="M519" s="90">
        <f>SUM(H519:L519)</f>
        <v>0</v>
      </c>
      <c r="N519" s="94">
        <f>M519*$C$2</f>
        <v>0</v>
      </c>
      <c r="O519" s="90"/>
      <c r="P519" s="90">
        <f>M519-N519</f>
        <v>0</v>
      </c>
      <c r="Q519" s="83"/>
      <c r="R519" s="90"/>
      <c r="S519" s="90"/>
      <c r="T519" s="90"/>
      <c r="U519" s="90">
        <f>R519-S519-T519</f>
        <v>0</v>
      </c>
      <c r="V519" s="83"/>
      <c r="W519" s="90"/>
      <c r="X519" s="90"/>
      <c r="Y519" s="90"/>
      <c r="Z519" s="90">
        <f>W519-X519-Y519</f>
        <v>0</v>
      </c>
      <c r="AA519"/>
      <c r="AB519" s="83"/>
      <c r="AC519" s="83"/>
      <c r="AD519" s="83"/>
    </row>
    <row r="520" spans="1:30" s="86" customFormat="1" ht="12.75" customHeight="1" hidden="1" thickBot="1">
      <c r="A520" s="106"/>
      <c r="B520" s="120"/>
      <c r="C520" s="93"/>
      <c r="D520" s="112"/>
      <c r="E520" s="82"/>
      <c r="F520" s="123">
        <f>E520*D520</f>
        <v>0</v>
      </c>
      <c r="G520" s="143">
        <f>+F520*$C$4</f>
        <v>0</v>
      </c>
      <c r="H520" s="123">
        <f>+G520+F520</f>
        <v>0</v>
      </c>
      <c r="I520" s="143"/>
      <c r="J520" s="143">
        <f>D520*$C$7</f>
        <v>0</v>
      </c>
      <c r="K520" s="143">
        <f>D520*$C$5</f>
        <v>0</v>
      </c>
      <c r="L520" s="143">
        <f>D520*$C$6</f>
        <v>0</v>
      </c>
      <c r="M520" s="123">
        <f>SUM(H520:L520)</f>
        <v>0</v>
      </c>
      <c r="N520" s="143">
        <f>M520*$C$2</f>
        <v>0</v>
      </c>
      <c r="O520" s="123"/>
      <c r="P520" s="123">
        <f>M520-N520</f>
        <v>0</v>
      </c>
      <c r="Q520" s="138"/>
      <c r="R520" s="123"/>
      <c r="S520" s="123"/>
      <c r="T520" s="123"/>
      <c r="U520" s="123">
        <f>R520-S520-T520</f>
        <v>0</v>
      </c>
      <c r="V520" s="83"/>
      <c r="W520" s="123"/>
      <c r="X520" s="123"/>
      <c r="Y520" s="123"/>
      <c r="Z520" s="123">
        <f>W520-X520-Y520</f>
        <v>0</v>
      </c>
      <c r="AA520"/>
      <c r="AB520" s="83"/>
      <c r="AC520" s="83"/>
      <c r="AD520" s="83"/>
    </row>
    <row r="521" spans="1:30" s="86" customFormat="1" ht="12.75" customHeight="1" hidden="1">
      <c r="A521" s="106"/>
      <c r="B521" s="120"/>
      <c r="C521" s="93"/>
      <c r="D521" s="112"/>
      <c r="E521" s="82"/>
      <c r="F521" s="82">
        <f aca="true" t="shared" si="176" ref="F521:P521">SUM(F519:F520)</f>
        <v>0</v>
      </c>
      <c r="G521" s="82">
        <f t="shared" si="176"/>
        <v>0</v>
      </c>
      <c r="H521" s="82">
        <f t="shared" si="176"/>
        <v>0</v>
      </c>
      <c r="I521" s="82">
        <f t="shared" si="176"/>
        <v>0</v>
      </c>
      <c r="J521" s="82">
        <f t="shared" si="176"/>
        <v>0</v>
      </c>
      <c r="K521" s="82">
        <f t="shared" si="176"/>
        <v>0</v>
      </c>
      <c r="L521" s="82">
        <f t="shared" si="176"/>
        <v>0</v>
      </c>
      <c r="M521" s="82">
        <f t="shared" si="176"/>
        <v>0</v>
      </c>
      <c r="N521" s="82">
        <f t="shared" si="176"/>
        <v>0</v>
      </c>
      <c r="O521" s="82">
        <f t="shared" si="176"/>
        <v>0</v>
      </c>
      <c r="P521" s="82">
        <f t="shared" si="176"/>
        <v>0</v>
      </c>
      <c r="Q521" s="83"/>
      <c r="R521" s="82">
        <f>SUM(R519:R520)</f>
        <v>0</v>
      </c>
      <c r="S521" s="82">
        <f>SUM(S519:S520)</f>
        <v>0</v>
      </c>
      <c r="T521" s="82">
        <f>SUM(T519:T520)</f>
        <v>0</v>
      </c>
      <c r="U521" s="82">
        <f>SUM(U519:U520)</f>
        <v>0</v>
      </c>
      <c r="V521" s="83"/>
      <c r="W521" s="82">
        <f>SUM(W519:W520)</f>
        <v>0</v>
      </c>
      <c r="X521" s="82">
        <f>SUM(X519:X520)</f>
        <v>0</v>
      </c>
      <c r="Y521" s="82">
        <f>SUM(Y519:Y520)</f>
        <v>0</v>
      </c>
      <c r="Z521" s="82">
        <f>SUM(Z519:Z520)</f>
        <v>0</v>
      </c>
      <c r="AA521"/>
      <c r="AB521" s="83"/>
      <c r="AC521" s="83"/>
      <c r="AD521" s="83"/>
    </row>
    <row r="522" spans="1:30" s="86" customFormat="1" ht="12.75" customHeight="1">
      <c r="A522" s="106"/>
      <c r="B522" s="120"/>
      <c r="C522" s="93"/>
      <c r="D522" s="112"/>
      <c r="E522" s="82"/>
      <c r="F522" s="82">
        <f>SUM(F521:F521)</f>
        <v>0</v>
      </c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3"/>
      <c r="R522" s="82"/>
      <c r="S522" s="82"/>
      <c r="T522" s="82"/>
      <c r="U522" s="82"/>
      <c r="V522" s="83"/>
      <c r="W522" s="82"/>
      <c r="X522" s="82"/>
      <c r="Y522" s="82"/>
      <c r="Z522" s="82"/>
      <c r="AA522"/>
      <c r="AB522" s="83"/>
      <c r="AC522" s="83"/>
      <c r="AD522" s="83"/>
    </row>
    <row r="523" spans="1:30" s="86" customFormat="1" ht="12.75" customHeight="1">
      <c r="A523" s="93">
        <v>501</v>
      </c>
      <c r="B523" s="83" t="s">
        <v>127</v>
      </c>
      <c r="C523" s="93">
        <v>504</v>
      </c>
      <c r="D523" s="112"/>
      <c r="E523" s="82"/>
      <c r="F523" s="82"/>
      <c r="G523" s="82"/>
      <c r="H523" s="82"/>
      <c r="I523" s="82"/>
      <c r="J523" s="82"/>
      <c r="K523" s="82"/>
      <c r="L523" s="82">
        <f>'[8]FY10 Priority  (2)'!$F$65</f>
        <v>260000</v>
      </c>
      <c r="M523" s="90">
        <f>SUM(H523:L523)</f>
        <v>260000</v>
      </c>
      <c r="N523" s="82">
        <f>M523*C1</f>
        <v>91526.49999999999</v>
      </c>
      <c r="O523" s="82"/>
      <c r="P523" s="82">
        <f>+M523-N523-O523</f>
        <v>168473.5</v>
      </c>
      <c r="Q523" s="83"/>
      <c r="R523" s="90"/>
      <c r="S523" s="82"/>
      <c r="T523" s="82"/>
      <c r="U523" s="82">
        <f>+R523-S523-T523</f>
        <v>0</v>
      </c>
      <c r="V523" s="83"/>
      <c r="W523" s="90"/>
      <c r="X523" s="82"/>
      <c r="Y523" s="82"/>
      <c r="Z523" s="82">
        <f>+W523-X523-Y523</f>
        <v>0</v>
      </c>
      <c r="AA523"/>
      <c r="AB523" s="83"/>
      <c r="AC523" s="83"/>
      <c r="AD523" s="83"/>
    </row>
    <row r="524" spans="1:30" s="86" customFormat="1" ht="12.75" customHeight="1">
      <c r="A524" s="106"/>
      <c r="B524" s="120"/>
      <c r="C524" s="93"/>
      <c r="D524" s="11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3"/>
      <c r="R524" s="82"/>
      <c r="S524" s="82"/>
      <c r="T524" s="82"/>
      <c r="U524" s="82"/>
      <c r="V524" s="83"/>
      <c r="W524" s="82"/>
      <c r="X524" s="82"/>
      <c r="Y524" s="82"/>
      <c r="Z524" s="82"/>
      <c r="AA524"/>
      <c r="AB524" s="83"/>
      <c r="AC524" s="83"/>
      <c r="AD524" s="83"/>
    </row>
    <row r="525" spans="1:30" s="86" customFormat="1" ht="12.75" customHeight="1" thickBot="1">
      <c r="A525" s="106"/>
      <c r="B525" s="111" t="s">
        <v>79</v>
      </c>
      <c r="C525" s="93"/>
      <c r="D525" s="112"/>
      <c r="E525" s="82"/>
      <c r="F525" s="126">
        <f aca="true" t="shared" si="177" ref="F525:N525">SUM(F521:F524)</f>
        <v>0</v>
      </c>
      <c r="G525" s="126">
        <f t="shared" si="177"/>
        <v>0</v>
      </c>
      <c r="H525" s="126">
        <f t="shared" si="177"/>
        <v>0</v>
      </c>
      <c r="I525" s="126">
        <f t="shared" si="177"/>
        <v>0</v>
      </c>
      <c r="J525" s="126">
        <f t="shared" si="177"/>
        <v>0</v>
      </c>
      <c r="K525" s="126">
        <f t="shared" si="177"/>
        <v>0</v>
      </c>
      <c r="L525" s="126">
        <f t="shared" si="177"/>
        <v>260000</v>
      </c>
      <c r="M525" s="126">
        <f t="shared" si="177"/>
        <v>260000</v>
      </c>
      <c r="N525" s="126">
        <f t="shared" si="177"/>
        <v>91526.49999999999</v>
      </c>
      <c r="O525" s="126"/>
      <c r="P525" s="126">
        <f>SUM(P521:P524)</f>
        <v>168473.5</v>
      </c>
      <c r="Q525" s="83"/>
      <c r="R525" s="126"/>
      <c r="S525" s="126"/>
      <c r="T525" s="126"/>
      <c r="U525" s="126"/>
      <c r="V525" s="83"/>
      <c r="W525" s="126"/>
      <c r="X525" s="126"/>
      <c r="Y525" s="126"/>
      <c r="Z525" s="126"/>
      <c r="AA525"/>
      <c r="AB525" s="83"/>
      <c r="AC525" s="83"/>
      <c r="AD525" s="83"/>
    </row>
    <row r="526" spans="1:30" s="86" customFormat="1" ht="12.75" customHeight="1" thickTop="1">
      <c r="A526" s="106"/>
      <c r="B526" s="120"/>
      <c r="C526" s="93"/>
      <c r="D526" s="11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3"/>
      <c r="R526" s="82"/>
      <c r="S526" s="82"/>
      <c r="T526" s="82"/>
      <c r="U526" s="82"/>
      <c r="V526" s="83"/>
      <c r="W526" s="82"/>
      <c r="X526" s="82"/>
      <c r="Y526" s="82"/>
      <c r="Z526" s="82"/>
      <c r="AA526"/>
      <c r="AB526" s="83"/>
      <c r="AC526" s="83"/>
      <c r="AD526" s="83"/>
    </row>
    <row r="527" spans="1:30" s="86" customFormat="1" ht="12.75" customHeight="1">
      <c r="A527" s="106"/>
      <c r="B527" s="128" t="s">
        <v>80</v>
      </c>
      <c r="C527" s="93"/>
      <c r="D527" s="11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3"/>
      <c r="R527" s="82"/>
      <c r="S527" s="82"/>
      <c r="T527" s="82"/>
      <c r="U527" s="82"/>
      <c r="V527" s="83"/>
      <c r="W527" s="82"/>
      <c r="X527" s="82"/>
      <c r="Y527" s="82"/>
      <c r="Z527" s="82"/>
      <c r="AA527"/>
      <c r="AB527" s="83"/>
      <c r="AC527" s="83"/>
      <c r="AD527" s="83"/>
    </row>
    <row r="528" spans="1:30" s="86" customFormat="1" ht="12.75" customHeight="1">
      <c r="A528" s="106"/>
      <c r="B528" s="83" t="str">
        <f>K5</f>
        <v>340-1020-01</v>
      </c>
      <c r="C528" s="93"/>
      <c r="D528" s="112"/>
      <c r="E528" s="82"/>
      <c r="F528" s="82"/>
      <c r="G528" s="82"/>
      <c r="H528" s="82"/>
      <c r="I528" s="82"/>
      <c r="J528" s="82">
        <f>+J523</f>
        <v>0</v>
      </c>
      <c r="K528" s="82"/>
      <c r="L528" s="82">
        <f>L525</f>
        <v>260000</v>
      </c>
      <c r="M528" s="90">
        <f>SUM(H528:L528)</f>
        <v>260000</v>
      </c>
      <c r="N528" s="82">
        <f>N525</f>
        <v>91526.49999999999</v>
      </c>
      <c r="O528" s="82"/>
      <c r="P528" s="82">
        <f>+M528-N528</f>
        <v>168473.5</v>
      </c>
      <c r="Q528" s="83"/>
      <c r="R528" s="90">
        <f>R523</f>
        <v>0</v>
      </c>
      <c r="S528" s="90">
        <f>S523</f>
        <v>0</v>
      </c>
      <c r="T528" s="90">
        <f>T523</f>
        <v>0</v>
      </c>
      <c r="U528" s="90">
        <f>U523</f>
        <v>0</v>
      </c>
      <c r="V528" s="83"/>
      <c r="W528" s="90">
        <f>W523</f>
        <v>0</v>
      </c>
      <c r="X528" s="90">
        <f>X523</f>
        <v>0</v>
      </c>
      <c r="Y528" s="90">
        <f>Y523</f>
        <v>0</v>
      </c>
      <c r="Z528" s="90">
        <f>Z523</f>
        <v>0</v>
      </c>
      <c r="AA528"/>
      <c r="AB528" s="83"/>
      <c r="AC528" s="83"/>
      <c r="AD528" s="83"/>
    </row>
    <row r="529" spans="1:30" s="86" customFormat="1" ht="12.75" customHeight="1" thickBot="1">
      <c r="A529" s="106"/>
      <c r="B529" s="111"/>
      <c r="C529" s="93"/>
      <c r="D529" s="112"/>
      <c r="E529" s="82"/>
      <c r="F529" s="126">
        <f aca="true" t="shared" si="178" ref="F529:P529">SUM(F528:F528)</f>
        <v>0</v>
      </c>
      <c r="G529" s="126">
        <f t="shared" si="178"/>
        <v>0</v>
      </c>
      <c r="H529" s="126">
        <f t="shared" si="178"/>
        <v>0</v>
      </c>
      <c r="I529" s="126">
        <f t="shared" si="178"/>
        <v>0</v>
      </c>
      <c r="J529" s="126">
        <f t="shared" si="178"/>
        <v>0</v>
      </c>
      <c r="K529" s="126">
        <f t="shared" si="178"/>
        <v>0</v>
      </c>
      <c r="L529" s="126">
        <f t="shared" si="178"/>
        <v>260000</v>
      </c>
      <c r="M529" s="126">
        <f t="shared" si="178"/>
        <v>260000</v>
      </c>
      <c r="N529" s="126">
        <f t="shared" si="178"/>
        <v>91526.49999999999</v>
      </c>
      <c r="O529" s="126">
        <f t="shared" si="178"/>
        <v>0</v>
      </c>
      <c r="P529" s="126">
        <f t="shared" si="178"/>
        <v>168473.5</v>
      </c>
      <c r="Q529" s="83"/>
      <c r="R529" s="126">
        <f>SUM(R528:R528)</f>
        <v>0</v>
      </c>
      <c r="S529" s="126">
        <f>SUM(S528:S528)</f>
        <v>0</v>
      </c>
      <c r="T529" s="126">
        <f>SUM(T528:T528)</f>
        <v>0</v>
      </c>
      <c r="U529" s="126">
        <f>SUM(U528:U528)</f>
        <v>0</v>
      </c>
      <c r="V529" s="83"/>
      <c r="W529" s="126">
        <f>SUM(W528:W528)</f>
        <v>0</v>
      </c>
      <c r="X529" s="126">
        <f>SUM(X528:X528)</f>
        <v>0</v>
      </c>
      <c r="Y529" s="126">
        <f>SUM(Y528:Y528)</f>
        <v>0</v>
      </c>
      <c r="Z529" s="126">
        <f>SUM(Z528:Z528)</f>
        <v>0</v>
      </c>
      <c r="AA529"/>
      <c r="AB529" s="83"/>
      <c r="AC529" s="83"/>
      <c r="AD529" s="83"/>
    </row>
    <row r="530" spans="1:30" s="86" customFormat="1" ht="12.75" customHeight="1" thickTop="1">
      <c r="A530" s="106"/>
      <c r="B530" s="111"/>
      <c r="C530" s="93"/>
      <c r="D530" s="112"/>
      <c r="E530" s="82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83"/>
      <c r="R530" s="90"/>
      <c r="S530" s="90"/>
      <c r="T530" s="90"/>
      <c r="U530" s="90"/>
      <c r="V530" s="83"/>
      <c r="W530" s="90"/>
      <c r="X530" s="90"/>
      <c r="Y530" s="90"/>
      <c r="Z530" s="90"/>
      <c r="AA530"/>
      <c r="AB530" s="83"/>
      <c r="AC530" s="83"/>
      <c r="AD530" s="83"/>
    </row>
    <row r="531" spans="1:30" s="86" customFormat="1" ht="12" customHeight="1" thickBot="1">
      <c r="A531" s="106">
        <v>31</v>
      </c>
      <c r="B531" s="118" t="s">
        <v>9</v>
      </c>
      <c r="C531" s="93"/>
      <c r="D531" s="11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3"/>
      <c r="R531" s="82"/>
      <c r="S531" s="82"/>
      <c r="T531" s="82"/>
      <c r="U531" s="82"/>
      <c r="V531" s="83"/>
      <c r="W531" s="82"/>
      <c r="X531" s="82"/>
      <c r="Y531" s="82"/>
      <c r="Z531" s="82"/>
      <c r="AA531"/>
      <c r="AB531" s="83"/>
      <c r="AC531" s="83"/>
      <c r="AD531" s="83"/>
    </row>
    <row r="532" spans="1:30" s="86" customFormat="1" ht="12.75" customHeight="1" hidden="1">
      <c r="A532" s="106"/>
      <c r="B532" s="121" t="s">
        <v>77</v>
      </c>
      <c r="C532" s="93"/>
      <c r="D532" s="109" t="s">
        <v>71</v>
      </c>
      <c r="E532" s="97" t="s">
        <v>72</v>
      </c>
      <c r="F532" s="97" t="s">
        <v>72</v>
      </c>
      <c r="G532" s="97" t="s">
        <v>73</v>
      </c>
      <c r="H532" s="97" t="s">
        <v>1</v>
      </c>
      <c r="I532" s="97" t="s">
        <v>74</v>
      </c>
      <c r="J532" s="97" t="s">
        <v>66</v>
      </c>
      <c r="K532" s="97" t="s">
        <v>59</v>
      </c>
      <c r="L532" s="97" t="s">
        <v>18</v>
      </c>
      <c r="M532" s="97" t="s">
        <v>1</v>
      </c>
      <c r="N532" s="97" t="s">
        <v>7</v>
      </c>
      <c r="O532" s="97" t="s">
        <v>75</v>
      </c>
      <c r="P532" s="97" t="s">
        <v>76</v>
      </c>
      <c r="Q532" s="108"/>
      <c r="R532" s="97" t="s">
        <v>1</v>
      </c>
      <c r="S532" s="97" t="s">
        <v>7</v>
      </c>
      <c r="T532" s="97" t="s">
        <v>75</v>
      </c>
      <c r="U532" s="97" t="s">
        <v>76</v>
      </c>
      <c r="V532" s="83"/>
      <c r="W532" s="97" t="s">
        <v>1</v>
      </c>
      <c r="X532" s="97" t="s">
        <v>7</v>
      </c>
      <c r="Y532" s="97" t="s">
        <v>75</v>
      </c>
      <c r="Z532" s="97" t="s">
        <v>76</v>
      </c>
      <c r="AA532"/>
      <c r="AB532" s="83"/>
      <c r="AC532" s="83"/>
      <c r="AD532" s="83"/>
    </row>
    <row r="533" spans="1:30" s="86" customFormat="1" ht="12.75" customHeight="1" hidden="1">
      <c r="A533" s="106"/>
      <c r="B533" s="121"/>
      <c r="C533" s="93"/>
      <c r="D533" s="131"/>
      <c r="E533" s="94"/>
      <c r="F533" s="90">
        <f>E533*D533</f>
        <v>0</v>
      </c>
      <c r="G533" s="94">
        <f>+F533*$C$4</f>
        <v>0</v>
      </c>
      <c r="H533" s="90">
        <f>+G533+F533</f>
        <v>0</v>
      </c>
      <c r="I533" s="94"/>
      <c r="J533" s="94">
        <f>D533*$C$7</f>
        <v>0</v>
      </c>
      <c r="K533" s="94">
        <f>D533*$C$5</f>
        <v>0</v>
      </c>
      <c r="L533" s="94">
        <f>D533*$C$6</f>
        <v>0</v>
      </c>
      <c r="M533" s="90">
        <f>SUM(H533:L533)</f>
        <v>0</v>
      </c>
      <c r="N533" s="94">
        <f>M533*$C$2</f>
        <v>0</v>
      </c>
      <c r="O533" s="90"/>
      <c r="P533" s="90">
        <f>M533-N533</f>
        <v>0</v>
      </c>
      <c r="Q533" s="83"/>
      <c r="R533" s="90"/>
      <c r="S533" s="90"/>
      <c r="T533" s="90"/>
      <c r="U533" s="90">
        <f>R533-S533-T533</f>
        <v>0</v>
      </c>
      <c r="V533" s="83"/>
      <c r="W533" s="90"/>
      <c r="X533" s="90"/>
      <c r="Y533" s="90"/>
      <c r="Z533" s="90">
        <f>W533-X533-Y533</f>
        <v>0</v>
      </c>
      <c r="AA533"/>
      <c r="AB533" s="83"/>
      <c r="AC533" s="83"/>
      <c r="AD533" s="83"/>
    </row>
    <row r="534" spans="1:30" s="86" customFormat="1" ht="12.75" customHeight="1" hidden="1" thickBot="1">
      <c r="A534" s="106"/>
      <c r="B534" s="120"/>
      <c r="C534" s="93"/>
      <c r="D534" s="112"/>
      <c r="E534" s="82"/>
      <c r="F534" s="123">
        <f>E534*D534</f>
        <v>0</v>
      </c>
      <c r="G534" s="143">
        <f>+F534*$C$4</f>
        <v>0</v>
      </c>
      <c r="H534" s="123">
        <f>+G534+F534</f>
        <v>0</v>
      </c>
      <c r="I534" s="143"/>
      <c r="J534" s="143">
        <f>D534*$C$7</f>
        <v>0</v>
      </c>
      <c r="K534" s="143">
        <f>D534*$C$5</f>
        <v>0</v>
      </c>
      <c r="L534" s="143">
        <f>D534*$C$6</f>
        <v>0</v>
      </c>
      <c r="M534" s="123">
        <f>SUM(H534:L534)</f>
        <v>0</v>
      </c>
      <c r="N534" s="143">
        <f>M534*$C$2</f>
        <v>0</v>
      </c>
      <c r="O534" s="123"/>
      <c r="P534" s="123">
        <f>M534-N534</f>
        <v>0</v>
      </c>
      <c r="Q534" s="138"/>
      <c r="R534" s="123"/>
      <c r="S534" s="123"/>
      <c r="T534" s="123"/>
      <c r="U534" s="123">
        <f>R534-S534-T534</f>
        <v>0</v>
      </c>
      <c r="V534" s="83"/>
      <c r="W534" s="123"/>
      <c r="X534" s="123"/>
      <c r="Y534" s="123"/>
      <c r="Z534" s="123">
        <f>W534-X534-Y534</f>
        <v>0</v>
      </c>
      <c r="AA534"/>
      <c r="AB534" s="83"/>
      <c r="AC534" s="83"/>
      <c r="AD534" s="83"/>
    </row>
    <row r="535" spans="1:30" s="86" customFormat="1" ht="12.75" customHeight="1" hidden="1">
      <c r="A535" s="106"/>
      <c r="B535" s="120"/>
      <c r="C535" s="93"/>
      <c r="D535" s="112"/>
      <c r="E535" s="82"/>
      <c r="F535" s="82">
        <f aca="true" t="shared" si="179" ref="F535:P535">SUM(F533:F534)</f>
        <v>0</v>
      </c>
      <c r="G535" s="82">
        <f t="shared" si="179"/>
        <v>0</v>
      </c>
      <c r="H535" s="82">
        <f t="shared" si="179"/>
        <v>0</v>
      </c>
      <c r="I535" s="82">
        <f t="shared" si="179"/>
        <v>0</v>
      </c>
      <c r="J535" s="82">
        <f t="shared" si="179"/>
        <v>0</v>
      </c>
      <c r="K535" s="82">
        <f t="shared" si="179"/>
        <v>0</v>
      </c>
      <c r="L535" s="82">
        <f t="shared" si="179"/>
        <v>0</v>
      </c>
      <c r="M535" s="82">
        <f t="shared" si="179"/>
        <v>0</v>
      </c>
      <c r="N535" s="82">
        <f t="shared" si="179"/>
        <v>0</v>
      </c>
      <c r="O535" s="82">
        <f t="shared" si="179"/>
        <v>0</v>
      </c>
      <c r="P535" s="82">
        <f t="shared" si="179"/>
        <v>0</v>
      </c>
      <c r="Q535" s="83"/>
      <c r="R535" s="82">
        <f>SUM(R533:R534)</f>
        <v>0</v>
      </c>
      <c r="S535" s="82">
        <f>SUM(S533:S534)</f>
        <v>0</v>
      </c>
      <c r="T535" s="82">
        <f>SUM(T533:T534)</f>
        <v>0</v>
      </c>
      <c r="U535" s="82">
        <f>SUM(U533:U534)</f>
        <v>0</v>
      </c>
      <c r="V535" s="83"/>
      <c r="W535" s="82">
        <f>SUM(W533:W534)</f>
        <v>0</v>
      </c>
      <c r="X535" s="82">
        <f>SUM(X533:X534)</f>
        <v>0</v>
      </c>
      <c r="Y535" s="82">
        <f>SUM(Y533:Y534)</f>
        <v>0</v>
      </c>
      <c r="Z535" s="82">
        <f>SUM(Z533:Z534)</f>
        <v>0</v>
      </c>
      <c r="AA535"/>
      <c r="AB535" s="83"/>
      <c r="AC535" s="83"/>
      <c r="AD535" s="83"/>
    </row>
    <row r="536" spans="1:30" s="86" customFormat="1" ht="12.75" customHeight="1">
      <c r="A536" s="106"/>
      <c r="B536" s="120"/>
      <c r="C536" s="93"/>
      <c r="D536" s="112"/>
      <c r="E536" s="82"/>
      <c r="F536" s="82">
        <f>SUM(F535:F535)</f>
        <v>0</v>
      </c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3"/>
      <c r="R536" s="82"/>
      <c r="S536" s="82"/>
      <c r="T536" s="82"/>
      <c r="U536" s="82"/>
      <c r="V536" s="83"/>
      <c r="W536" s="82"/>
      <c r="X536" s="82"/>
      <c r="Y536" s="82"/>
      <c r="Z536" s="82"/>
      <c r="AA536"/>
      <c r="AB536" s="83"/>
      <c r="AC536" s="83"/>
      <c r="AD536" s="83"/>
    </row>
    <row r="537" spans="1:30" s="86" customFormat="1" ht="12.75" customHeight="1">
      <c r="A537" s="93">
        <v>402</v>
      </c>
      <c r="B537" s="83" t="s">
        <v>127</v>
      </c>
      <c r="C537" s="93"/>
      <c r="D537" s="112"/>
      <c r="E537" s="82"/>
      <c r="F537" s="82"/>
      <c r="G537" s="82"/>
      <c r="H537" s="82"/>
      <c r="I537" s="82"/>
      <c r="J537" s="82"/>
      <c r="K537" s="82"/>
      <c r="L537" s="82">
        <f>'[8]FY10 Priority  (2)'!$F$66</f>
        <v>240000</v>
      </c>
      <c r="M537" s="90">
        <f>SUM(H537:L537)</f>
        <v>240000</v>
      </c>
      <c r="N537" s="82">
        <f>M537*C2</f>
        <v>120000</v>
      </c>
      <c r="O537" s="82"/>
      <c r="P537" s="82">
        <f>+M537-N537-O537</f>
        <v>120000</v>
      </c>
      <c r="Q537" s="83"/>
      <c r="R537" s="90"/>
      <c r="S537" s="82"/>
      <c r="T537" s="82"/>
      <c r="U537" s="82">
        <f>+R537-S537-T537</f>
        <v>0</v>
      </c>
      <c r="V537" s="83"/>
      <c r="W537" s="90"/>
      <c r="X537" s="82"/>
      <c r="Y537" s="82"/>
      <c r="Z537" s="82">
        <f>+W537-X537-Y537</f>
        <v>0</v>
      </c>
      <c r="AA537"/>
      <c r="AB537" s="83"/>
      <c r="AC537" s="83"/>
      <c r="AD537" s="83"/>
    </row>
    <row r="538" spans="1:30" s="86" customFormat="1" ht="12.75" customHeight="1">
      <c r="A538" s="106"/>
      <c r="B538" s="120"/>
      <c r="C538" s="93"/>
      <c r="D538" s="11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3"/>
      <c r="R538" s="82"/>
      <c r="S538" s="82"/>
      <c r="T538" s="82"/>
      <c r="U538" s="82"/>
      <c r="V538" s="83"/>
      <c r="W538" s="82"/>
      <c r="X538" s="82"/>
      <c r="Y538" s="82"/>
      <c r="Z538" s="82"/>
      <c r="AA538"/>
      <c r="AB538" s="83"/>
      <c r="AC538" s="83"/>
      <c r="AD538" s="83"/>
    </row>
    <row r="539" spans="1:30" s="86" customFormat="1" ht="12.75" customHeight="1" thickBot="1">
      <c r="A539" s="106"/>
      <c r="B539" s="111" t="s">
        <v>79</v>
      </c>
      <c r="C539" s="93"/>
      <c r="D539" s="112"/>
      <c r="E539" s="82"/>
      <c r="F539" s="126">
        <f aca="true" t="shared" si="180" ref="F539:N539">SUM(F535:F538)</f>
        <v>0</v>
      </c>
      <c r="G539" s="126">
        <f t="shared" si="180"/>
        <v>0</v>
      </c>
      <c r="H539" s="126">
        <f t="shared" si="180"/>
        <v>0</v>
      </c>
      <c r="I539" s="126">
        <f t="shared" si="180"/>
        <v>0</v>
      </c>
      <c r="J539" s="126">
        <f t="shared" si="180"/>
        <v>0</v>
      </c>
      <c r="K539" s="126">
        <f t="shared" si="180"/>
        <v>0</v>
      </c>
      <c r="L539" s="126">
        <f t="shared" si="180"/>
        <v>240000</v>
      </c>
      <c r="M539" s="126">
        <f t="shared" si="180"/>
        <v>240000</v>
      </c>
      <c r="N539" s="126">
        <f t="shared" si="180"/>
        <v>120000</v>
      </c>
      <c r="O539" s="126"/>
      <c r="P539" s="126">
        <f>SUM(P535:P538)</f>
        <v>120000</v>
      </c>
      <c r="Q539" s="83"/>
      <c r="R539" s="126"/>
      <c r="S539" s="126"/>
      <c r="T539" s="126">
        <f>SUM(T535:T538)</f>
        <v>0</v>
      </c>
      <c r="U539" s="126"/>
      <c r="V539" s="83"/>
      <c r="W539" s="126"/>
      <c r="X539" s="126"/>
      <c r="Y539" s="126">
        <f>SUM(Y535:Y538)</f>
        <v>0</v>
      </c>
      <c r="Z539" s="126"/>
      <c r="AA539"/>
      <c r="AB539" s="83"/>
      <c r="AC539" s="83"/>
      <c r="AD539" s="83"/>
    </row>
    <row r="540" spans="1:30" s="86" customFormat="1" ht="12.75" customHeight="1" thickTop="1">
      <c r="A540" s="106"/>
      <c r="B540" s="120"/>
      <c r="C540" s="93"/>
      <c r="D540" s="11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3"/>
      <c r="R540" s="82"/>
      <c r="S540" s="82"/>
      <c r="T540" s="82"/>
      <c r="U540" s="82"/>
      <c r="V540" s="83"/>
      <c r="W540" s="82"/>
      <c r="X540" s="82"/>
      <c r="Y540" s="82"/>
      <c r="Z540" s="82"/>
      <c r="AA540"/>
      <c r="AB540" s="83"/>
      <c r="AC540" s="83"/>
      <c r="AD540" s="83"/>
    </row>
    <row r="541" spans="1:30" s="86" customFormat="1" ht="12.75" customHeight="1">
      <c r="A541" s="106"/>
      <c r="B541" s="128" t="s">
        <v>80</v>
      </c>
      <c r="C541" s="93"/>
      <c r="D541" s="11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3"/>
      <c r="R541" s="82"/>
      <c r="S541" s="82"/>
      <c r="T541" s="82"/>
      <c r="U541" s="82"/>
      <c r="V541" s="83"/>
      <c r="W541" s="82"/>
      <c r="X541" s="82"/>
      <c r="Y541" s="82"/>
      <c r="Z541" s="82"/>
      <c r="AA541"/>
      <c r="AB541" s="83"/>
      <c r="AC541" s="83"/>
      <c r="AD541" s="83"/>
    </row>
    <row r="542" spans="1:30" s="86" customFormat="1" ht="12.75" customHeight="1">
      <c r="A542" s="106"/>
      <c r="B542" s="83" t="str">
        <f>J4</f>
        <v>200-1030-01</v>
      </c>
      <c r="C542" s="93"/>
      <c r="D542" s="112"/>
      <c r="E542" s="82"/>
      <c r="F542" s="82"/>
      <c r="G542" s="82"/>
      <c r="H542" s="82"/>
      <c r="I542" s="82"/>
      <c r="J542" s="82">
        <f>+J537</f>
        <v>0</v>
      </c>
      <c r="K542" s="82"/>
      <c r="L542" s="82">
        <f>L539</f>
        <v>240000</v>
      </c>
      <c r="M542" s="90">
        <f>SUM(H542:L542)</f>
        <v>240000</v>
      </c>
      <c r="N542" s="82">
        <f>+M542*0.5</f>
        <v>120000</v>
      </c>
      <c r="O542" s="82"/>
      <c r="P542" s="82">
        <f>+M542-N542</f>
        <v>120000</v>
      </c>
      <c r="Q542" s="83"/>
      <c r="R542" s="90">
        <f>R539</f>
        <v>0</v>
      </c>
      <c r="S542" s="82">
        <f>S539</f>
        <v>0</v>
      </c>
      <c r="T542" s="82"/>
      <c r="U542" s="82">
        <f>+R542-S542-T542</f>
        <v>0</v>
      </c>
      <c r="V542" s="83"/>
      <c r="W542" s="90">
        <f>W539</f>
        <v>0</v>
      </c>
      <c r="X542" s="82">
        <f>X539</f>
        <v>0</v>
      </c>
      <c r="Y542" s="82"/>
      <c r="Z542" s="82">
        <f>+W542-X542-Y542</f>
        <v>0</v>
      </c>
      <c r="AA542"/>
      <c r="AB542" s="83"/>
      <c r="AC542" s="83"/>
      <c r="AD542" s="83"/>
    </row>
    <row r="543" spans="1:30" s="86" customFormat="1" ht="12.75" customHeight="1" thickBot="1">
      <c r="A543" s="106"/>
      <c r="B543" s="111"/>
      <c r="C543" s="93"/>
      <c r="D543" s="112"/>
      <c r="E543" s="82"/>
      <c r="F543" s="126">
        <f aca="true" t="shared" si="181" ref="F543:P543">SUM(F542:F542)</f>
        <v>0</v>
      </c>
      <c r="G543" s="126">
        <f t="shared" si="181"/>
        <v>0</v>
      </c>
      <c r="H543" s="126">
        <f t="shared" si="181"/>
        <v>0</v>
      </c>
      <c r="I543" s="126">
        <f t="shared" si="181"/>
        <v>0</v>
      </c>
      <c r="J543" s="126">
        <f t="shared" si="181"/>
        <v>0</v>
      </c>
      <c r="K543" s="126">
        <f t="shared" si="181"/>
        <v>0</v>
      </c>
      <c r="L543" s="126">
        <f t="shared" si="181"/>
        <v>240000</v>
      </c>
      <c r="M543" s="126">
        <f t="shared" si="181"/>
        <v>240000</v>
      </c>
      <c r="N543" s="126">
        <f t="shared" si="181"/>
        <v>120000</v>
      </c>
      <c r="O543" s="126">
        <f t="shared" si="181"/>
        <v>0</v>
      </c>
      <c r="P543" s="126">
        <f t="shared" si="181"/>
        <v>120000</v>
      </c>
      <c r="Q543" s="83"/>
      <c r="R543" s="126">
        <f>SUM(R542:R542)</f>
        <v>0</v>
      </c>
      <c r="S543" s="126">
        <f>SUM(S542:S542)</f>
        <v>0</v>
      </c>
      <c r="T543" s="126">
        <f>SUM(T542:T542)</f>
        <v>0</v>
      </c>
      <c r="U543" s="126">
        <f>SUM(U542:U542)</f>
        <v>0</v>
      </c>
      <c r="V543" s="83"/>
      <c r="W543" s="126">
        <f>SUM(W542:W542)</f>
        <v>0</v>
      </c>
      <c r="X543" s="126">
        <f>SUM(X542:X542)</f>
        <v>0</v>
      </c>
      <c r="Y543" s="126">
        <f>SUM(Y542:Y542)</f>
        <v>0</v>
      </c>
      <c r="Z543" s="126">
        <f>SUM(Z542:Z542)</f>
        <v>0</v>
      </c>
      <c r="AA543"/>
      <c r="AB543" s="83"/>
      <c r="AC543" s="83"/>
      <c r="AD543" s="83"/>
    </row>
    <row r="544" spans="1:30" s="86" customFormat="1" ht="12.75" customHeight="1" thickTop="1">
      <c r="A544" s="106"/>
      <c r="B544" s="111"/>
      <c r="C544" s="93"/>
      <c r="D544" s="112"/>
      <c r="E544" s="82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83"/>
      <c r="R544" s="90"/>
      <c r="S544" s="90"/>
      <c r="T544" s="90"/>
      <c r="U544" s="90"/>
      <c r="V544" s="83"/>
      <c r="W544" s="90"/>
      <c r="X544" s="90"/>
      <c r="Y544" s="90"/>
      <c r="Z544" s="90"/>
      <c r="AA544"/>
      <c r="AB544" s="83"/>
      <c r="AC544" s="83"/>
      <c r="AD544" s="83"/>
    </row>
    <row r="545" spans="1:30" s="86" customFormat="1" ht="12.75" customHeight="1" thickBot="1">
      <c r="A545" s="106">
        <v>32</v>
      </c>
      <c r="B545" s="118" t="s">
        <v>182</v>
      </c>
      <c r="C545" s="93"/>
      <c r="D545" s="11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3"/>
      <c r="R545" s="82"/>
      <c r="S545" s="82"/>
      <c r="T545" s="82"/>
      <c r="U545" s="82"/>
      <c r="V545" s="83"/>
      <c r="W545" s="82"/>
      <c r="X545" s="82"/>
      <c r="Y545" s="82"/>
      <c r="Z545" s="82"/>
      <c r="AA545"/>
      <c r="AB545" s="83"/>
      <c r="AC545" s="83"/>
      <c r="AD545" s="83"/>
    </row>
    <row r="546" spans="1:30" s="86" customFormat="1" ht="12.75" customHeight="1">
      <c r="A546" s="106"/>
      <c r="B546" s="121" t="s">
        <v>77</v>
      </c>
      <c r="C546" s="93"/>
      <c r="D546" s="109" t="s">
        <v>71</v>
      </c>
      <c r="E546" s="97" t="s">
        <v>72</v>
      </c>
      <c r="F546" s="97" t="s">
        <v>72</v>
      </c>
      <c r="G546" s="97" t="s">
        <v>73</v>
      </c>
      <c r="H546" s="97" t="s">
        <v>1</v>
      </c>
      <c r="I546" s="97" t="s">
        <v>74</v>
      </c>
      <c r="J546" s="97" t="s">
        <v>66</v>
      </c>
      <c r="K546" s="97" t="s">
        <v>59</v>
      </c>
      <c r="L546" s="97" t="s">
        <v>18</v>
      </c>
      <c r="M546" s="97" t="s">
        <v>1</v>
      </c>
      <c r="N546" s="97" t="s">
        <v>7</v>
      </c>
      <c r="O546" s="97" t="s">
        <v>75</v>
      </c>
      <c r="P546" s="97" t="s">
        <v>76</v>
      </c>
      <c r="Q546" s="108"/>
      <c r="R546" s="97" t="s">
        <v>1</v>
      </c>
      <c r="S546" s="97" t="s">
        <v>7</v>
      </c>
      <c r="T546" s="97" t="s">
        <v>75</v>
      </c>
      <c r="U546" s="97" t="s">
        <v>76</v>
      </c>
      <c r="V546" s="83"/>
      <c r="W546" s="97" t="s">
        <v>1</v>
      </c>
      <c r="X546" s="97" t="s">
        <v>7</v>
      </c>
      <c r="Y546" s="97" t="s">
        <v>75</v>
      </c>
      <c r="Z546" s="97" t="s">
        <v>76</v>
      </c>
      <c r="AA546"/>
      <c r="AB546" s="83"/>
      <c r="AC546" s="83"/>
      <c r="AD546" s="83"/>
    </row>
    <row r="547" spans="1:30" s="86" customFormat="1" ht="12.75" customHeight="1">
      <c r="A547" s="106"/>
      <c r="B547" s="121"/>
      <c r="C547" s="93"/>
      <c r="D547" s="131"/>
      <c r="E547" s="94"/>
      <c r="F547" s="90">
        <f>E547*D547</f>
        <v>0</v>
      </c>
      <c r="G547" s="94">
        <f>+F547*$C$4</f>
        <v>0</v>
      </c>
      <c r="H547" s="90">
        <f>+G547+F547</f>
        <v>0</v>
      </c>
      <c r="I547" s="94"/>
      <c r="J547" s="94">
        <f>D547*$C$7</f>
        <v>0</v>
      </c>
      <c r="K547" s="94">
        <f>D547*$C$5</f>
        <v>0</v>
      </c>
      <c r="L547" s="94">
        <f>D547*$C$6</f>
        <v>0</v>
      </c>
      <c r="M547" s="90">
        <f>SUM(H547:L547)</f>
        <v>0</v>
      </c>
      <c r="N547" s="94">
        <f>M547*$C$2</f>
        <v>0</v>
      </c>
      <c r="O547" s="90"/>
      <c r="P547" s="90">
        <f>M547-N547</f>
        <v>0</v>
      </c>
      <c r="Q547" s="83"/>
      <c r="R547" s="90"/>
      <c r="S547" s="90"/>
      <c r="T547" s="90"/>
      <c r="U547" s="90">
        <f>R547-S547-T547</f>
        <v>0</v>
      </c>
      <c r="V547" s="83"/>
      <c r="W547" s="90"/>
      <c r="X547" s="90"/>
      <c r="Y547" s="90"/>
      <c r="Z547" s="90">
        <f>W547-X547-Y547</f>
        <v>0</v>
      </c>
      <c r="AA547"/>
      <c r="AB547" s="83"/>
      <c r="AC547" s="83"/>
      <c r="AD547" s="83"/>
    </row>
    <row r="548" spans="1:30" s="86" customFormat="1" ht="12.75" customHeight="1" thickBot="1">
      <c r="A548" s="106"/>
      <c r="B548" s="83" t="s">
        <v>183</v>
      </c>
      <c r="C548" s="141" t="s">
        <v>184</v>
      </c>
      <c r="D548" s="112">
        <v>4</v>
      </c>
      <c r="E548" s="82">
        <v>38300</v>
      </c>
      <c r="F548" s="123">
        <f>E548*D548</f>
        <v>153200</v>
      </c>
      <c r="G548" s="143">
        <f>+F548*$C$4</f>
        <v>70472</v>
      </c>
      <c r="H548" s="123">
        <f>+G548+F548</f>
        <v>223672</v>
      </c>
      <c r="I548" s="143"/>
      <c r="J548" s="143">
        <f>D548*$C$7</f>
        <v>10000</v>
      </c>
      <c r="K548" s="143">
        <f>D548*$C$5</f>
        <v>22000</v>
      </c>
      <c r="L548" s="143">
        <f>D548*$C$6</f>
        <v>6800</v>
      </c>
      <c r="M548" s="123">
        <f>SUM(H548:L548)</f>
        <v>262472</v>
      </c>
      <c r="N548" s="143">
        <f>M548*$C$2</f>
        <v>131236</v>
      </c>
      <c r="O548" s="123"/>
      <c r="P548" s="123">
        <f>M548-N548</f>
        <v>131236</v>
      </c>
      <c r="Q548" s="138"/>
      <c r="R548" s="145">
        <f>35900*3</f>
        <v>107700</v>
      </c>
      <c r="S548" s="123">
        <f>R548*$S$2</f>
        <v>53850</v>
      </c>
      <c r="T548" s="123"/>
      <c r="U548" s="123">
        <f>R548-S548-T548</f>
        <v>53850</v>
      </c>
      <c r="V548" s="83"/>
      <c r="W548" s="145">
        <f>5*40050</f>
        <v>200250</v>
      </c>
      <c r="X548" s="123">
        <f>W548*$X$2</f>
        <v>100125</v>
      </c>
      <c r="Y548" s="123"/>
      <c r="Z548" s="123">
        <f>W548-X548-Y548</f>
        <v>100125</v>
      </c>
      <c r="AA548"/>
      <c r="AB548" s="83"/>
      <c r="AC548" s="83"/>
      <c r="AD548" s="83"/>
    </row>
    <row r="549" spans="1:30" s="86" customFormat="1" ht="12.75" customHeight="1">
      <c r="A549" s="106"/>
      <c r="B549" s="120"/>
      <c r="C549" s="93"/>
      <c r="D549" s="112"/>
      <c r="E549" s="82"/>
      <c r="F549" s="82">
        <f aca="true" t="shared" si="182" ref="F549:P549">SUM(F547:F548)</f>
        <v>153200</v>
      </c>
      <c r="G549" s="82">
        <f t="shared" si="182"/>
        <v>70472</v>
      </c>
      <c r="H549" s="82">
        <f t="shared" si="182"/>
        <v>223672</v>
      </c>
      <c r="I549" s="82">
        <f t="shared" si="182"/>
        <v>0</v>
      </c>
      <c r="J549" s="82">
        <f t="shared" si="182"/>
        <v>10000</v>
      </c>
      <c r="K549" s="82">
        <f t="shared" si="182"/>
        <v>22000</v>
      </c>
      <c r="L549" s="82">
        <f t="shared" si="182"/>
        <v>6800</v>
      </c>
      <c r="M549" s="82">
        <f t="shared" si="182"/>
        <v>262472</v>
      </c>
      <c r="N549" s="82">
        <f t="shared" si="182"/>
        <v>131236</v>
      </c>
      <c r="O549" s="82">
        <f t="shared" si="182"/>
        <v>0</v>
      </c>
      <c r="P549" s="82">
        <f t="shared" si="182"/>
        <v>131236</v>
      </c>
      <c r="Q549" s="83"/>
      <c r="R549" s="82">
        <f>SUM(R547:R548)</f>
        <v>107700</v>
      </c>
      <c r="S549" s="82">
        <f>SUM(S547:S548)</f>
        <v>53850</v>
      </c>
      <c r="T549" s="82">
        <f>SUM(T547:T548)</f>
        <v>0</v>
      </c>
      <c r="U549" s="82">
        <f>SUM(U547:U548)</f>
        <v>53850</v>
      </c>
      <c r="V549" s="83"/>
      <c r="W549" s="82">
        <f>SUM(W547:W548)</f>
        <v>200250</v>
      </c>
      <c r="X549" s="82">
        <f>SUM(X547:X548)</f>
        <v>100125</v>
      </c>
      <c r="Y549" s="82">
        <f>SUM(Y547:Y548)</f>
        <v>0</v>
      </c>
      <c r="Z549" s="82">
        <f>SUM(Z547:Z548)</f>
        <v>100125</v>
      </c>
      <c r="AA549"/>
      <c r="AB549" s="83"/>
      <c r="AC549" s="83"/>
      <c r="AD549" s="83"/>
    </row>
    <row r="550" spans="1:30" s="86" customFormat="1" ht="12.75" customHeight="1">
      <c r="A550" s="161" t="s">
        <v>185</v>
      </c>
      <c r="B550" s="120"/>
      <c r="C550" s="93"/>
      <c r="D550" s="11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3"/>
      <c r="R550" s="82"/>
      <c r="S550" s="82"/>
      <c r="T550" s="82"/>
      <c r="U550" s="82"/>
      <c r="V550" s="83"/>
      <c r="W550" s="82"/>
      <c r="X550" s="82"/>
      <c r="Y550" s="82"/>
      <c r="Z550" s="82"/>
      <c r="AA550"/>
      <c r="AB550" s="83"/>
      <c r="AC550" s="83"/>
      <c r="AD550" s="83"/>
    </row>
    <row r="551" spans="1:30" s="86" customFormat="1" ht="12.75" customHeight="1">
      <c r="A551" s="106"/>
      <c r="B551" s="83" t="s">
        <v>127</v>
      </c>
      <c r="C551" s="93"/>
      <c r="D551" s="112"/>
      <c r="E551" s="82"/>
      <c r="F551" s="82"/>
      <c r="G551" s="82"/>
      <c r="H551" s="82"/>
      <c r="I551" s="82"/>
      <c r="J551" s="82"/>
      <c r="K551" s="82"/>
      <c r="L551" s="82">
        <f>500000-M549</f>
        <v>237528</v>
      </c>
      <c r="M551" s="90">
        <f>SUM(H551:L551)</f>
        <v>237528</v>
      </c>
      <c r="N551" s="82">
        <f>M551*C2</f>
        <v>118764</v>
      </c>
      <c r="O551" s="82"/>
      <c r="P551" s="82">
        <f>+M551-N551-O551</f>
        <v>118764</v>
      </c>
      <c r="Q551" s="83"/>
      <c r="R551" s="90"/>
      <c r="S551" s="82"/>
      <c r="T551" s="82"/>
      <c r="U551" s="82">
        <f>+R551-S551-T551</f>
        <v>0</v>
      </c>
      <c r="V551" s="83"/>
      <c r="W551" s="90"/>
      <c r="X551" s="82"/>
      <c r="Y551" s="82"/>
      <c r="Z551" s="82">
        <f>+W551-X551-Y551</f>
        <v>0</v>
      </c>
      <c r="AA551"/>
      <c r="AB551" s="83"/>
      <c r="AC551" s="83"/>
      <c r="AD551" s="83"/>
    </row>
    <row r="552" spans="1:30" s="86" customFormat="1" ht="12.75" customHeight="1">
      <c r="A552" s="106"/>
      <c r="B552" s="120"/>
      <c r="C552" s="93"/>
      <c r="D552" s="11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3"/>
      <c r="R552" s="82"/>
      <c r="S552" s="82"/>
      <c r="T552" s="82"/>
      <c r="U552" s="82"/>
      <c r="V552" s="83"/>
      <c r="W552" s="82"/>
      <c r="X552" s="82"/>
      <c r="Y552" s="82"/>
      <c r="Z552" s="82"/>
      <c r="AA552"/>
      <c r="AB552" s="83"/>
      <c r="AC552" s="83"/>
      <c r="AD552" s="83"/>
    </row>
    <row r="553" spans="1:30" s="86" customFormat="1" ht="12.75" customHeight="1" thickBot="1">
      <c r="A553" s="106"/>
      <c r="B553" s="111" t="s">
        <v>79</v>
      </c>
      <c r="C553" s="93"/>
      <c r="D553" s="112"/>
      <c r="E553" s="82"/>
      <c r="F553" s="126">
        <f aca="true" t="shared" si="183" ref="F553:N553">SUM(F549:F552)</f>
        <v>153200</v>
      </c>
      <c r="G553" s="126">
        <f t="shared" si="183"/>
        <v>70472</v>
      </c>
      <c r="H553" s="126">
        <f t="shared" si="183"/>
        <v>223672</v>
      </c>
      <c r="I553" s="126">
        <f t="shared" si="183"/>
        <v>0</v>
      </c>
      <c r="J553" s="126">
        <f t="shared" si="183"/>
        <v>10000</v>
      </c>
      <c r="K553" s="126">
        <f t="shared" si="183"/>
        <v>22000</v>
      </c>
      <c r="L553" s="126">
        <f t="shared" si="183"/>
        <v>244328</v>
      </c>
      <c r="M553" s="126">
        <f t="shared" si="183"/>
        <v>500000</v>
      </c>
      <c r="N553" s="126">
        <f t="shared" si="183"/>
        <v>250000</v>
      </c>
      <c r="O553" s="126"/>
      <c r="P553" s="126">
        <f>SUM(P549:P552)</f>
        <v>250000</v>
      </c>
      <c r="Q553" s="83"/>
      <c r="R553" s="126">
        <f>SUM(R549:R552)</f>
        <v>107700</v>
      </c>
      <c r="S553" s="126">
        <f>SUM(S549:S552)</f>
        <v>53850</v>
      </c>
      <c r="T553" s="126">
        <f>SUM(T549:T552)</f>
        <v>0</v>
      </c>
      <c r="U553" s="126">
        <f>SUM(U549:U552)</f>
        <v>53850</v>
      </c>
      <c r="V553" s="83"/>
      <c r="W553" s="126">
        <f>SUM(W549:W552)</f>
        <v>200250</v>
      </c>
      <c r="X553" s="126">
        <f>SUM(X549:X552)</f>
        <v>100125</v>
      </c>
      <c r="Y553" s="126">
        <f>SUM(Y549:Y552)</f>
        <v>0</v>
      </c>
      <c r="Z553" s="126">
        <f>SUM(Z549:Z552)</f>
        <v>100125</v>
      </c>
      <c r="AA553"/>
      <c r="AB553" s="83"/>
      <c r="AC553" s="83"/>
      <c r="AD553" s="83"/>
    </row>
    <row r="554" spans="1:30" s="86" customFormat="1" ht="12.75" customHeight="1" thickTop="1">
      <c r="A554" s="106"/>
      <c r="B554" s="120"/>
      <c r="C554" s="93"/>
      <c r="D554" s="11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3"/>
      <c r="R554" s="82"/>
      <c r="S554" s="82"/>
      <c r="T554" s="82"/>
      <c r="U554" s="82"/>
      <c r="V554" s="83"/>
      <c r="W554" s="82"/>
      <c r="X554" s="82"/>
      <c r="Y554" s="82"/>
      <c r="Z554" s="82"/>
      <c r="AA554"/>
      <c r="AB554" s="83"/>
      <c r="AC554" s="83"/>
      <c r="AD554" s="83"/>
    </row>
    <row r="555" spans="1:30" s="86" customFormat="1" ht="12.75" customHeight="1">
      <c r="A555" s="106"/>
      <c r="B555" s="128" t="s">
        <v>80</v>
      </c>
      <c r="C555" s="93"/>
      <c r="D555" s="11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3"/>
      <c r="R555" s="82"/>
      <c r="S555" s="82"/>
      <c r="T555" s="82"/>
      <c r="U555" s="82"/>
      <c r="V555" s="83"/>
      <c r="W555" s="82"/>
      <c r="X555" s="82"/>
      <c r="Y555" s="82"/>
      <c r="Z555" s="82"/>
      <c r="AA555"/>
      <c r="AB555" s="83"/>
      <c r="AC555" s="83"/>
      <c r="AD555" s="83"/>
    </row>
    <row r="556" spans="1:30" s="86" customFormat="1" ht="12.75" customHeight="1">
      <c r="A556" s="106"/>
      <c r="B556" s="83" t="str">
        <f>H2</f>
        <v>200-1010-02</v>
      </c>
      <c r="C556" s="93"/>
      <c r="D556" s="112"/>
      <c r="E556" s="82"/>
      <c r="F556" s="82">
        <f aca="true" t="shared" si="184" ref="F556:L556">F553</f>
        <v>153200</v>
      </c>
      <c r="G556" s="82">
        <f t="shared" si="184"/>
        <v>70472</v>
      </c>
      <c r="H556" s="82">
        <f t="shared" si="184"/>
        <v>223672</v>
      </c>
      <c r="I556" s="82">
        <f t="shared" si="184"/>
        <v>0</v>
      </c>
      <c r="J556" s="82">
        <f t="shared" si="184"/>
        <v>10000</v>
      </c>
      <c r="K556" s="82">
        <f t="shared" si="184"/>
        <v>22000</v>
      </c>
      <c r="L556" s="82">
        <f t="shared" si="184"/>
        <v>244328</v>
      </c>
      <c r="M556" s="90">
        <f>SUM(H556:L556)</f>
        <v>500000</v>
      </c>
      <c r="N556" s="82">
        <f>+M556*0.5</f>
        <v>250000</v>
      </c>
      <c r="O556" s="82"/>
      <c r="P556" s="82">
        <f>+M556-N556</f>
        <v>250000</v>
      </c>
      <c r="Q556" s="83"/>
      <c r="R556" s="82">
        <f>R553</f>
        <v>107700</v>
      </c>
      <c r="S556" s="82">
        <f>S553</f>
        <v>53850</v>
      </c>
      <c r="T556" s="82"/>
      <c r="U556" s="82">
        <f>+R556-S556-T556</f>
        <v>53850</v>
      </c>
      <c r="V556" s="83"/>
      <c r="W556" s="82">
        <f>W553</f>
        <v>200250</v>
      </c>
      <c r="X556" s="82">
        <f>X553</f>
        <v>100125</v>
      </c>
      <c r="Y556" s="82"/>
      <c r="Z556" s="82">
        <f>+W556-X556-Y556</f>
        <v>100125</v>
      </c>
      <c r="AA556"/>
      <c r="AB556" s="83"/>
      <c r="AC556" s="83"/>
      <c r="AD556" s="83"/>
    </row>
    <row r="557" spans="1:30" s="86" customFormat="1" ht="12.75" customHeight="1" thickBot="1">
      <c r="A557" s="106"/>
      <c r="B557" s="111"/>
      <c r="C557" s="93"/>
      <c r="D557" s="112"/>
      <c r="E557" s="82"/>
      <c r="F557" s="126">
        <f aca="true" t="shared" si="185" ref="F557:P557">SUM(F556:F556)</f>
        <v>153200</v>
      </c>
      <c r="G557" s="126">
        <f t="shared" si="185"/>
        <v>70472</v>
      </c>
      <c r="H557" s="126">
        <f t="shared" si="185"/>
        <v>223672</v>
      </c>
      <c r="I557" s="126">
        <f t="shared" si="185"/>
        <v>0</v>
      </c>
      <c r="J557" s="126">
        <f t="shared" si="185"/>
        <v>10000</v>
      </c>
      <c r="K557" s="126">
        <f t="shared" si="185"/>
        <v>22000</v>
      </c>
      <c r="L557" s="126">
        <f t="shared" si="185"/>
        <v>244328</v>
      </c>
      <c r="M557" s="126">
        <f t="shared" si="185"/>
        <v>500000</v>
      </c>
      <c r="N557" s="126">
        <f t="shared" si="185"/>
        <v>250000</v>
      </c>
      <c r="O557" s="126">
        <f t="shared" si="185"/>
        <v>0</v>
      </c>
      <c r="P557" s="126">
        <f t="shared" si="185"/>
        <v>250000</v>
      </c>
      <c r="Q557" s="83"/>
      <c r="R557" s="126">
        <f>SUM(R556:R556)</f>
        <v>107700</v>
      </c>
      <c r="S557" s="126">
        <f>SUM(S556:S556)</f>
        <v>53850</v>
      </c>
      <c r="T557" s="126">
        <f>SUM(T556:T556)</f>
        <v>0</v>
      </c>
      <c r="U557" s="126">
        <f>SUM(U556:U556)</f>
        <v>53850</v>
      </c>
      <c r="V557" s="83"/>
      <c r="W557" s="126">
        <f>SUM(W556:W556)</f>
        <v>200250</v>
      </c>
      <c r="X557" s="126">
        <f>SUM(X556:X556)</f>
        <v>100125</v>
      </c>
      <c r="Y557" s="126">
        <f>SUM(Y556:Y556)</f>
        <v>0</v>
      </c>
      <c r="Z557" s="126">
        <f>SUM(Z556:Z556)</f>
        <v>100125</v>
      </c>
      <c r="AA557"/>
      <c r="AB557" s="83"/>
      <c r="AC557" s="83"/>
      <c r="AD557" s="83"/>
    </row>
    <row r="558" spans="1:30" s="86" customFormat="1" ht="12.75" customHeight="1" thickTop="1">
      <c r="A558" s="106"/>
      <c r="B558" s="111"/>
      <c r="C558" s="93"/>
      <c r="D558" s="112"/>
      <c r="E558" s="82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83"/>
      <c r="R558" s="90"/>
      <c r="S558" s="90"/>
      <c r="T558" s="90"/>
      <c r="U558" s="90"/>
      <c r="V558" s="83"/>
      <c r="W558" s="90"/>
      <c r="X558" s="90"/>
      <c r="Y558" s="90"/>
      <c r="Z558" s="90"/>
      <c r="AA558"/>
      <c r="AB558" s="83"/>
      <c r="AC558" s="83"/>
      <c r="AD558" s="83"/>
    </row>
    <row r="559" spans="1:30" s="86" customFormat="1" ht="12.75" customHeight="1" thickBot="1">
      <c r="A559" s="106">
        <v>33</v>
      </c>
      <c r="B559" s="118" t="s">
        <v>186</v>
      </c>
      <c r="C559" s="93"/>
      <c r="D559" s="11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3"/>
      <c r="R559" s="82"/>
      <c r="S559" s="82"/>
      <c r="T559" s="82"/>
      <c r="U559" s="82"/>
      <c r="V559" s="83"/>
      <c r="W559" s="82"/>
      <c r="X559" s="82"/>
      <c r="Y559" s="82"/>
      <c r="Z559" s="82"/>
      <c r="AA559"/>
      <c r="AB559" s="83"/>
      <c r="AC559" s="83"/>
      <c r="AD559" s="83"/>
    </row>
    <row r="560" spans="1:30" s="86" customFormat="1" ht="12.75" customHeight="1" hidden="1">
      <c r="A560" s="106"/>
      <c r="B560" s="121" t="s">
        <v>77</v>
      </c>
      <c r="C560" s="93"/>
      <c r="D560" s="109" t="s">
        <v>71</v>
      </c>
      <c r="E560" s="97" t="s">
        <v>72</v>
      </c>
      <c r="F560" s="97" t="s">
        <v>72</v>
      </c>
      <c r="G560" s="97" t="s">
        <v>73</v>
      </c>
      <c r="H560" s="97" t="s">
        <v>1</v>
      </c>
      <c r="I560" s="97" t="s">
        <v>74</v>
      </c>
      <c r="J560" s="97" t="s">
        <v>66</v>
      </c>
      <c r="K560" s="97" t="s">
        <v>59</v>
      </c>
      <c r="L560" s="97" t="s">
        <v>18</v>
      </c>
      <c r="M560" s="97" t="s">
        <v>1</v>
      </c>
      <c r="N560" s="97" t="s">
        <v>7</v>
      </c>
      <c r="O560" s="97" t="s">
        <v>75</v>
      </c>
      <c r="P560" s="97" t="s">
        <v>76</v>
      </c>
      <c r="Q560" s="108"/>
      <c r="R560" s="97" t="s">
        <v>1</v>
      </c>
      <c r="S560" s="97" t="s">
        <v>7</v>
      </c>
      <c r="T560" s="97" t="s">
        <v>75</v>
      </c>
      <c r="U560" s="97" t="s">
        <v>76</v>
      </c>
      <c r="V560" s="83"/>
      <c r="W560" s="97" t="s">
        <v>1</v>
      </c>
      <c r="X560" s="97" t="s">
        <v>7</v>
      </c>
      <c r="Y560" s="97" t="s">
        <v>75</v>
      </c>
      <c r="Z560" s="97" t="s">
        <v>76</v>
      </c>
      <c r="AA560"/>
      <c r="AB560" s="83"/>
      <c r="AC560" s="83"/>
      <c r="AD560" s="83"/>
    </row>
    <row r="561" spans="1:30" s="86" customFormat="1" ht="12.75" customHeight="1" hidden="1">
      <c r="A561" s="106"/>
      <c r="B561" s="121"/>
      <c r="C561" s="93"/>
      <c r="D561" s="131"/>
      <c r="E561" s="94"/>
      <c r="F561" s="90">
        <f>E561*D561</f>
        <v>0</v>
      </c>
      <c r="G561" s="94">
        <f>+F561*$C$4</f>
        <v>0</v>
      </c>
      <c r="H561" s="90">
        <f>+G561+F561</f>
        <v>0</v>
      </c>
      <c r="I561" s="94"/>
      <c r="J561" s="94">
        <f>D561*$C$7</f>
        <v>0</v>
      </c>
      <c r="K561" s="94">
        <f>D561*$C$5</f>
        <v>0</v>
      </c>
      <c r="L561" s="94">
        <f>D561*$C$6</f>
        <v>0</v>
      </c>
      <c r="M561" s="90">
        <f>SUM(H561:L561)</f>
        <v>0</v>
      </c>
      <c r="N561" s="94">
        <f>M561*$C$2</f>
        <v>0</v>
      </c>
      <c r="O561" s="90"/>
      <c r="P561" s="90">
        <f>M561-N561-O561</f>
        <v>0</v>
      </c>
      <c r="Q561" s="83"/>
      <c r="R561" s="90"/>
      <c r="S561" s="90"/>
      <c r="T561" s="90"/>
      <c r="U561" s="90">
        <f>R561-S561-T561</f>
        <v>0</v>
      </c>
      <c r="V561" s="83"/>
      <c r="W561" s="90"/>
      <c r="X561" s="90"/>
      <c r="Y561" s="90"/>
      <c r="Z561" s="90">
        <f>W561-X561-Y561</f>
        <v>0</v>
      </c>
      <c r="AA561"/>
      <c r="AB561" s="83"/>
      <c r="AC561" s="83"/>
      <c r="AD561" s="83"/>
    </row>
    <row r="562" spans="1:30" s="86" customFormat="1" ht="12.75" customHeight="1" hidden="1" thickBot="1">
      <c r="A562" s="106"/>
      <c r="B562" s="120"/>
      <c r="C562" s="93"/>
      <c r="D562" s="112"/>
      <c r="E562" s="82"/>
      <c r="F562" s="123">
        <f>E562*D562</f>
        <v>0</v>
      </c>
      <c r="G562" s="143">
        <f>+F562*$C$4</f>
        <v>0</v>
      </c>
      <c r="H562" s="123">
        <f>+G562+F562</f>
        <v>0</v>
      </c>
      <c r="I562" s="143"/>
      <c r="J562" s="143">
        <f>D562*$C$7</f>
        <v>0</v>
      </c>
      <c r="K562" s="143">
        <f>D562*$C$5</f>
        <v>0</v>
      </c>
      <c r="L562" s="143">
        <f>D562*$C$6</f>
        <v>0</v>
      </c>
      <c r="M562" s="123">
        <f>SUM(H562:L562)</f>
        <v>0</v>
      </c>
      <c r="N562" s="143">
        <f>M562*$C$2</f>
        <v>0</v>
      </c>
      <c r="O562" s="123"/>
      <c r="P562" s="123">
        <f>M562-N562-O562</f>
        <v>0</v>
      </c>
      <c r="Q562" s="138"/>
      <c r="R562" s="123"/>
      <c r="S562" s="123"/>
      <c r="T562" s="123"/>
      <c r="U562" s="123">
        <f>R562-S562-T562</f>
        <v>0</v>
      </c>
      <c r="V562" s="83"/>
      <c r="W562" s="123"/>
      <c r="X562" s="123"/>
      <c r="Y562" s="123"/>
      <c r="Z562" s="123">
        <f>W562-X562-Y562</f>
        <v>0</v>
      </c>
      <c r="AA562"/>
      <c r="AB562" s="83"/>
      <c r="AC562" s="83"/>
      <c r="AD562" s="83"/>
    </row>
    <row r="563" spans="1:30" s="86" customFormat="1" ht="12.75" customHeight="1" hidden="1">
      <c r="A563" s="106"/>
      <c r="B563" s="120"/>
      <c r="C563" s="93"/>
      <c r="D563" s="112"/>
      <c r="E563" s="82"/>
      <c r="F563" s="82">
        <f aca="true" t="shared" si="186" ref="F563:P563">SUM(F561:F562)</f>
        <v>0</v>
      </c>
      <c r="G563" s="82">
        <f t="shared" si="186"/>
        <v>0</v>
      </c>
      <c r="H563" s="82">
        <f t="shared" si="186"/>
        <v>0</v>
      </c>
      <c r="I563" s="82">
        <f t="shared" si="186"/>
        <v>0</v>
      </c>
      <c r="J563" s="82">
        <f t="shared" si="186"/>
        <v>0</v>
      </c>
      <c r="K563" s="82">
        <f t="shared" si="186"/>
        <v>0</v>
      </c>
      <c r="L563" s="82">
        <f t="shared" si="186"/>
        <v>0</v>
      </c>
      <c r="M563" s="82">
        <f t="shared" si="186"/>
        <v>0</v>
      </c>
      <c r="N563" s="82">
        <f t="shared" si="186"/>
        <v>0</v>
      </c>
      <c r="O563" s="82">
        <f t="shared" si="186"/>
        <v>0</v>
      </c>
      <c r="P563" s="82">
        <f t="shared" si="186"/>
        <v>0</v>
      </c>
      <c r="Q563" s="83"/>
      <c r="R563" s="82">
        <f>SUM(R561:R562)</f>
        <v>0</v>
      </c>
      <c r="S563" s="82">
        <f>SUM(S561:S562)</f>
        <v>0</v>
      </c>
      <c r="T563" s="82">
        <f>SUM(T561:T562)</f>
        <v>0</v>
      </c>
      <c r="U563" s="82">
        <f>SUM(U561:U562)</f>
        <v>0</v>
      </c>
      <c r="V563" s="83"/>
      <c r="W563" s="82">
        <f>SUM(W561:W562)</f>
        <v>0</v>
      </c>
      <c r="X563" s="82">
        <f>SUM(X561:X562)</f>
        <v>0</v>
      </c>
      <c r="Y563" s="82">
        <f>SUM(Y561:Y562)</f>
        <v>0</v>
      </c>
      <c r="Z563" s="82">
        <f>SUM(Z561:Z562)</f>
        <v>0</v>
      </c>
      <c r="AA563"/>
      <c r="AB563" s="83"/>
      <c r="AC563" s="83"/>
      <c r="AD563" s="83"/>
    </row>
    <row r="564" spans="1:30" s="86" customFormat="1" ht="12.75" customHeight="1">
      <c r="A564" s="106"/>
      <c r="C564" s="93"/>
      <c r="D564" s="112"/>
      <c r="E564" s="82"/>
      <c r="F564" s="82">
        <f>SUM(F563:F563)</f>
        <v>0</v>
      </c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3"/>
      <c r="R564" s="82"/>
      <c r="S564" s="82"/>
      <c r="T564" s="82"/>
      <c r="U564" s="82"/>
      <c r="V564" s="83"/>
      <c r="W564" s="82"/>
      <c r="X564" s="82"/>
      <c r="Y564" s="82"/>
      <c r="Z564" s="82"/>
      <c r="AA564"/>
      <c r="AB564" s="83"/>
      <c r="AC564" s="83"/>
      <c r="AD564" s="83"/>
    </row>
    <row r="565" spans="1:30" s="86" customFormat="1" ht="12.75" customHeight="1">
      <c r="A565" s="93">
        <v>539</v>
      </c>
      <c r="B565" s="83" t="s">
        <v>127</v>
      </c>
      <c r="C565" s="93">
        <v>540</v>
      </c>
      <c r="D565" s="112"/>
      <c r="E565" s="82"/>
      <c r="F565" s="82"/>
      <c r="G565" s="82"/>
      <c r="H565" s="82"/>
      <c r="I565" s="82"/>
      <c r="J565" s="82"/>
      <c r="K565" s="82"/>
      <c r="L565" s="82">
        <f>'[8]FY10 Priority  (2)'!$F$68</f>
        <v>130000</v>
      </c>
      <c r="M565" s="90">
        <f>SUM(H565:L565)</f>
        <v>130000</v>
      </c>
      <c r="N565" s="82">
        <f>M565</f>
        <v>130000</v>
      </c>
      <c r="O565" s="82"/>
      <c r="P565" s="82">
        <f>+M565-N565-O565</f>
        <v>0</v>
      </c>
      <c r="Q565" s="83"/>
      <c r="R565" s="90">
        <f>'[10]JuneComb'!$C$40</f>
        <v>5861141</v>
      </c>
      <c r="S565" s="82">
        <f>R565*$S$1</f>
        <v>1913076.4223999996</v>
      </c>
      <c r="T565" s="82"/>
      <c r="U565" s="82">
        <f>+R565-S565-T565</f>
        <v>3948064.5776000004</v>
      </c>
      <c r="V565" s="83"/>
      <c r="W565" s="90">
        <f>R565*1.03</f>
        <v>6036975.23</v>
      </c>
      <c r="X565" s="82">
        <f>W565*$X$1</f>
        <v>2040497.62774</v>
      </c>
      <c r="Y565" s="82"/>
      <c r="Z565" s="82">
        <f>+W565-X565-Y565</f>
        <v>3996477.6022600005</v>
      </c>
      <c r="AA565"/>
      <c r="AB565" s="83"/>
      <c r="AC565" s="83"/>
      <c r="AD565" s="83"/>
    </row>
    <row r="566" spans="1:30" s="86" customFormat="1" ht="12.75" customHeight="1">
      <c r="A566" s="106"/>
      <c r="B566" s="120"/>
      <c r="C566" s="93"/>
      <c r="D566" s="11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3"/>
      <c r="R566" s="82"/>
      <c r="S566" s="82"/>
      <c r="T566" s="82"/>
      <c r="U566" s="82"/>
      <c r="V566" s="83"/>
      <c r="W566" s="82"/>
      <c r="X566" s="82"/>
      <c r="Y566" s="82"/>
      <c r="Z566" s="82"/>
      <c r="AA566"/>
      <c r="AB566" s="83"/>
      <c r="AC566" s="83"/>
      <c r="AD566" s="83"/>
    </row>
    <row r="567" spans="1:30" s="86" customFormat="1" ht="12.75" customHeight="1" thickBot="1">
      <c r="A567" s="106"/>
      <c r="B567" s="111" t="s">
        <v>79</v>
      </c>
      <c r="C567" s="93"/>
      <c r="D567" s="112"/>
      <c r="E567" s="82"/>
      <c r="F567" s="126">
        <f>SUM(F563:F566)</f>
        <v>0</v>
      </c>
      <c r="G567" s="126">
        <f>SUM(G563:G566)</f>
        <v>0</v>
      </c>
      <c r="H567" s="126"/>
      <c r="I567" s="126"/>
      <c r="J567" s="126">
        <f>SUM(J563:J566)</f>
        <v>0</v>
      </c>
      <c r="K567" s="126">
        <f>SUM(K563:K566)</f>
        <v>0</v>
      </c>
      <c r="L567" s="126">
        <f>SUM(L563:L566)</f>
        <v>130000</v>
      </c>
      <c r="M567" s="126">
        <f>SUM(M563:M566)</f>
        <v>130000</v>
      </c>
      <c r="N567" s="126">
        <f>SUM(N563:N566)</f>
        <v>130000</v>
      </c>
      <c r="O567" s="126"/>
      <c r="P567" s="126">
        <f>SUM(P563:P566)</f>
        <v>0</v>
      </c>
      <c r="Q567" s="83"/>
      <c r="R567" s="126">
        <f>SUM(R565:R566)</f>
        <v>5861141</v>
      </c>
      <c r="S567" s="126">
        <f>SUM(S565:S566)</f>
        <v>1913076.4223999996</v>
      </c>
      <c r="T567" s="126">
        <f>SUM(T565:T566)</f>
        <v>0</v>
      </c>
      <c r="U567" s="126">
        <f>SUM(U565:U566)</f>
        <v>3948064.5776000004</v>
      </c>
      <c r="V567" s="83"/>
      <c r="W567" s="126">
        <f>SUM(W565:W566)</f>
        <v>6036975.23</v>
      </c>
      <c r="X567" s="126">
        <f>SUM(X565:X566)</f>
        <v>2040497.62774</v>
      </c>
      <c r="Y567" s="126">
        <f>SUM(Y565:Y566)</f>
        <v>0</v>
      </c>
      <c r="Z567" s="126">
        <f>SUM(Z565:Z566)</f>
        <v>3996477.6022600005</v>
      </c>
      <c r="AA567"/>
      <c r="AB567" s="83"/>
      <c r="AC567" s="83"/>
      <c r="AD567" s="83"/>
    </row>
    <row r="568" spans="1:30" s="86" customFormat="1" ht="12.75" customHeight="1" thickTop="1">
      <c r="A568" s="106"/>
      <c r="B568" s="120"/>
      <c r="C568" s="93"/>
      <c r="D568" s="11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3"/>
      <c r="R568" s="82"/>
      <c r="S568" s="82"/>
      <c r="T568" s="82"/>
      <c r="U568" s="82"/>
      <c r="V568" s="83"/>
      <c r="W568" s="82"/>
      <c r="X568" s="82"/>
      <c r="Y568" s="82"/>
      <c r="Z568" s="82"/>
      <c r="AA568"/>
      <c r="AB568" s="83"/>
      <c r="AC568" s="83"/>
      <c r="AD568" s="83"/>
    </row>
    <row r="569" spans="1:30" s="86" customFormat="1" ht="12.75" customHeight="1">
      <c r="A569" s="106"/>
      <c r="B569" s="128" t="s">
        <v>80</v>
      </c>
      <c r="C569" s="93"/>
      <c r="D569" s="11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3"/>
      <c r="R569" s="82"/>
      <c r="S569" s="82"/>
      <c r="T569" s="82"/>
      <c r="U569" s="82"/>
      <c r="V569" s="83"/>
      <c r="W569" s="82"/>
      <c r="X569" s="82"/>
      <c r="Y569" s="82"/>
      <c r="Z569" s="82"/>
      <c r="AA569"/>
      <c r="AB569" s="83"/>
      <c r="AC569" s="83"/>
      <c r="AD569" s="83"/>
    </row>
    <row r="570" spans="1:30" s="86" customFormat="1" ht="12.75" customHeight="1">
      <c r="A570" s="106"/>
      <c r="B570" s="83" t="str">
        <f>K5</f>
        <v>340-1020-01</v>
      </c>
      <c r="C570" s="93"/>
      <c r="D570" s="112"/>
      <c r="E570" s="82"/>
      <c r="F570" s="82"/>
      <c r="G570" s="82"/>
      <c r="H570" s="82"/>
      <c r="I570" s="82"/>
      <c r="J570" s="82">
        <f>+J565</f>
        <v>0</v>
      </c>
      <c r="K570" s="82"/>
      <c r="L570" s="82">
        <f>L567</f>
        <v>130000</v>
      </c>
      <c r="M570" s="90">
        <f>SUM(H570:L570)</f>
        <v>130000</v>
      </c>
      <c r="N570" s="82">
        <f>N567</f>
        <v>130000</v>
      </c>
      <c r="O570" s="82"/>
      <c r="P570" s="82">
        <f>+M570-N570</f>
        <v>0</v>
      </c>
      <c r="Q570" s="83"/>
      <c r="R570" s="90">
        <f>R565</f>
        <v>5861141</v>
      </c>
      <c r="S570" s="82">
        <f>S565</f>
        <v>1913076.4223999996</v>
      </c>
      <c r="T570" s="82"/>
      <c r="U570" s="82">
        <f>+R570-S570-T570</f>
        <v>3948064.5776000004</v>
      </c>
      <c r="V570" s="83"/>
      <c r="W570" s="90">
        <f>W565</f>
        <v>6036975.23</v>
      </c>
      <c r="X570" s="82">
        <f>X565</f>
        <v>2040497.62774</v>
      </c>
      <c r="Y570" s="82"/>
      <c r="Z570" s="82">
        <f>+W570-X570-Y570</f>
        <v>3996477.6022600005</v>
      </c>
      <c r="AA570"/>
      <c r="AB570" s="83"/>
      <c r="AC570" s="83"/>
      <c r="AD570" s="83"/>
    </row>
    <row r="571" spans="1:30" s="86" customFormat="1" ht="12.75" customHeight="1" thickBot="1">
      <c r="A571" s="106"/>
      <c r="B571" s="111"/>
      <c r="C571" s="93"/>
      <c r="D571" s="112"/>
      <c r="E571" s="82"/>
      <c r="F571" s="126">
        <f aca="true" t="shared" si="187" ref="F571:P571">SUM(F570:F570)</f>
        <v>0</v>
      </c>
      <c r="G571" s="126">
        <f t="shared" si="187"/>
        <v>0</v>
      </c>
      <c r="H571" s="126">
        <f t="shared" si="187"/>
        <v>0</v>
      </c>
      <c r="I571" s="126">
        <f t="shared" si="187"/>
        <v>0</v>
      </c>
      <c r="J571" s="126">
        <f t="shared" si="187"/>
        <v>0</v>
      </c>
      <c r="K571" s="126">
        <f t="shared" si="187"/>
        <v>0</v>
      </c>
      <c r="L571" s="126">
        <f t="shared" si="187"/>
        <v>130000</v>
      </c>
      <c r="M571" s="126">
        <f t="shared" si="187"/>
        <v>130000</v>
      </c>
      <c r="N571" s="126">
        <f t="shared" si="187"/>
        <v>130000</v>
      </c>
      <c r="O571" s="126">
        <f t="shared" si="187"/>
        <v>0</v>
      </c>
      <c r="P571" s="126">
        <f t="shared" si="187"/>
        <v>0</v>
      </c>
      <c r="Q571" s="83"/>
      <c r="R571" s="126">
        <f>SUM(R570:R570)</f>
        <v>5861141</v>
      </c>
      <c r="S571" s="126">
        <f>SUM(S570:S570)</f>
        <v>1913076.4223999996</v>
      </c>
      <c r="T571" s="126">
        <f>SUM(T570:T570)</f>
        <v>0</v>
      </c>
      <c r="U571" s="126">
        <f>SUM(U570:U570)</f>
        <v>3948064.5776000004</v>
      </c>
      <c r="V571" s="83"/>
      <c r="W571" s="126">
        <f>SUM(W570:W570)</f>
        <v>6036975.23</v>
      </c>
      <c r="X571" s="126">
        <f>SUM(X570:X570)</f>
        <v>2040497.62774</v>
      </c>
      <c r="Y571" s="126">
        <f>SUM(Y570:Y570)</f>
        <v>0</v>
      </c>
      <c r="Z571" s="126">
        <f>SUM(Z570:Z570)</f>
        <v>3996477.6022600005</v>
      </c>
      <c r="AA571"/>
      <c r="AB571" s="83"/>
      <c r="AC571" s="83"/>
      <c r="AD571" s="83"/>
    </row>
    <row r="572" spans="1:30" s="86" customFormat="1" ht="12.75" customHeight="1" thickTop="1">
      <c r="A572" s="106"/>
      <c r="B572" s="111"/>
      <c r="C572" s="93"/>
      <c r="D572" s="112"/>
      <c r="E572" s="82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83"/>
      <c r="R572" s="90"/>
      <c r="S572" s="90"/>
      <c r="T572" s="90"/>
      <c r="U572" s="90"/>
      <c r="V572" s="83"/>
      <c r="W572" s="90"/>
      <c r="X572" s="90"/>
      <c r="Y572" s="90"/>
      <c r="Z572" s="90"/>
      <c r="AA572"/>
      <c r="AB572" s="83"/>
      <c r="AC572" s="83"/>
      <c r="AD572" s="83"/>
    </row>
    <row r="573" spans="1:30" s="86" customFormat="1" ht="12.75" customHeight="1" thickBot="1">
      <c r="A573" s="106">
        <v>34</v>
      </c>
      <c r="B573" s="118" t="s">
        <v>187</v>
      </c>
      <c r="C573" s="93"/>
      <c r="D573" s="11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3"/>
      <c r="R573" s="82"/>
      <c r="S573" s="82"/>
      <c r="T573" s="82"/>
      <c r="U573" s="82"/>
      <c r="V573" s="83"/>
      <c r="W573" s="82"/>
      <c r="X573" s="82"/>
      <c r="Y573" s="82"/>
      <c r="Z573" s="82"/>
      <c r="AA573"/>
      <c r="AB573" s="83"/>
      <c r="AC573" s="83"/>
      <c r="AD573" s="83"/>
    </row>
    <row r="574" spans="1:30" s="86" customFormat="1" ht="12.75" customHeight="1">
      <c r="A574" s="106"/>
      <c r="B574" s="121" t="s">
        <v>77</v>
      </c>
      <c r="C574" s="93"/>
      <c r="D574" s="109" t="s">
        <v>71</v>
      </c>
      <c r="E574" s="97" t="s">
        <v>72</v>
      </c>
      <c r="F574" s="97" t="s">
        <v>72</v>
      </c>
      <c r="G574" s="97" t="s">
        <v>73</v>
      </c>
      <c r="H574" s="97" t="s">
        <v>1</v>
      </c>
      <c r="I574" s="97" t="s">
        <v>74</v>
      </c>
      <c r="J574" s="97" t="s">
        <v>66</v>
      </c>
      <c r="K574" s="97" t="s">
        <v>59</v>
      </c>
      <c r="L574" s="97" t="s">
        <v>18</v>
      </c>
      <c r="M574" s="97" t="s">
        <v>1</v>
      </c>
      <c r="N574" s="97" t="s">
        <v>7</v>
      </c>
      <c r="O574" s="97" t="s">
        <v>75</v>
      </c>
      <c r="P574" s="97" t="s">
        <v>76</v>
      </c>
      <c r="Q574" s="108"/>
      <c r="R574" s="97" t="s">
        <v>1</v>
      </c>
      <c r="S574" s="97" t="s">
        <v>7</v>
      </c>
      <c r="T574" s="97" t="s">
        <v>75</v>
      </c>
      <c r="U574" s="97" t="s">
        <v>76</v>
      </c>
      <c r="V574" s="83"/>
      <c r="W574" s="97" t="s">
        <v>1</v>
      </c>
      <c r="X574" s="97" t="s">
        <v>7</v>
      </c>
      <c r="Y574" s="97" t="s">
        <v>75</v>
      </c>
      <c r="Z574" s="97" t="s">
        <v>76</v>
      </c>
      <c r="AA574"/>
      <c r="AB574" s="83"/>
      <c r="AC574" s="83"/>
      <c r="AD574" s="83"/>
    </row>
    <row r="575" spans="1:30" s="86" customFormat="1" ht="12.75" customHeight="1">
      <c r="A575" s="106"/>
      <c r="B575" s="121"/>
      <c r="C575" s="93"/>
      <c r="D575" s="131"/>
      <c r="E575" s="94"/>
      <c r="F575" s="90">
        <f>E575*D575</f>
        <v>0</v>
      </c>
      <c r="G575" s="94">
        <f>+F575*$C$4</f>
        <v>0</v>
      </c>
      <c r="H575" s="90">
        <f>+G575+F575</f>
        <v>0</v>
      </c>
      <c r="I575" s="94"/>
      <c r="J575" s="94">
        <f>D575*$C$7</f>
        <v>0</v>
      </c>
      <c r="K575" s="94">
        <f>D575*$C$5</f>
        <v>0</v>
      </c>
      <c r="L575" s="94">
        <f>D575*$C$6</f>
        <v>0</v>
      </c>
      <c r="M575" s="90">
        <f>SUM(H575:L575)</f>
        <v>0</v>
      </c>
      <c r="N575" s="94">
        <f>M575*$C$2</f>
        <v>0</v>
      </c>
      <c r="O575" s="90"/>
      <c r="P575" s="90">
        <f>M575-N575-O575</f>
        <v>0</v>
      </c>
      <c r="Q575" s="83"/>
      <c r="R575" s="90"/>
      <c r="S575" s="90"/>
      <c r="T575" s="90"/>
      <c r="U575" s="90">
        <f>R575-S575-T575</f>
        <v>0</v>
      </c>
      <c r="V575" s="83"/>
      <c r="W575" s="90"/>
      <c r="X575" s="90"/>
      <c r="Y575" s="90"/>
      <c r="Z575" s="90">
        <f>W575-X575-Y575</f>
        <v>0</v>
      </c>
      <c r="AA575"/>
      <c r="AB575" s="83"/>
      <c r="AC575" s="83"/>
      <c r="AD575" s="83"/>
    </row>
    <row r="576" spans="1:30" s="86" customFormat="1" ht="12.75" customHeight="1" thickBot="1">
      <c r="A576" s="106"/>
      <c r="B576" s="120"/>
      <c r="C576" s="93"/>
      <c r="D576" s="112"/>
      <c r="E576" s="82"/>
      <c r="F576" s="123">
        <f>E576*D576</f>
        <v>0</v>
      </c>
      <c r="G576" s="143">
        <f>+F576*$C$4</f>
        <v>0</v>
      </c>
      <c r="H576" s="123">
        <f>+G576+F576</f>
        <v>0</v>
      </c>
      <c r="I576" s="143"/>
      <c r="J576" s="143">
        <f>D576*$C$7</f>
        <v>0</v>
      </c>
      <c r="K576" s="143">
        <f>D576*$C$5</f>
        <v>0</v>
      </c>
      <c r="L576" s="143">
        <f>D576*$C$6</f>
        <v>0</v>
      </c>
      <c r="M576" s="123">
        <f>SUM(H576:L576)</f>
        <v>0</v>
      </c>
      <c r="N576" s="143">
        <f>M576*$C$2</f>
        <v>0</v>
      </c>
      <c r="O576" s="123"/>
      <c r="P576" s="123">
        <f>M576-N576-O576</f>
        <v>0</v>
      </c>
      <c r="Q576" s="138"/>
      <c r="R576" s="123"/>
      <c r="S576" s="123"/>
      <c r="T576" s="123"/>
      <c r="U576" s="123">
        <f>R576-S576-T576</f>
        <v>0</v>
      </c>
      <c r="V576" s="83"/>
      <c r="W576" s="123"/>
      <c r="X576" s="123"/>
      <c r="Y576" s="123"/>
      <c r="Z576" s="123">
        <f>W576-X576-Y576</f>
        <v>0</v>
      </c>
      <c r="AA576"/>
      <c r="AB576" s="83"/>
      <c r="AC576" s="83"/>
      <c r="AD576" s="83"/>
    </row>
    <row r="577" spans="1:30" s="86" customFormat="1" ht="12.75" customHeight="1">
      <c r="A577" s="106"/>
      <c r="B577" s="120"/>
      <c r="C577" s="93"/>
      <c r="D577" s="112"/>
      <c r="E577" s="82"/>
      <c r="F577" s="82">
        <f aca="true" t="shared" si="188" ref="F577:P577">SUM(F575:F576)</f>
        <v>0</v>
      </c>
      <c r="G577" s="82">
        <f t="shared" si="188"/>
        <v>0</v>
      </c>
      <c r="H577" s="82">
        <f t="shared" si="188"/>
        <v>0</v>
      </c>
      <c r="I577" s="82">
        <f t="shared" si="188"/>
        <v>0</v>
      </c>
      <c r="J577" s="82">
        <f t="shared" si="188"/>
        <v>0</v>
      </c>
      <c r="K577" s="82">
        <f t="shared" si="188"/>
        <v>0</v>
      </c>
      <c r="L577" s="82">
        <f t="shared" si="188"/>
        <v>0</v>
      </c>
      <c r="M577" s="82">
        <f t="shared" si="188"/>
        <v>0</v>
      </c>
      <c r="N577" s="82">
        <f t="shared" si="188"/>
        <v>0</v>
      </c>
      <c r="O577" s="82">
        <f t="shared" si="188"/>
        <v>0</v>
      </c>
      <c r="P577" s="82">
        <f t="shared" si="188"/>
        <v>0</v>
      </c>
      <c r="Q577" s="83"/>
      <c r="R577" s="82"/>
      <c r="S577" s="82"/>
      <c r="T577" s="82">
        <f>SUM(T575:T576)</f>
        <v>0</v>
      </c>
      <c r="U577" s="82"/>
      <c r="V577" s="83"/>
      <c r="W577" s="82"/>
      <c r="X577" s="82"/>
      <c r="Y577" s="82">
        <f>SUM(Y575:Y576)</f>
        <v>0</v>
      </c>
      <c r="Z577" s="82"/>
      <c r="AA577"/>
      <c r="AB577" s="83"/>
      <c r="AC577" s="83"/>
      <c r="AD577" s="83"/>
    </row>
    <row r="578" spans="1:30" s="86" customFormat="1" ht="12.75" customHeight="1">
      <c r="A578" s="93">
        <v>541</v>
      </c>
      <c r="B578" s="83" t="s">
        <v>127</v>
      </c>
      <c r="C578" s="93"/>
      <c r="D578" s="112"/>
      <c r="E578" s="82"/>
      <c r="F578" s="82">
        <f>SUM(F577:F577)</f>
        <v>0</v>
      </c>
      <c r="G578" s="82"/>
      <c r="H578" s="82"/>
      <c r="I578" s="82"/>
      <c r="J578" s="82"/>
      <c r="K578" s="82"/>
      <c r="L578" s="82">
        <f>'[8]FY10 Priority  (2)'!$F$69</f>
        <v>200000</v>
      </c>
      <c r="M578" s="90">
        <f>SUM(H578:L578)</f>
        <v>200000</v>
      </c>
      <c r="N578" s="82">
        <f>M578</f>
        <v>200000</v>
      </c>
      <c r="O578" s="82"/>
      <c r="P578" s="82">
        <f>+M578-N578-O578</f>
        <v>0</v>
      </c>
      <c r="Q578" s="83"/>
      <c r="R578" s="82"/>
      <c r="S578" s="82"/>
      <c r="T578" s="82"/>
      <c r="U578" s="82">
        <f>+R578-S578-T578</f>
        <v>0</v>
      </c>
      <c r="V578" s="83"/>
      <c r="W578" s="82"/>
      <c r="X578" s="82"/>
      <c r="Y578" s="82"/>
      <c r="Z578" s="82">
        <f>+W578-X578-Y578</f>
        <v>0</v>
      </c>
      <c r="AA578"/>
      <c r="AB578" s="83"/>
      <c r="AC578" s="83"/>
      <c r="AD578" s="83"/>
    </row>
    <row r="579" spans="1:30" s="86" customFormat="1" ht="12.75" customHeight="1">
      <c r="A579" s="106"/>
      <c r="B579" s="120"/>
      <c r="C579" s="93"/>
      <c r="D579" s="11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3"/>
      <c r="R579" s="82"/>
      <c r="S579" s="82"/>
      <c r="T579" s="82"/>
      <c r="U579" s="82"/>
      <c r="V579" s="83"/>
      <c r="W579" s="82"/>
      <c r="X579" s="82"/>
      <c r="Y579" s="82"/>
      <c r="Z579" s="82"/>
      <c r="AA579"/>
      <c r="AB579" s="83"/>
      <c r="AC579" s="83"/>
      <c r="AD579" s="83"/>
    </row>
    <row r="580" spans="1:30" s="86" customFormat="1" ht="12.75" customHeight="1" thickBot="1">
      <c r="A580" s="106"/>
      <c r="B580" s="111" t="s">
        <v>79</v>
      </c>
      <c r="C580" s="93"/>
      <c r="D580" s="112"/>
      <c r="E580" s="82"/>
      <c r="F580" s="126">
        <f>SUM(F577:F579)</f>
        <v>0</v>
      </c>
      <c r="G580" s="126">
        <f>SUM(G577:G579)</f>
        <v>0</v>
      </c>
      <c r="H580" s="126"/>
      <c r="I580" s="126"/>
      <c r="J580" s="126">
        <f>SUM(J577:J579)</f>
        <v>0</v>
      </c>
      <c r="K580" s="126">
        <f>SUM(K577:K579)</f>
        <v>0</v>
      </c>
      <c r="L580" s="126">
        <f>SUM(L577:L579)</f>
        <v>200000</v>
      </c>
      <c r="M580" s="126">
        <f>SUM(M577:M579)</f>
        <v>200000</v>
      </c>
      <c r="N580" s="126">
        <f>SUM(N577:N579)</f>
        <v>200000</v>
      </c>
      <c r="O580" s="126"/>
      <c r="P580" s="126">
        <f>SUM(P577:P579)</f>
        <v>0</v>
      </c>
      <c r="Q580" s="83"/>
      <c r="R580" s="126">
        <f>SUM(R577:R579)</f>
        <v>0</v>
      </c>
      <c r="S580" s="126">
        <f>SUM(S577:S579)</f>
        <v>0</v>
      </c>
      <c r="T580" s="126">
        <f>SUM(T577:T579)</f>
        <v>0</v>
      </c>
      <c r="U580" s="126">
        <f>SUM(U577:U579)</f>
        <v>0</v>
      </c>
      <c r="V580" s="83"/>
      <c r="W580" s="126">
        <f>SUM(W577:W579)</f>
        <v>0</v>
      </c>
      <c r="X580" s="126">
        <f>SUM(X577:X579)</f>
        <v>0</v>
      </c>
      <c r="Y580" s="126">
        <f>SUM(Y577:Y579)</f>
        <v>0</v>
      </c>
      <c r="Z580" s="126">
        <f>SUM(Z577:Z579)</f>
        <v>0</v>
      </c>
      <c r="AA580"/>
      <c r="AB580" s="83"/>
      <c r="AC580" s="83"/>
      <c r="AD580" s="83"/>
    </row>
    <row r="581" spans="1:30" s="86" customFormat="1" ht="12.75" customHeight="1" thickTop="1">
      <c r="A581" s="106"/>
      <c r="B581" s="120"/>
      <c r="C581" s="93"/>
      <c r="D581" s="11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3"/>
      <c r="R581" s="82"/>
      <c r="S581" s="82"/>
      <c r="T581" s="82"/>
      <c r="U581" s="82"/>
      <c r="V581" s="83"/>
      <c r="W581" s="82"/>
      <c r="X581" s="82"/>
      <c r="Y581" s="82"/>
      <c r="Z581" s="82"/>
      <c r="AA581"/>
      <c r="AB581" s="83"/>
      <c r="AC581" s="83"/>
      <c r="AD581" s="83"/>
    </row>
    <row r="582" spans="1:30" s="86" customFormat="1" ht="12.75" customHeight="1">
      <c r="A582" s="106"/>
      <c r="B582" s="128" t="s">
        <v>80</v>
      </c>
      <c r="C582" s="93"/>
      <c r="D582" s="11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3"/>
      <c r="R582" s="82"/>
      <c r="S582" s="82"/>
      <c r="T582" s="82"/>
      <c r="U582" s="82"/>
      <c r="V582" s="83"/>
      <c r="W582" s="82"/>
      <c r="X582" s="82"/>
      <c r="Y582" s="82"/>
      <c r="Z582" s="82"/>
      <c r="AA582"/>
      <c r="AB582" s="83"/>
      <c r="AC582" s="83"/>
      <c r="AD582" s="83"/>
    </row>
    <row r="583" spans="1:30" s="86" customFormat="1" ht="12.75" customHeight="1">
      <c r="A583" s="106"/>
      <c r="B583" s="102" t="str">
        <f>K5</f>
        <v>340-1020-01</v>
      </c>
      <c r="C583" s="93"/>
      <c r="D583" s="112"/>
      <c r="E583" s="82"/>
      <c r="F583" s="82"/>
      <c r="G583" s="82"/>
      <c r="H583" s="82"/>
      <c r="I583" s="82"/>
      <c r="J583" s="82"/>
      <c r="K583" s="82"/>
      <c r="L583" s="82">
        <f>L580</f>
        <v>200000</v>
      </c>
      <c r="M583" s="90">
        <f>SUM(H583:L583)</f>
        <v>200000</v>
      </c>
      <c r="N583" s="82">
        <f>N580</f>
        <v>200000</v>
      </c>
      <c r="O583" s="82"/>
      <c r="P583" s="82">
        <f>+M583-N583</f>
        <v>0</v>
      </c>
      <c r="Q583" s="83"/>
      <c r="R583" s="90"/>
      <c r="S583" s="82"/>
      <c r="T583" s="82"/>
      <c r="U583" s="82">
        <f>+R583-S583-T583</f>
        <v>0</v>
      </c>
      <c r="V583" s="83"/>
      <c r="W583" s="90"/>
      <c r="X583" s="82"/>
      <c r="Y583" s="82"/>
      <c r="Z583" s="82">
        <f>+W583-X583-Y583</f>
        <v>0</v>
      </c>
      <c r="AA583"/>
      <c r="AB583" s="83"/>
      <c r="AC583" s="83"/>
      <c r="AD583" s="83"/>
    </row>
    <row r="584" spans="1:30" s="86" customFormat="1" ht="12.75" customHeight="1" thickBot="1">
      <c r="A584" s="106"/>
      <c r="B584" s="111"/>
      <c r="C584" s="93"/>
      <c r="D584" s="112"/>
      <c r="E584" s="82"/>
      <c r="F584" s="126">
        <f aca="true" t="shared" si="189" ref="F584:P584">SUM(F583:F583)</f>
        <v>0</v>
      </c>
      <c r="G584" s="126">
        <f t="shared" si="189"/>
        <v>0</v>
      </c>
      <c r="H584" s="126">
        <f t="shared" si="189"/>
        <v>0</v>
      </c>
      <c r="I584" s="126">
        <f t="shared" si="189"/>
        <v>0</v>
      </c>
      <c r="J584" s="126">
        <f t="shared" si="189"/>
        <v>0</v>
      </c>
      <c r="K584" s="126">
        <f t="shared" si="189"/>
        <v>0</v>
      </c>
      <c r="L584" s="126">
        <f t="shared" si="189"/>
        <v>200000</v>
      </c>
      <c r="M584" s="126">
        <f t="shared" si="189"/>
        <v>200000</v>
      </c>
      <c r="N584" s="126">
        <f t="shared" si="189"/>
        <v>200000</v>
      </c>
      <c r="O584" s="126">
        <f t="shared" si="189"/>
        <v>0</v>
      </c>
      <c r="P584" s="126">
        <f t="shared" si="189"/>
        <v>0</v>
      </c>
      <c r="Q584" s="83"/>
      <c r="R584" s="126">
        <f>SUM(R583:R583)</f>
        <v>0</v>
      </c>
      <c r="S584" s="126">
        <f>SUM(S583:S583)</f>
        <v>0</v>
      </c>
      <c r="T584" s="126">
        <f>SUM(T583:T583)</f>
        <v>0</v>
      </c>
      <c r="U584" s="126">
        <f>SUM(U583:U583)</f>
        <v>0</v>
      </c>
      <c r="V584" s="83"/>
      <c r="W584" s="126">
        <f>SUM(W583:W583)</f>
        <v>0</v>
      </c>
      <c r="X584" s="126">
        <f>SUM(X583:X583)</f>
        <v>0</v>
      </c>
      <c r="Y584" s="126">
        <f>SUM(Y583:Y583)</f>
        <v>0</v>
      </c>
      <c r="Z584" s="126">
        <f>SUM(Z583:Z583)</f>
        <v>0</v>
      </c>
      <c r="AA584"/>
      <c r="AB584" s="83"/>
      <c r="AC584" s="83"/>
      <c r="AD584" s="83"/>
    </row>
    <row r="585" spans="1:30" s="86" customFormat="1" ht="12.75" customHeight="1" thickTop="1">
      <c r="A585" s="106"/>
      <c r="B585" s="111"/>
      <c r="C585" s="93"/>
      <c r="D585" s="112"/>
      <c r="E585" s="82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83"/>
      <c r="R585" s="90"/>
      <c r="S585" s="90"/>
      <c r="T585" s="90"/>
      <c r="U585" s="90"/>
      <c r="V585" s="83"/>
      <c r="W585" s="90"/>
      <c r="X585" s="90"/>
      <c r="Y585" s="90"/>
      <c r="Z585" s="90"/>
      <c r="AA585"/>
      <c r="AB585" s="83"/>
      <c r="AC585" s="83"/>
      <c r="AD585" s="83"/>
    </row>
    <row r="586" spans="1:30" s="86" customFormat="1" ht="12.75" customHeight="1" thickBot="1">
      <c r="A586" s="106">
        <v>35</v>
      </c>
      <c r="B586" s="118"/>
      <c r="C586" s="93"/>
      <c r="D586" s="11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3"/>
      <c r="R586" s="82"/>
      <c r="S586" s="82"/>
      <c r="T586" s="82"/>
      <c r="U586" s="82"/>
      <c r="V586" s="83"/>
      <c r="W586" s="82"/>
      <c r="X586" s="82"/>
      <c r="Y586" s="82"/>
      <c r="Z586" s="82"/>
      <c r="AA586"/>
      <c r="AB586" s="83"/>
      <c r="AC586" s="83"/>
      <c r="AD586" s="83"/>
    </row>
    <row r="587" spans="1:30" s="86" customFormat="1" ht="12.75" customHeight="1">
      <c r="A587" s="106"/>
      <c r="B587" s="121" t="s">
        <v>77</v>
      </c>
      <c r="C587" s="93"/>
      <c r="D587" s="109" t="s">
        <v>71</v>
      </c>
      <c r="E587" s="97" t="s">
        <v>72</v>
      </c>
      <c r="F587" s="97" t="s">
        <v>72</v>
      </c>
      <c r="G587" s="97" t="s">
        <v>73</v>
      </c>
      <c r="H587" s="97" t="s">
        <v>1</v>
      </c>
      <c r="I587" s="97" t="s">
        <v>74</v>
      </c>
      <c r="J587" s="97" t="s">
        <v>66</v>
      </c>
      <c r="K587" s="97" t="s">
        <v>59</v>
      </c>
      <c r="L587" s="97" t="s">
        <v>18</v>
      </c>
      <c r="M587" s="97" t="s">
        <v>1</v>
      </c>
      <c r="N587" s="97" t="s">
        <v>7</v>
      </c>
      <c r="O587" s="97" t="s">
        <v>75</v>
      </c>
      <c r="P587" s="97" t="s">
        <v>76</v>
      </c>
      <c r="Q587" s="108"/>
      <c r="R587" s="97" t="s">
        <v>1</v>
      </c>
      <c r="S587" s="97" t="s">
        <v>7</v>
      </c>
      <c r="T587" s="97" t="s">
        <v>75</v>
      </c>
      <c r="U587" s="97" t="s">
        <v>76</v>
      </c>
      <c r="V587" s="83"/>
      <c r="W587" s="97" t="s">
        <v>1</v>
      </c>
      <c r="X587" s="97" t="s">
        <v>7</v>
      </c>
      <c r="Y587" s="97" t="s">
        <v>75</v>
      </c>
      <c r="Z587" s="97" t="s">
        <v>76</v>
      </c>
      <c r="AA587"/>
      <c r="AB587" s="83"/>
      <c r="AC587" s="83"/>
      <c r="AD587" s="83"/>
    </row>
    <row r="588" spans="1:30" s="86" customFormat="1" ht="12.75" customHeight="1">
      <c r="A588" s="106"/>
      <c r="B588" s="121"/>
      <c r="C588" s="93"/>
      <c r="D588" s="131"/>
      <c r="E588" s="94"/>
      <c r="F588" s="90">
        <f>E588*D588</f>
        <v>0</v>
      </c>
      <c r="G588" s="94">
        <f>+F588*$C$4</f>
        <v>0</v>
      </c>
      <c r="H588" s="90">
        <f>+G588+F588</f>
        <v>0</v>
      </c>
      <c r="I588" s="94"/>
      <c r="J588" s="94">
        <f>D588*$C$7</f>
        <v>0</v>
      </c>
      <c r="K588" s="94">
        <f>D588*$C$5</f>
        <v>0</v>
      </c>
      <c r="L588" s="94">
        <f>D588*$C$6</f>
        <v>0</v>
      </c>
      <c r="M588" s="90">
        <f>SUM(H588:L588)</f>
        <v>0</v>
      </c>
      <c r="N588" s="94">
        <f>M588*$C$2</f>
        <v>0</v>
      </c>
      <c r="O588" s="90"/>
      <c r="P588" s="90">
        <f>M588-N588-O588</f>
        <v>0</v>
      </c>
      <c r="Q588" s="83"/>
      <c r="R588" s="90"/>
      <c r="S588" s="90"/>
      <c r="T588" s="90"/>
      <c r="U588" s="90">
        <f>R588-S588-T588</f>
        <v>0</v>
      </c>
      <c r="V588" s="83"/>
      <c r="W588" s="90"/>
      <c r="X588" s="90"/>
      <c r="Y588" s="90"/>
      <c r="Z588" s="90">
        <f>W588-X588-Y588</f>
        <v>0</v>
      </c>
      <c r="AA588"/>
      <c r="AB588" s="83"/>
      <c r="AC588" s="83"/>
      <c r="AD588" s="83"/>
    </row>
    <row r="589" spans="1:30" s="86" customFormat="1" ht="12.75" customHeight="1" thickBot="1">
      <c r="A589" s="106"/>
      <c r="B589" s="120"/>
      <c r="C589" s="93"/>
      <c r="D589" s="112"/>
      <c r="E589" s="82"/>
      <c r="F589" s="123">
        <f>E589*D589</f>
        <v>0</v>
      </c>
      <c r="G589" s="143">
        <f>+F589*$C$4</f>
        <v>0</v>
      </c>
      <c r="H589" s="123">
        <f>+G589+F589</f>
        <v>0</v>
      </c>
      <c r="I589" s="143"/>
      <c r="J589" s="143">
        <f>D589*$C$7</f>
        <v>0</v>
      </c>
      <c r="K589" s="143">
        <f>D589*$C$5</f>
        <v>0</v>
      </c>
      <c r="L589" s="143">
        <f>D589*$C$6</f>
        <v>0</v>
      </c>
      <c r="M589" s="123">
        <f>SUM(H589:L589)</f>
        <v>0</v>
      </c>
      <c r="N589" s="143">
        <f>M589*$C$2</f>
        <v>0</v>
      </c>
      <c r="O589" s="123"/>
      <c r="P589" s="123">
        <f>M589-N589-O589</f>
        <v>0</v>
      </c>
      <c r="Q589" s="138"/>
      <c r="R589" s="123"/>
      <c r="S589" s="123"/>
      <c r="T589" s="123"/>
      <c r="U589" s="123">
        <f>R589-S589-T589</f>
        <v>0</v>
      </c>
      <c r="V589" s="83"/>
      <c r="W589" s="123"/>
      <c r="X589" s="123"/>
      <c r="Y589" s="123"/>
      <c r="Z589" s="123">
        <f>W589-X589-Y589</f>
        <v>0</v>
      </c>
      <c r="AA589"/>
      <c r="AB589" s="83"/>
      <c r="AC589" s="83"/>
      <c r="AD589" s="83"/>
    </row>
    <row r="590" spans="1:30" s="86" customFormat="1" ht="12.75" customHeight="1">
      <c r="A590" s="106"/>
      <c r="B590" s="120"/>
      <c r="C590" s="93"/>
      <c r="D590" s="112"/>
      <c r="E590" s="82"/>
      <c r="F590" s="82">
        <f aca="true" t="shared" si="190" ref="F590:P590">SUM(F588:F589)</f>
        <v>0</v>
      </c>
      <c r="G590" s="82">
        <f t="shared" si="190"/>
        <v>0</v>
      </c>
      <c r="H590" s="82">
        <f t="shared" si="190"/>
        <v>0</v>
      </c>
      <c r="I590" s="82">
        <f t="shared" si="190"/>
        <v>0</v>
      </c>
      <c r="J590" s="82">
        <f t="shared" si="190"/>
        <v>0</v>
      </c>
      <c r="K590" s="82">
        <f t="shared" si="190"/>
        <v>0</v>
      </c>
      <c r="L590" s="82">
        <f t="shared" si="190"/>
        <v>0</v>
      </c>
      <c r="M590" s="82">
        <f t="shared" si="190"/>
        <v>0</v>
      </c>
      <c r="N590" s="82">
        <f t="shared" si="190"/>
        <v>0</v>
      </c>
      <c r="O590" s="82">
        <f t="shared" si="190"/>
        <v>0</v>
      </c>
      <c r="P590" s="82">
        <f t="shared" si="190"/>
        <v>0</v>
      </c>
      <c r="Q590" s="83"/>
      <c r="R590" s="82">
        <f>SUM(R588:R589)</f>
        <v>0</v>
      </c>
      <c r="S590" s="82">
        <f>SUM(S588:S589)</f>
        <v>0</v>
      </c>
      <c r="T590" s="82">
        <f>SUM(T588:T589)</f>
        <v>0</v>
      </c>
      <c r="U590" s="82">
        <f>SUM(U588:U589)</f>
        <v>0</v>
      </c>
      <c r="V590" s="83"/>
      <c r="W590" s="82">
        <f>SUM(W588:W589)</f>
        <v>0</v>
      </c>
      <c r="X590" s="82">
        <f>SUM(X588:X589)</f>
        <v>0</v>
      </c>
      <c r="Y590" s="82">
        <f>SUM(Y588:Y589)</f>
        <v>0</v>
      </c>
      <c r="Z590" s="82">
        <f>SUM(Z588:Z589)</f>
        <v>0</v>
      </c>
      <c r="AA590"/>
      <c r="AB590" s="83"/>
      <c r="AC590" s="83"/>
      <c r="AD590" s="83"/>
    </row>
    <row r="591" spans="1:30" s="86" customFormat="1" ht="12.75" customHeight="1">
      <c r="A591" s="106"/>
      <c r="B591" s="120"/>
      <c r="C591" s="93"/>
      <c r="D591" s="112"/>
      <c r="E591" s="82"/>
      <c r="F591" s="82">
        <f>SUM(F590:F590)</f>
        <v>0</v>
      </c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3"/>
      <c r="R591" s="82"/>
      <c r="S591" s="82"/>
      <c r="T591" s="82"/>
      <c r="U591" s="82"/>
      <c r="V591" s="83"/>
      <c r="W591" s="82"/>
      <c r="X591" s="82"/>
      <c r="Y591" s="82"/>
      <c r="Z591" s="82"/>
      <c r="AA591"/>
      <c r="AB591" s="83"/>
      <c r="AC591" s="83"/>
      <c r="AD591" s="83"/>
    </row>
    <row r="592" spans="1:30" s="86" customFormat="1" ht="12.75" customHeight="1">
      <c r="A592" s="106"/>
      <c r="B592" s="83"/>
      <c r="C592" s="93"/>
      <c r="D592" s="112"/>
      <c r="E592" s="82"/>
      <c r="F592" s="82"/>
      <c r="G592" s="82"/>
      <c r="H592" s="82"/>
      <c r="I592" s="82"/>
      <c r="J592" s="82"/>
      <c r="K592" s="82"/>
      <c r="L592" s="82"/>
      <c r="M592" s="90">
        <f>SUM(H592:L592)</f>
        <v>0</v>
      </c>
      <c r="N592" s="82"/>
      <c r="O592" s="82"/>
      <c r="P592" s="82">
        <f>+M592-N592-O592</f>
        <v>0</v>
      </c>
      <c r="Q592" s="83"/>
      <c r="R592" s="90"/>
      <c r="S592" s="82"/>
      <c r="T592" s="82"/>
      <c r="U592" s="82">
        <f>+R592-S592-T592</f>
        <v>0</v>
      </c>
      <c r="V592" s="83"/>
      <c r="W592" s="90"/>
      <c r="X592" s="82"/>
      <c r="Y592" s="82"/>
      <c r="Z592" s="82">
        <f>+W592-X592-Y592</f>
        <v>0</v>
      </c>
      <c r="AA592"/>
      <c r="AB592" s="83"/>
      <c r="AC592" s="83"/>
      <c r="AD592" s="83"/>
    </row>
    <row r="593" spans="1:30" s="86" customFormat="1" ht="12.75" customHeight="1">
      <c r="A593" s="106"/>
      <c r="B593" s="120"/>
      <c r="C593" s="93"/>
      <c r="D593" s="11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3"/>
      <c r="R593" s="82"/>
      <c r="S593" s="82"/>
      <c r="T593" s="82"/>
      <c r="U593" s="82"/>
      <c r="V593" s="83"/>
      <c r="W593" s="82"/>
      <c r="X593" s="82"/>
      <c r="Y593" s="82"/>
      <c r="Z593" s="82"/>
      <c r="AA593"/>
      <c r="AB593" s="83"/>
      <c r="AC593" s="83"/>
      <c r="AD593" s="83"/>
    </row>
    <row r="594" spans="1:30" s="86" customFormat="1" ht="12.75" customHeight="1" thickBot="1">
      <c r="A594" s="106"/>
      <c r="B594" s="111" t="s">
        <v>79</v>
      </c>
      <c r="C594" s="93"/>
      <c r="D594" s="112"/>
      <c r="E594" s="82"/>
      <c r="F594" s="126">
        <f>SUM(F590:F593)</f>
        <v>0</v>
      </c>
      <c r="G594" s="126">
        <f>SUM(G590:G593)</f>
        <v>0</v>
      </c>
      <c r="H594" s="126"/>
      <c r="I594" s="126"/>
      <c r="J594" s="126">
        <f>SUM(J590:J593)</f>
        <v>0</v>
      </c>
      <c r="K594" s="126"/>
      <c r="L594" s="126"/>
      <c r="M594" s="126">
        <f>SUM(M590:M593)</f>
        <v>0</v>
      </c>
      <c r="N594" s="126">
        <f>SUM(N590:N593)</f>
        <v>0</v>
      </c>
      <c r="O594" s="126"/>
      <c r="P594" s="126">
        <f>SUM(P590:P593)</f>
        <v>0</v>
      </c>
      <c r="Q594" s="83"/>
      <c r="R594" s="126">
        <f>SUM(R590:R593)</f>
        <v>0</v>
      </c>
      <c r="S594" s="126">
        <f>SUM(S590:S593)</f>
        <v>0</v>
      </c>
      <c r="T594" s="126">
        <f>SUM(T590:T593)</f>
        <v>0</v>
      </c>
      <c r="U594" s="126">
        <f>SUM(U590:U593)</f>
        <v>0</v>
      </c>
      <c r="V594" s="83"/>
      <c r="W594" s="126">
        <f>SUM(W590:W593)</f>
        <v>0</v>
      </c>
      <c r="X594" s="126">
        <f>SUM(X590:X593)</f>
        <v>0</v>
      </c>
      <c r="Y594" s="126">
        <f>SUM(Y590:Y593)</f>
        <v>0</v>
      </c>
      <c r="Z594" s="126">
        <f>SUM(Z590:Z593)</f>
        <v>0</v>
      </c>
      <c r="AA594"/>
      <c r="AB594" s="83"/>
      <c r="AC594" s="83"/>
      <c r="AD594" s="83"/>
    </row>
    <row r="595" spans="1:30" s="86" customFormat="1" ht="12.75" customHeight="1" thickTop="1">
      <c r="A595" s="106"/>
      <c r="B595" s="120"/>
      <c r="C595" s="93"/>
      <c r="D595" s="11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3"/>
      <c r="R595" s="82"/>
      <c r="S595" s="82"/>
      <c r="T595" s="82"/>
      <c r="U595" s="82"/>
      <c r="V595" s="83"/>
      <c r="W595" s="82"/>
      <c r="X595" s="82"/>
      <c r="Y595" s="82"/>
      <c r="Z595" s="82"/>
      <c r="AA595"/>
      <c r="AB595" s="83"/>
      <c r="AC595" s="83"/>
      <c r="AD595" s="83"/>
    </row>
    <row r="596" spans="1:30" s="86" customFormat="1" ht="12.75" customHeight="1">
      <c r="A596" s="106"/>
      <c r="B596" s="128" t="s">
        <v>80</v>
      </c>
      <c r="C596" s="93"/>
      <c r="D596" s="11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3"/>
      <c r="R596" s="82"/>
      <c r="S596" s="82"/>
      <c r="T596" s="82"/>
      <c r="U596" s="82"/>
      <c r="V596" s="83"/>
      <c r="W596" s="82"/>
      <c r="X596" s="82"/>
      <c r="Y596" s="82"/>
      <c r="Z596" s="82"/>
      <c r="AA596"/>
      <c r="AB596" s="83"/>
      <c r="AC596" s="83"/>
      <c r="AD596" s="83"/>
    </row>
    <row r="597" spans="1:30" s="86" customFormat="1" ht="12.75" customHeight="1">
      <c r="A597" s="106"/>
      <c r="B597" s="157"/>
      <c r="C597" s="93"/>
      <c r="D597" s="11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3"/>
      <c r="R597" s="82"/>
      <c r="S597" s="82"/>
      <c r="T597" s="82"/>
      <c r="U597" s="82"/>
      <c r="V597" s="83"/>
      <c r="W597" s="82"/>
      <c r="X597" s="82"/>
      <c r="Y597" s="82"/>
      <c r="Z597" s="82"/>
      <c r="AA597"/>
      <c r="AB597" s="83"/>
      <c r="AC597" s="83"/>
      <c r="AD597" s="83"/>
    </row>
    <row r="598" spans="1:30" s="86" customFormat="1" ht="12.75" customHeight="1">
      <c r="A598" s="106"/>
      <c r="B598" s="83"/>
      <c r="C598" s="93"/>
      <c r="D598" s="112"/>
      <c r="E598" s="82"/>
      <c r="F598" s="82"/>
      <c r="G598" s="82"/>
      <c r="H598" s="82"/>
      <c r="I598" s="82"/>
      <c r="J598" s="82">
        <f>+J592</f>
        <v>0</v>
      </c>
      <c r="K598" s="82"/>
      <c r="L598" s="82"/>
      <c r="M598" s="90">
        <f>SUM(H598:L598)</f>
        <v>0</v>
      </c>
      <c r="N598" s="82">
        <f>+M598*0.5</f>
        <v>0</v>
      </c>
      <c r="O598" s="82"/>
      <c r="P598" s="82">
        <f>+M598-N598</f>
        <v>0</v>
      </c>
      <c r="Q598" s="83"/>
      <c r="R598" s="90"/>
      <c r="S598" s="82"/>
      <c r="T598" s="82"/>
      <c r="U598" s="82">
        <f>+R598-S598-T598</f>
        <v>0</v>
      </c>
      <c r="V598" s="83"/>
      <c r="W598" s="90"/>
      <c r="X598" s="82"/>
      <c r="Y598" s="82"/>
      <c r="Z598" s="82">
        <f>+W598-X598-Y598</f>
        <v>0</v>
      </c>
      <c r="AA598"/>
      <c r="AB598" s="83"/>
      <c r="AC598" s="83"/>
      <c r="AD598" s="83"/>
    </row>
    <row r="599" spans="1:30" s="86" customFormat="1" ht="12.75" customHeight="1" thickBot="1">
      <c r="A599" s="106"/>
      <c r="B599" s="111"/>
      <c r="C599" s="93"/>
      <c r="D599" s="112"/>
      <c r="E599" s="82"/>
      <c r="F599" s="126">
        <f aca="true" t="shared" si="191" ref="F599:P599">SUM(F597:F598)</f>
        <v>0</v>
      </c>
      <c r="G599" s="126">
        <f t="shared" si="191"/>
        <v>0</v>
      </c>
      <c r="H599" s="126">
        <f t="shared" si="191"/>
        <v>0</v>
      </c>
      <c r="I599" s="126">
        <f t="shared" si="191"/>
        <v>0</v>
      </c>
      <c r="J599" s="126">
        <f t="shared" si="191"/>
        <v>0</v>
      </c>
      <c r="K599" s="126">
        <f t="shared" si="191"/>
        <v>0</v>
      </c>
      <c r="L599" s="126">
        <f t="shared" si="191"/>
        <v>0</v>
      </c>
      <c r="M599" s="126">
        <f t="shared" si="191"/>
        <v>0</v>
      </c>
      <c r="N599" s="126">
        <f t="shared" si="191"/>
        <v>0</v>
      </c>
      <c r="O599" s="126">
        <f t="shared" si="191"/>
        <v>0</v>
      </c>
      <c r="P599" s="126">
        <f t="shared" si="191"/>
        <v>0</v>
      </c>
      <c r="Q599" s="83"/>
      <c r="R599" s="126">
        <f>SUM(R597:R598)</f>
        <v>0</v>
      </c>
      <c r="S599" s="126">
        <f>SUM(S597:S598)</f>
        <v>0</v>
      </c>
      <c r="T599" s="126">
        <f>SUM(T597:T598)</f>
        <v>0</v>
      </c>
      <c r="U599" s="126">
        <f>SUM(U597:U598)</f>
        <v>0</v>
      </c>
      <c r="V599" s="83"/>
      <c r="W599" s="126">
        <f>SUM(W597:W598)</f>
        <v>0</v>
      </c>
      <c r="X599" s="126">
        <f>SUM(X597:X598)</f>
        <v>0</v>
      </c>
      <c r="Y599" s="126">
        <f>SUM(Y597:Y598)</f>
        <v>0</v>
      </c>
      <c r="Z599" s="126">
        <f>SUM(Z597:Z598)</f>
        <v>0</v>
      </c>
      <c r="AA599"/>
      <c r="AB599" s="83"/>
      <c r="AC599" s="83"/>
      <c r="AD599" s="83"/>
    </row>
    <row r="600" spans="1:30" s="86" customFormat="1" ht="3" customHeight="1" thickBot="1" thickTop="1">
      <c r="A600" s="106">
        <v>36</v>
      </c>
      <c r="B600" s="118"/>
      <c r="C600" s="93"/>
      <c r="D600" s="11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3"/>
      <c r="R600" s="82"/>
      <c r="S600" s="82"/>
      <c r="T600" s="82"/>
      <c r="U600" s="82"/>
      <c r="V600" s="83"/>
      <c r="W600" s="82"/>
      <c r="X600" s="82"/>
      <c r="Y600" s="82"/>
      <c r="Z600" s="82"/>
      <c r="AA600"/>
      <c r="AB600" s="83"/>
      <c r="AC600" s="83"/>
      <c r="AD600" s="83"/>
    </row>
    <row r="601" spans="1:30" s="86" customFormat="1" ht="12.75" customHeight="1" hidden="1">
      <c r="A601" s="106"/>
      <c r="B601" s="121" t="s">
        <v>77</v>
      </c>
      <c r="C601" s="93"/>
      <c r="D601" s="109" t="s">
        <v>71</v>
      </c>
      <c r="E601" s="97" t="s">
        <v>72</v>
      </c>
      <c r="F601" s="97" t="s">
        <v>72</v>
      </c>
      <c r="G601" s="97" t="s">
        <v>73</v>
      </c>
      <c r="H601" s="97" t="s">
        <v>1</v>
      </c>
      <c r="I601" s="97" t="s">
        <v>74</v>
      </c>
      <c r="J601" s="97" t="s">
        <v>66</v>
      </c>
      <c r="K601" s="97" t="s">
        <v>59</v>
      </c>
      <c r="L601" s="97" t="s">
        <v>18</v>
      </c>
      <c r="M601" s="97" t="s">
        <v>1</v>
      </c>
      <c r="N601" s="97" t="s">
        <v>7</v>
      </c>
      <c r="O601" s="97" t="s">
        <v>75</v>
      </c>
      <c r="P601" s="97" t="s">
        <v>76</v>
      </c>
      <c r="Q601" s="108"/>
      <c r="R601" s="97" t="s">
        <v>1</v>
      </c>
      <c r="S601" s="97" t="s">
        <v>7</v>
      </c>
      <c r="T601" s="97" t="s">
        <v>75</v>
      </c>
      <c r="U601" s="97" t="s">
        <v>76</v>
      </c>
      <c r="V601" s="83"/>
      <c r="W601" s="97" t="s">
        <v>1</v>
      </c>
      <c r="X601" s="97" t="s">
        <v>7</v>
      </c>
      <c r="Y601" s="97" t="s">
        <v>75</v>
      </c>
      <c r="Z601" s="97" t="s">
        <v>76</v>
      </c>
      <c r="AA601"/>
      <c r="AB601" s="83"/>
      <c r="AC601" s="83"/>
      <c r="AD601" s="83"/>
    </row>
    <row r="602" spans="1:30" s="86" customFormat="1" ht="12.75" customHeight="1" hidden="1">
      <c r="A602" s="106"/>
      <c r="B602" s="121"/>
      <c r="C602" s="93"/>
      <c r="D602" s="131"/>
      <c r="E602" s="94"/>
      <c r="F602" s="90">
        <f>E602*D602</f>
        <v>0</v>
      </c>
      <c r="G602" s="94">
        <f>+F602*$C$4</f>
        <v>0</v>
      </c>
      <c r="H602" s="90">
        <f>+G602+F602</f>
        <v>0</v>
      </c>
      <c r="I602" s="94"/>
      <c r="J602" s="94">
        <f>D602*$C$7</f>
        <v>0</v>
      </c>
      <c r="K602" s="94">
        <f>D602*$C$5</f>
        <v>0</v>
      </c>
      <c r="L602" s="94">
        <f>D602*$C$6</f>
        <v>0</v>
      </c>
      <c r="M602" s="90">
        <f>SUM(H602:L602)</f>
        <v>0</v>
      </c>
      <c r="N602" s="94">
        <f>M602*$C$2</f>
        <v>0</v>
      </c>
      <c r="O602" s="90"/>
      <c r="P602" s="90">
        <f>M602-N602-O602</f>
        <v>0</v>
      </c>
      <c r="Q602" s="83"/>
      <c r="R602" s="90"/>
      <c r="S602" s="90"/>
      <c r="T602" s="90"/>
      <c r="U602" s="90">
        <f>R602-S602-T602</f>
        <v>0</v>
      </c>
      <c r="V602" s="83"/>
      <c r="W602" s="90"/>
      <c r="X602" s="90"/>
      <c r="Y602" s="90"/>
      <c r="Z602" s="90">
        <f>W602-X602-Y602</f>
        <v>0</v>
      </c>
      <c r="AA602"/>
      <c r="AB602" s="83"/>
      <c r="AC602" s="83"/>
      <c r="AD602" s="83"/>
    </row>
    <row r="603" spans="1:30" s="86" customFormat="1" ht="12.75" customHeight="1" hidden="1" thickBot="1">
      <c r="A603" s="106"/>
      <c r="B603" s="120"/>
      <c r="C603" s="93"/>
      <c r="D603" s="112"/>
      <c r="E603" s="82"/>
      <c r="F603" s="123">
        <f>E603*D603</f>
        <v>0</v>
      </c>
      <c r="G603" s="143">
        <f>+F603*$C$4</f>
        <v>0</v>
      </c>
      <c r="H603" s="123">
        <f>+G603+F603</f>
        <v>0</v>
      </c>
      <c r="I603" s="143"/>
      <c r="J603" s="143">
        <f>D603*$C$7</f>
        <v>0</v>
      </c>
      <c r="K603" s="143">
        <f>D603*$C$5</f>
        <v>0</v>
      </c>
      <c r="L603" s="143">
        <f>D603*$C$6</f>
        <v>0</v>
      </c>
      <c r="M603" s="123">
        <f>SUM(H603:L603)</f>
        <v>0</v>
      </c>
      <c r="N603" s="143">
        <f>M603*$C$2</f>
        <v>0</v>
      </c>
      <c r="O603" s="123"/>
      <c r="P603" s="123">
        <f>M603-N603-O603</f>
        <v>0</v>
      </c>
      <c r="Q603" s="138"/>
      <c r="R603" s="123"/>
      <c r="S603" s="123"/>
      <c r="T603" s="123"/>
      <c r="U603" s="123">
        <f>R603-S603-T603</f>
        <v>0</v>
      </c>
      <c r="V603" s="83"/>
      <c r="W603" s="123"/>
      <c r="X603" s="123"/>
      <c r="Y603" s="123"/>
      <c r="Z603" s="123">
        <f>W603-X603-Y603</f>
        <v>0</v>
      </c>
      <c r="AA603"/>
      <c r="AB603" s="83"/>
      <c r="AC603" s="83"/>
      <c r="AD603" s="83"/>
    </row>
    <row r="604" spans="1:30" s="86" customFormat="1" ht="12.75" customHeight="1" hidden="1">
      <c r="A604" s="106"/>
      <c r="B604" s="120"/>
      <c r="C604" s="93"/>
      <c r="D604" s="112"/>
      <c r="E604" s="82"/>
      <c r="F604" s="82">
        <f aca="true" t="shared" si="192" ref="F604:P604">SUM(F602:F603)</f>
        <v>0</v>
      </c>
      <c r="G604" s="82">
        <f t="shared" si="192"/>
        <v>0</v>
      </c>
      <c r="H604" s="82">
        <f t="shared" si="192"/>
        <v>0</v>
      </c>
      <c r="I604" s="82">
        <f t="shared" si="192"/>
        <v>0</v>
      </c>
      <c r="J604" s="82">
        <f t="shared" si="192"/>
        <v>0</v>
      </c>
      <c r="K604" s="82">
        <f t="shared" si="192"/>
        <v>0</v>
      </c>
      <c r="L604" s="82">
        <f t="shared" si="192"/>
        <v>0</v>
      </c>
      <c r="M604" s="82">
        <f t="shared" si="192"/>
        <v>0</v>
      </c>
      <c r="N604" s="82">
        <f t="shared" si="192"/>
        <v>0</v>
      </c>
      <c r="O604" s="82">
        <f t="shared" si="192"/>
        <v>0</v>
      </c>
      <c r="P604" s="82">
        <f t="shared" si="192"/>
        <v>0</v>
      </c>
      <c r="Q604" s="83"/>
      <c r="R604" s="82">
        <f>SUM(R602:R603)</f>
        <v>0</v>
      </c>
      <c r="S604" s="82">
        <f>SUM(S602:S603)</f>
        <v>0</v>
      </c>
      <c r="T604" s="82">
        <f>SUM(T602:T603)</f>
        <v>0</v>
      </c>
      <c r="U604" s="82">
        <f>SUM(U602:U603)</f>
        <v>0</v>
      </c>
      <c r="V604" s="83"/>
      <c r="W604" s="82">
        <f>SUM(W602:W603)</f>
        <v>0</v>
      </c>
      <c r="X604" s="82">
        <f>SUM(X602:X603)</f>
        <v>0</v>
      </c>
      <c r="Y604" s="82">
        <f>SUM(Y602:Y603)</f>
        <v>0</v>
      </c>
      <c r="Z604" s="82">
        <f>SUM(Z602:Z603)</f>
        <v>0</v>
      </c>
      <c r="AA604"/>
      <c r="AB604" s="83"/>
      <c r="AC604" s="83"/>
      <c r="AD604" s="83"/>
    </row>
    <row r="605" spans="1:30" s="86" customFormat="1" ht="12.75" customHeight="1" hidden="1">
      <c r="A605" s="106"/>
      <c r="B605" s="120"/>
      <c r="C605" s="93"/>
      <c r="D605" s="112"/>
      <c r="E605" s="82"/>
      <c r="F605" s="82">
        <f>SUM(F604:F604)</f>
        <v>0</v>
      </c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3"/>
      <c r="R605" s="82"/>
      <c r="S605" s="82"/>
      <c r="T605" s="82"/>
      <c r="U605" s="82"/>
      <c r="V605" s="83"/>
      <c r="W605" s="82"/>
      <c r="X605" s="82"/>
      <c r="Y605" s="82"/>
      <c r="Z605" s="82"/>
      <c r="AA605"/>
      <c r="AB605" s="83"/>
      <c r="AC605" s="83"/>
      <c r="AD605" s="83"/>
    </row>
    <row r="606" spans="1:30" s="86" customFormat="1" ht="12.75" customHeight="1" hidden="1">
      <c r="A606" s="106"/>
      <c r="B606" s="83"/>
      <c r="C606" s="93"/>
      <c r="D606" s="112"/>
      <c r="E606" s="82"/>
      <c r="F606" s="82"/>
      <c r="G606" s="82"/>
      <c r="H606" s="82"/>
      <c r="I606" s="82"/>
      <c r="J606" s="82"/>
      <c r="K606" s="82"/>
      <c r="L606" s="82"/>
      <c r="M606" s="90">
        <f>SUM(H606:L606)</f>
        <v>0</v>
      </c>
      <c r="N606" s="82"/>
      <c r="O606" s="82"/>
      <c r="P606" s="82">
        <f>+M606-N606-O606</f>
        <v>0</v>
      </c>
      <c r="Q606" s="83"/>
      <c r="R606" s="90"/>
      <c r="S606" s="82"/>
      <c r="T606" s="82"/>
      <c r="U606" s="82">
        <f>+R606-S606-T606</f>
        <v>0</v>
      </c>
      <c r="V606" s="83"/>
      <c r="W606" s="90"/>
      <c r="X606" s="82"/>
      <c r="Y606" s="82"/>
      <c r="Z606" s="82">
        <f>+W606-X606-Y606</f>
        <v>0</v>
      </c>
      <c r="AA606"/>
      <c r="AB606" s="83"/>
      <c r="AC606" s="83"/>
      <c r="AD606" s="83"/>
    </row>
    <row r="607" spans="1:30" s="86" customFormat="1" ht="12.75" customHeight="1" hidden="1">
      <c r="A607" s="106"/>
      <c r="B607" s="120"/>
      <c r="C607" s="93"/>
      <c r="D607" s="11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3"/>
      <c r="R607" s="82"/>
      <c r="S607" s="82"/>
      <c r="T607" s="82"/>
      <c r="U607" s="82"/>
      <c r="V607" s="83"/>
      <c r="W607" s="82"/>
      <c r="X607" s="82"/>
      <c r="Y607" s="82"/>
      <c r="Z607" s="82"/>
      <c r="AA607"/>
      <c r="AB607" s="83"/>
      <c r="AC607" s="83"/>
      <c r="AD607" s="83"/>
    </row>
    <row r="608" spans="1:30" s="86" customFormat="1" ht="12.75" customHeight="1" hidden="1" thickBot="1">
      <c r="A608" s="106"/>
      <c r="B608" s="111" t="s">
        <v>79</v>
      </c>
      <c r="C608" s="93"/>
      <c r="D608" s="112"/>
      <c r="E608" s="82"/>
      <c r="F608" s="126">
        <f>SUM(F604:F607)</f>
        <v>0</v>
      </c>
      <c r="G608" s="126">
        <f>SUM(G604:G607)</f>
        <v>0</v>
      </c>
      <c r="H608" s="126"/>
      <c r="I608" s="126"/>
      <c r="J608" s="126">
        <f>SUM(J604:J607)</f>
        <v>0</v>
      </c>
      <c r="K608" s="126"/>
      <c r="L608" s="126"/>
      <c r="M608" s="126">
        <f>SUM(M604:M607)</f>
        <v>0</v>
      </c>
      <c r="N608" s="126">
        <f>SUM(N604:N607)</f>
        <v>0</v>
      </c>
      <c r="O608" s="126"/>
      <c r="P608" s="126">
        <f>SUM(P604:P607)</f>
        <v>0</v>
      </c>
      <c r="Q608" s="83"/>
      <c r="R608" s="126">
        <f>SUM(R604:R607)</f>
        <v>0</v>
      </c>
      <c r="S608" s="126">
        <f>SUM(S604:S607)</f>
        <v>0</v>
      </c>
      <c r="T608" s="126">
        <f>SUM(T604:T607)</f>
        <v>0</v>
      </c>
      <c r="U608" s="126">
        <f>SUM(U604:U607)</f>
        <v>0</v>
      </c>
      <c r="V608" s="83"/>
      <c r="W608" s="126">
        <f>SUM(W604:W607)</f>
        <v>0</v>
      </c>
      <c r="X608" s="126">
        <f>SUM(X604:X607)</f>
        <v>0</v>
      </c>
      <c r="Y608" s="126">
        <f>SUM(Y604:Y607)</f>
        <v>0</v>
      </c>
      <c r="Z608" s="126">
        <f>SUM(Z604:Z607)</f>
        <v>0</v>
      </c>
      <c r="AA608"/>
      <c r="AB608" s="83"/>
      <c r="AC608" s="83"/>
      <c r="AD608" s="83"/>
    </row>
    <row r="609" spans="1:30" s="86" customFormat="1" ht="12.75" customHeight="1" hidden="1" thickTop="1">
      <c r="A609" s="106"/>
      <c r="B609" s="120"/>
      <c r="C609" s="93"/>
      <c r="D609" s="11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3"/>
      <c r="R609" s="82"/>
      <c r="S609" s="82"/>
      <c r="T609" s="82"/>
      <c r="U609" s="82"/>
      <c r="V609" s="83"/>
      <c r="W609" s="82"/>
      <c r="X609" s="82"/>
      <c r="Y609" s="82"/>
      <c r="Z609" s="82"/>
      <c r="AA609"/>
      <c r="AB609" s="83"/>
      <c r="AC609" s="83"/>
      <c r="AD609" s="83"/>
    </row>
    <row r="610" spans="1:30" s="86" customFormat="1" ht="12.75" customHeight="1" hidden="1">
      <c r="A610" s="106"/>
      <c r="B610" s="128" t="s">
        <v>80</v>
      </c>
      <c r="C610" s="93"/>
      <c r="D610" s="11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3"/>
      <c r="R610" s="82"/>
      <c r="S610" s="82"/>
      <c r="T610" s="82"/>
      <c r="U610" s="82"/>
      <c r="V610" s="83"/>
      <c r="W610" s="82"/>
      <c r="X610" s="82"/>
      <c r="Y610" s="82"/>
      <c r="Z610" s="82"/>
      <c r="AA610"/>
      <c r="AB610" s="83"/>
      <c r="AC610" s="83"/>
      <c r="AD610" s="83"/>
    </row>
    <row r="611" spans="1:30" s="86" customFormat="1" ht="12.75" customHeight="1" hidden="1">
      <c r="A611" s="106"/>
      <c r="B611" s="157"/>
      <c r="C611" s="93"/>
      <c r="D611" s="11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3"/>
      <c r="R611" s="82"/>
      <c r="S611" s="82"/>
      <c r="T611" s="82"/>
      <c r="U611" s="82"/>
      <c r="V611" s="83"/>
      <c r="W611" s="82"/>
      <c r="X611" s="82"/>
      <c r="Y611" s="82"/>
      <c r="Z611" s="82"/>
      <c r="AA611"/>
      <c r="AB611" s="83"/>
      <c r="AC611" s="83"/>
      <c r="AD611" s="83"/>
    </row>
    <row r="612" spans="1:30" s="86" customFormat="1" ht="12.75" customHeight="1" hidden="1">
      <c r="A612" s="106"/>
      <c r="B612" s="83"/>
      <c r="C612" s="93"/>
      <c r="D612" s="112"/>
      <c r="E612" s="82"/>
      <c r="F612" s="82"/>
      <c r="G612" s="82"/>
      <c r="H612" s="82"/>
      <c r="I612" s="82"/>
      <c r="J612" s="82">
        <f>+J606</f>
        <v>0</v>
      </c>
      <c r="K612" s="82"/>
      <c r="L612" s="82"/>
      <c r="M612" s="90">
        <f>SUM(H612:L612)</f>
        <v>0</v>
      </c>
      <c r="N612" s="82">
        <f>+M612*0.5</f>
        <v>0</v>
      </c>
      <c r="O612" s="82"/>
      <c r="P612" s="82">
        <f>+M612-N612</f>
        <v>0</v>
      </c>
      <c r="Q612" s="83"/>
      <c r="R612" s="90"/>
      <c r="S612" s="82"/>
      <c r="T612" s="82"/>
      <c r="U612" s="82">
        <f>+R612-S612-T612</f>
        <v>0</v>
      </c>
      <c r="V612" s="83"/>
      <c r="W612" s="90"/>
      <c r="X612" s="82"/>
      <c r="Y612" s="82"/>
      <c r="Z612" s="82">
        <f>+W612-X612-Y612</f>
        <v>0</v>
      </c>
      <c r="AA612"/>
      <c r="AB612" s="83"/>
      <c r="AC612" s="83"/>
      <c r="AD612" s="83"/>
    </row>
    <row r="613" spans="1:30" s="86" customFormat="1" ht="12.75" customHeight="1" hidden="1" thickBot="1">
      <c r="A613" s="106"/>
      <c r="B613" s="111"/>
      <c r="C613" s="93"/>
      <c r="D613" s="112"/>
      <c r="E613" s="82"/>
      <c r="F613" s="126">
        <f aca="true" t="shared" si="193" ref="F613:P613">SUM(F611:F612)</f>
        <v>0</v>
      </c>
      <c r="G613" s="126">
        <f t="shared" si="193"/>
        <v>0</v>
      </c>
      <c r="H613" s="126">
        <f t="shared" si="193"/>
        <v>0</v>
      </c>
      <c r="I613" s="126">
        <f t="shared" si="193"/>
        <v>0</v>
      </c>
      <c r="J613" s="126">
        <f t="shared" si="193"/>
        <v>0</v>
      </c>
      <c r="K613" s="126">
        <f t="shared" si="193"/>
        <v>0</v>
      </c>
      <c r="L613" s="126">
        <f t="shared" si="193"/>
        <v>0</v>
      </c>
      <c r="M613" s="126">
        <f t="shared" si="193"/>
        <v>0</v>
      </c>
      <c r="N613" s="126">
        <f t="shared" si="193"/>
        <v>0</v>
      </c>
      <c r="O613" s="126">
        <f t="shared" si="193"/>
        <v>0</v>
      </c>
      <c r="P613" s="126">
        <f t="shared" si="193"/>
        <v>0</v>
      </c>
      <c r="Q613" s="83"/>
      <c r="R613" s="126">
        <f>SUM(R611:R612)</f>
        <v>0</v>
      </c>
      <c r="S613" s="126">
        <f>SUM(S611:S612)</f>
        <v>0</v>
      </c>
      <c r="T613" s="126">
        <f>SUM(T611:T612)</f>
        <v>0</v>
      </c>
      <c r="U613" s="126">
        <f>SUM(U611:U612)</f>
        <v>0</v>
      </c>
      <c r="V613" s="83"/>
      <c r="W613" s="126">
        <f>SUM(W611:W612)</f>
        <v>0</v>
      </c>
      <c r="X613" s="126">
        <f>SUM(X611:X612)</f>
        <v>0</v>
      </c>
      <c r="Y613" s="126">
        <f>SUM(Y611:Y612)</f>
        <v>0</v>
      </c>
      <c r="Z613" s="126">
        <f>SUM(Z611:Z612)</f>
        <v>0</v>
      </c>
      <c r="AA613"/>
      <c r="AB613" s="83"/>
      <c r="AC613" s="83"/>
      <c r="AD613" s="83"/>
    </row>
    <row r="614" spans="1:30" s="86" customFormat="1" ht="12.75" customHeight="1">
      <c r="A614" s="162"/>
      <c r="B614" s="163"/>
      <c r="C614" s="93"/>
      <c r="D614" s="112"/>
      <c r="E614" s="82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83"/>
      <c r="R614" s="90"/>
      <c r="S614" s="90"/>
      <c r="T614" s="90"/>
      <c r="U614" s="90"/>
      <c r="V614" s="83"/>
      <c r="W614" s="90"/>
      <c r="X614" s="90"/>
      <c r="Y614" s="90"/>
      <c r="Z614" s="90"/>
      <c r="AA614"/>
      <c r="AB614" s="83"/>
      <c r="AC614" s="83"/>
      <c r="AD614" s="83"/>
    </row>
    <row r="615" spans="1:29" ht="12.75" customHeight="1" thickBot="1">
      <c r="A615" s="164" t="s">
        <v>188</v>
      </c>
      <c r="B615" s="165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3"/>
      <c r="R615" s="82"/>
      <c r="S615" s="82"/>
      <c r="T615" s="82"/>
      <c r="U615" s="82"/>
      <c r="V615" s="83"/>
      <c r="W615" s="82"/>
      <c r="X615" s="82"/>
      <c r="Y615" s="82"/>
      <c r="Z615" s="82"/>
      <c r="AA615"/>
      <c r="AB615" s="83"/>
      <c r="AC615" s="83"/>
    </row>
    <row r="616" spans="1:29" ht="4.5" customHeight="1">
      <c r="A616" s="106"/>
      <c r="B616" s="121" t="s">
        <v>77</v>
      </c>
      <c r="D616" s="109" t="s">
        <v>71</v>
      </c>
      <c r="E616" s="97" t="s">
        <v>72</v>
      </c>
      <c r="F616" s="97" t="s">
        <v>72</v>
      </c>
      <c r="G616" s="97" t="s">
        <v>73</v>
      </c>
      <c r="H616" s="97" t="s">
        <v>1</v>
      </c>
      <c r="I616" s="97" t="s">
        <v>74</v>
      </c>
      <c r="J616" s="97" t="s">
        <v>66</v>
      </c>
      <c r="K616" s="97" t="s">
        <v>59</v>
      </c>
      <c r="L616" s="97" t="s">
        <v>18</v>
      </c>
      <c r="M616" s="97" t="s">
        <v>1</v>
      </c>
      <c r="N616" s="97" t="s">
        <v>7</v>
      </c>
      <c r="O616" s="97" t="s">
        <v>75</v>
      </c>
      <c r="P616" s="97" t="s">
        <v>76</v>
      </c>
      <c r="Q616" s="108"/>
      <c r="R616" s="97" t="s">
        <v>1</v>
      </c>
      <c r="S616" s="97" t="s">
        <v>7</v>
      </c>
      <c r="T616" s="97" t="s">
        <v>75</v>
      </c>
      <c r="U616" s="97" t="s">
        <v>76</v>
      </c>
      <c r="V616" s="83"/>
      <c r="W616" s="97" t="s">
        <v>1</v>
      </c>
      <c r="X616" s="97" t="s">
        <v>7</v>
      </c>
      <c r="Y616" s="97" t="s">
        <v>75</v>
      </c>
      <c r="Z616" s="97" t="s">
        <v>76</v>
      </c>
      <c r="AA616"/>
      <c r="AB616" s="83"/>
      <c r="AC616" s="83"/>
    </row>
    <row r="617" spans="1:29" ht="12.75" customHeight="1" hidden="1">
      <c r="A617" s="106"/>
      <c r="B617" s="121"/>
      <c r="D617" s="131"/>
      <c r="E617" s="94"/>
      <c r="F617" s="90">
        <f>E617*D617</f>
        <v>0</v>
      </c>
      <c r="G617" s="94">
        <f>+F617*$C$4</f>
        <v>0</v>
      </c>
      <c r="H617" s="90">
        <f>+G617+F617</f>
        <v>0</v>
      </c>
      <c r="I617" s="94"/>
      <c r="J617" s="94">
        <f>D617*$C$7</f>
        <v>0</v>
      </c>
      <c r="K617" s="94">
        <f>D617*$C$5</f>
        <v>0</v>
      </c>
      <c r="L617" s="94">
        <f>D617*$C$6</f>
        <v>0</v>
      </c>
      <c r="M617" s="90">
        <f>SUM(H617:L617)</f>
        <v>0</v>
      </c>
      <c r="N617" s="94">
        <f>M617*$C$2</f>
        <v>0</v>
      </c>
      <c r="O617" s="90"/>
      <c r="P617" s="90">
        <f>M617-N617-O617</f>
        <v>0</v>
      </c>
      <c r="Q617" s="83"/>
      <c r="R617" s="90"/>
      <c r="S617" s="90"/>
      <c r="T617" s="90"/>
      <c r="U617" s="90">
        <f>R617-S617-T617</f>
        <v>0</v>
      </c>
      <c r="V617" s="83"/>
      <c r="W617" s="90"/>
      <c r="X617" s="90"/>
      <c r="Y617" s="90"/>
      <c r="Z617" s="90">
        <f>W617-X617-Y617</f>
        <v>0</v>
      </c>
      <c r="AA617" s="83"/>
      <c r="AB617" s="83"/>
      <c r="AC617" s="83"/>
    </row>
    <row r="618" spans="6:29" ht="12.75" customHeight="1" hidden="1" thickBot="1">
      <c r="F618" s="123">
        <f>E618*D618</f>
        <v>0</v>
      </c>
      <c r="G618" s="143">
        <f>+F618*$C$4</f>
        <v>0</v>
      </c>
      <c r="H618" s="123">
        <f>+G618+F618</f>
        <v>0</v>
      </c>
      <c r="I618" s="143"/>
      <c r="J618" s="143">
        <f>D618*$C$7</f>
        <v>0</v>
      </c>
      <c r="K618" s="143">
        <f>D618*$C$5</f>
        <v>0</v>
      </c>
      <c r="L618" s="143">
        <f>D618*$C$6</f>
        <v>0</v>
      </c>
      <c r="M618" s="123">
        <f>SUM(H618:L618)</f>
        <v>0</v>
      </c>
      <c r="N618" s="143">
        <f>M618*$C$2</f>
        <v>0</v>
      </c>
      <c r="O618" s="123"/>
      <c r="P618" s="123">
        <f>M618-N618-O618</f>
        <v>0</v>
      </c>
      <c r="Q618" s="138"/>
      <c r="R618" s="123"/>
      <c r="S618" s="123"/>
      <c r="T618" s="123"/>
      <c r="U618" s="123">
        <f>R618-S618-T618</f>
        <v>0</v>
      </c>
      <c r="V618" s="83"/>
      <c r="W618" s="123"/>
      <c r="X618" s="123"/>
      <c r="Y618" s="123"/>
      <c r="Z618" s="123">
        <f>W618-X618-Y618</f>
        <v>0</v>
      </c>
      <c r="AA618" s="83"/>
      <c r="AB618" s="83"/>
      <c r="AC618" s="83"/>
    </row>
    <row r="619" spans="6:29" ht="12.75" customHeight="1" hidden="1">
      <c r="F619" s="82">
        <f aca="true" t="shared" si="194" ref="F619:P619">SUM(F617:F618)</f>
        <v>0</v>
      </c>
      <c r="G619" s="82">
        <f t="shared" si="194"/>
        <v>0</v>
      </c>
      <c r="H619" s="82">
        <f t="shared" si="194"/>
        <v>0</v>
      </c>
      <c r="I619" s="82">
        <f t="shared" si="194"/>
        <v>0</v>
      </c>
      <c r="J619" s="82">
        <f t="shared" si="194"/>
        <v>0</v>
      </c>
      <c r="K619" s="82">
        <f t="shared" si="194"/>
        <v>0</v>
      </c>
      <c r="L619" s="82">
        <f t="shared" si="194"/>
        <v>0</v>
      </c>
      <c r="M619" s="82">
        <f t="shared" si="194"/>
        <v>0</v>
      </c>
      <c r="N619" s="82">
        <f t="shared" si="194"/>
        <v>0</v>
      </c>
      <c r="O619" s="82">
        <f t="shared" si="194"/>
        <v>0</v>
      </c>
      <c r="P619" s="82">
        <f t="shared" si="194"/>
        <v>0</v>
      </c>
      <c r="Q619" s="83"/>
      <c r="R619" s="82">
        <f>SUM(R617:R618)</f>
        <v>0</v>
      </c>
      <c r="S619" s="82">
        <f>SUM(S617:S618)</f>
        <v>0</v>
      </c>
      <c r="T619" s="82">
        <f>SUM(T617:T618)</f>
        <v>0</v>
      </c>
      <c r="U619" s="82">
        <f>SUM(U617:U618)</f>
        <v>0</v>
      </c>
      <c r="V619" s="83"/>
      <c r="W619" s="82">
        <f>SUM(W617:W618)</f>
        <v>0</v>
      </c>
      <c r="X619" s="82">
        <f>SUM(X617:X618)</f>
        <v>0</v>
      </c>
      <c r="Y619" s="82">
        <f>SUM(Y617:Y618)</f>
        <v>0</v>
      </c>
      <c r="Z619" s="82">
        <f>SUM(Z617:Z618)</f>
        <v>0</v>
      </c>
      <c r="AA619" s="83"/>
      <c r="AB619" s="83"/>
      <c r="AC619" s="83"/>
    </row>
    <row r="620" spans="6:29" ht="12.75" customHeight="1" hidden="1">
      <c r="F620" s="82">
        <f>SUM(F619:F619)</f>
        <v>0</v>
      </c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3"/>
      <c r="R620" s="82"/>
      <c r="S620" s="82"/>
      <c r="T620" s="82"/>
      <c r="U620" s="82"/>
      <c r="V620" s="83"/>
      <c r="W620" s="82"/>
      <c r="X620" s="82"/>
      <c r="Y620" s="82"/>
      <c r="Z620" s="82"/>
      <c r="AA620" s="83"/>
      <c r="AB620" s="83"/>
      <c r="AC620" s="83"/>
    </row>
    <row r="621" spans="1:29" ht="12.75" customHeight="1" hidden="1">
      <c r="A621" s="73"/>
      <c r="B621" s="83"/>
      <c r="F621" s="82"/>
      <c r="G621" s="82"/>
      <c r="H621" s="82"/>
      <c r="I621" s="82"/>
      <c r="J621" s="82"/>
      <c r="K621" s="82"/>
      <c r="L621" s="82"/>
      <c r="M621" s="90">
        <f>SUM(H621:L621)</f>
        <v>0</v>
      </c>
      <c r="N621" s="82"/>
      <c r="O621" s="82"/>
      <c r="P621" s="82">
        <f>+M621-N621-O621</f>
        <v>0</v>
      </c>
      <c r="Q621" s="83"/>
      <c r="R621" s="90"/>
      <c r="S621" s="82"/>
      <c r="T621" s="82"/>
      <c r="U621" s="82">
        <f>+R621-S621-T621</f>
        <v>0</v>
      </c>
      <c r="V621" s="83"/>
      <c r="W621" s="90"/>
      <c r="X621" s="82"/>
      <c r="Y621" s="82"/>
      <c r="Z621" s="82">
        <f>+W621-X621-Y621</f>
        <v>0</v>
      </c>
      <c r="AA621" s="83"/>
      <c r="AB621" s="83"/>
      <c r="AC621" s="83"/>
    </row>
    <row r="622" spans="6:29" ht="12.75" customHeight="1" hidden="1"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3"/>
      <c r="R622" s="82"/>
      <c r="S622" s="82"/>
      <c r="T622" s="82"/>
      <c r="U622" s="82"/>
      <c r="V622" s="83"/>
      <c r="W622" s="82"/>
      <c r="X622" s="82"/>
      <c r="Y622" s="82"/>
      <c r="Z622" s="82"/>
      <c r="AA622" s="83"/>
      <c r="AB622" s="83"/>
      <c r="AC622" s="83"/>
    </row>
    <row r="623" spans="1:29" ht="12.75" customHeight="1" hidden="1" thickBot="1">
      <c r="A623" s="106"/>
      <c r="B623" s="111" t="s">
        <v>79</v>
      </c>
      <c r="F623" s="126">
        <f>SUM(F619:F622)</f>
        <v>0</v>
      </c>
      <c r="G623" s="126">
        <f>SUM(G619:G622)</f>
        <v>0</v>
      </c>
      <c r="H623" s="126"/>
      <c r="I623" s="126"/>
      <c r="J623" s="126">
        <f>SUM(J619:J622)</f>
        <v>0</v>
      </c>
      <c r="K623" s="126"/>
      <c r="L623" s="126"/>
      <c r="M623" s="126">
        <f>SUM(M619:M622)</f>
        <v>0</v>
      </c>
      <c r="N623" s="126">
        <f>SUM(N619:N622)</f>
        <v>0</v>
      </c>
      <c r="O623" s="126"/>
      <c r="P623" s="126">
        <f>SUM(P619:P622)</f>
        <v>0</v>
      </c>
      <c r="Q623" s="83"/>
      <c r="R623" s="126">
        <f>SUM(R619:R622)</f>
        <v>0</v>
      </c>
      <c r="S623" s="126">
        <f>SUM(S619:S622)</f>
        <v>0</v>
      </c>
      <c r="T623" s="126">
        <f>SUM(T619:T622)</f>
        <v>0</v>
      </c>
      <c r="U623" s="126">
        <f>SUM(U619:U622)</f>
        <v>0</v>
      </c>
      <c r="V623" s="83"/>
      <c r="W623" s="126">
        <f>SUM(W619:W622)</f>
        <v>0</v>
      </c>
      <c r="X623" s="126">
        <f>SUM(X619:X622)</f>
        <v>0</v>
      </c>
      <c r="Y623" s="126">
        <f>SUM(Y619:Y622)</f>
        <v>0</v>
      </c>
      <c r="Z623" s="126">
        <f>SUM(Z619:Z622)</f>
        <v>0</v>
      </c>
      <c r="AA623" s="83"/>
      <c r="AB623" s="83"/>
      <c r="AC623" s="83"/>
    </row>
    <row r="624" spans="6:29" ht="12.75" customHeight="1" hidden="1" thickTop="1"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3"/>
      <c r="R624" s="82"/>
      <c r="S624" s="82"/>
      <c r="T624" s="82"/>
      <c r="U624" s="82"/>
      <c r="V624" s="83"/>
      <c r="W624" s="82"/>
      <c r="X624" s="82"/>
      <c r="Y624" s="82"/>
      <c r="Z624" s="82"/>
      <c r="AA624" s="83"/>
      <c r="AB624" s="83"/>
      <c r="AC624" s="83"/>
    </row>
    <row r="625" spans="1:29" ht="12.75" customHeight="1" hidden="1">
      <c r="A625" s="106"/>
      <c r="B625" s="128" t="s">
        <v>80</v>
      </c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3"/>
      <c r="R625" s="82"/>
      <c r="S625" s="82"/>
      <c r="T625" s="82"/>
      <c r="U625" s="82"/>
      <c r="V625" s="83"/>
      <c r="W625" s="82"/>
      <c r="X625" s="82"/>
      <c r="Y625" s="82"/>
      <c r="Z625" s="82"/>
      <c r="AA625" s="83"/>
      <c r="AB625" s="83"/>
      <c r="AC625" s="83"/>
    </row>
    <row r="626" spans="1:29" ht="12.75" customHeight="1" hidden="1">
      <c r="A626" s="106"/>
      <c r="B626" s="157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3"/>
      <c r="R626" s="82"/>
      <c r="S626" s="82"/>
      <c r="T626" s="82"/>
      <c r="U626" s="82"/>
      <c r="V626" s="83"/>
      <c r="W626" s="82"/>
      <c r="X626" s="82"/>
      <c r="Y626" s="82"/>
      <c r="Z626" s="82"/>
      <c r="AA626" s="83"/>
      <c r="AB626" s="83"/>
      <c r="AC626" s="83"/>
    </row>
    <row r="627" spans="1:29" ht="12.75" customHeight="1" hidden="1">
      <c r="A627" s="73"/>
      <c r="B627" s="83"/>
      <c r="F627" s="82"/>
      <c r="G627" s="82"/>
      <c r="H627" s="82"/>
      <c r="I627" s="82"/>
      <c r="J627" s="82">
        <f>+J621</f>
        <v>0</v>
      </c>
      <c r="K627" s="82"/>
      <c r="L627" s="82"/>
      <c r="M627" s="90">
        <f>SUM(H627:L627)</f>
        <v>0</v>
      </c>
      <c r="N627" s="82">
        <f>+M627*0.5</f>
        <v>0</v>
      </c>
      <c r="O627" s="82"/>
      <c r="P627" s="82">
        <f>+M627-N627</f>
        <v>0</v>
      </c>
      <c r="Q627" s="83"/>
      <c r="R627" s="90"/>
      <c r="S627" s="82"/>
      <c r="T627" s="82"/>
      <c r="U627" s="82">
        <f>+R627-S627-T627</f>
        <v>0</v>
      </c>
      <c r="V627" s="83"/>
      <c r="W627" s="90"/>
      <c r="X627" s="82"/>
      <c r="Y627" s="82"/>
      <c r="Z627" s="82">
        <f>+W627-X627-Y627</f>
        <v>0</v>
      </c>
      <c r="AA627" s="83"/>
      <c r="AB627" s="83"/>
      <c r="AC627" s="83"/>
    </row>
    <row r="628" spans="1:29" ht="12.75" customHeight="1" hidden="1" thickBot="1">
      <c r="A628" s="106"/>
      <c r="B628" s="111"/>
      <c r="F628" s="126">
        <f aca="true" t="shared" si="195" ref="F628:P628">SUM(F626:F627)</f>
        <v>0</v>
      </c>
      <c r="G628" s="126">
        <f t="shared" si="195"/>
        <v>0</v>
      </c>
      <c r="H628" s="126">
        <f t="shared" si="195"/>
        <v>0</v>
      </c>
      <c r="I628" s="126">
        <f t="shared" si="195"/>
        <v>0</v>
      </c>
      <c r="J628" s="126">
        <f t="shared" si="195"/>
        <v>0</v>
      </c>
      <c r="K628" s="126">
        <f t="shared" si="195"/>
        <v>0</v>
      </c>
      <c r="L628" s="126">
        <f t="shared" si="195"/>
        <v>0</v>
      </c>
      <c r="M628" s="126">
        <f t="shared" si="195"/>
        <v>0</v>
      </c>
      <c r="N628" s="126">
        <f t="shared" si="195"/>
        <v>0</v>
      </c>
      <c r="O628" s="126">
        <f t="shared" si="195"/>
        <v>0</v>
      </c>
      <c r="P628" s="126">
        <f t="shared" si="195"/>
        <v>0</v>
      </c>
      <c r="Q628" s="83"/>
      <c r="R628" s="126">
        <f>SUM(R626:R627)</f>
        <v>0</v>
      </c>
      <c r="S628" s="126">
        <f>SUM(S626:S627)</f>
        <v>0</v>
      </c>
      <c r="T628" s="126">
        <f>SUM(T626:T627)</f>
        <v>0</v>
      </c>
      <c r="U628" s="126">
        <f>SUM(U626:U627)</f>
        <v>0</v>
      </c>
      <c r="V628" s="83"/>
      <c r="W628" s="126">
        <f>SUM(W626:W627)</f>
        <v>0</v>
      </c>
      <c r="X628" s="126">
        <f>SUM(X626:X627)</f>
        <v>0</v>
      </c>
      <c r="Y628" s="126">
        <f>SUM(Y626:Y627)</f>
        <v>0</v>
      </c>
      <c r="Z628" s="126">
        <f>SUM(Z626:Z627)</f>
        <v>0</v>
      </c>
      <c r="AA628" s="83"/>
      <c r="AB628" s="83"/>
      <c r="AC628" s="83"/>
    </row>
    <row r="629" spans="6:29" ht="12.75" customHeight="1"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3"/>
      <c r="V629" s="83"/>
      <c r="W629" s="82"/>
      <c r="X629" s="82"/>
      <c r="Y629" s="82"/>
      <c r="Z629" s="82"/>
      <c r="AA629" s="83"/>
      <c r="AB629" s="83"/>
      <c r="AC629" s="83"/>
    </row>
    <row r="630" spans="1:27" ht="12.75" customHeight="1">
      <c r="A630" s="106"/>
      <c r="B630" s="111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83"/>
      <c r="V630" s="83"/>
      <c r="W630" s="90"/>
      <c r="X630" s="90"/>
      <c r="Y630" s="90"/>
      <c r="Z630" s="90"/>
      <c r="AA630" s="83"/>
    </row>
    <row r="631" spans="1:27" ht="12.75" customHeight="1">
      <c r="A631" s="166"/>
      <c r="B631" s="167"/>
      <c r="C631" s="153"/>
      <c r="D631" s="89">
        <f>SUM(D30:D630)</f>
        <v>64</v>
      </c>
      <c r="E631" s="90"/>
      <c r="F631" s="90"/>
      <c r="G631" s="90"/>
      <c r="H631" s="90"/>
      <c r="I631" s="90"/>
      <c r="J631" s="90"/>
      <c r="K631" s="90"/>
      <c r="L631" s="90"/>
      <c r="M631" s="97" t="s">
        <v>1</v>
      </c>
      <c r="N631" s="97" t="s">
        <v>7</v>
      </c>
      <c r="O631" s="97" t="s">
        <v>75</v>
      </c>
      <c r="P631" s="97" t="s">
        <v>76</v>
      </c>
      <c r="Q631" s="108"/>
      <c r="R631" s="97" t="s">
        <v>1</v>
      </c>
      <c r="S631" s="97" t="s">
        <v>7</v>
      </c>
      <c r="T631" s="97" t="s">
        <v>75</v>
      </c>
      <c r="U631" s="97" t="s">
        <v>76</v>
      </c>
      <c r="V631" s="83"/>
      <c r="W631" s="97" t="s">
        <v>1</v>
      </c>
      <c r="X631" s="97" t="s">
        <v>7</v>
      </c>
      <c r="Y631" s="97" t="s">
        <v>75</v>
      </c>
      <c r="Z631" s="97" t="s">
        <v>76</v>
      </c>
      <c r="AA631" s="83"/>
    </row>
    <row r="632" spans="1:27" ht="12.75" customHeight="1">
      <c r="A632" s="168"/>
      <c r="B632" s="129" t="s">
        <v>37</v>
      </c>
      <c r="C632" s="94"/>
      <c r="D632" s="89"/>
      <c r="E632" s="90"/>
      <c r="F632" s="169"/>
      <c r="G632" s="169"/>
      <c r="H632" s="94">
        <f aca="true" t="shared" si="196" ref="H632:H653">SUMIF($B$17:$B$629,$B632,H$17:H$629)</f>
        <v>0</v>
      </c>
      <c r="I632" s="169"/>
      <c r="J632" s="169"/>
      <c r="K632" s="169"/>
      <c r="L632" s="169"/>
      <c r="M632" s="94">
        <f aca="true" t="shared" si="197" ref="M632:P653">SUMIF($B$17:$B$629,$B632,M$17:M$629)</f>
        <v>0</v>
      </c>
      <c r="N632" s="94">
        <f t="shared" si="197"/>
        <v>0</v>
      </c>
      <c r="O632" s="94">
        <f t="shared" si="197"/>
        <v>0</v>
      </c>
      <c r="P632" s="94">
        <f t="shared" si="197"/>
        <v>0</v>
      </c>
      <c r="Q632" s="102"/>
      <c r="R632" s="94">
        <f aca="true" t="shared" si="198" ref="R632:U653">SUMIF($B$17:$B$629,$B632,R$17:R$629)</f>
        <v>0</v>
      </c>
      <c r="S632" s="94">
        <f t="shared" si="198"/>
        <v>0</v>
      </c>
      <c r="T632" s="94">
        <f t="shared" si="198"/>
        <v>0</v>
      </c>
      <c r="U632" s="94">
        <f t="shared" si="198"/>
        <v>0</v>
      </c>
      <c r="V632" s="83"/>
      <c r="W632" s="94">
        <f aca="true" t="shared" si="199" ref="W632:Z653">SUMIF($B$17:$B$629,$B632,W$17:W$629)</f>
        <v>0</v>
      </c>
      <c r="X632" s="94">
        <f t="shared" si="199"/>
        <v>0</v>
      </c>
      <c r="Y632" s="94">
        <f t="shared" si="199"/>
        <v>0</v>
      </c>
      <c r="Z632" s="94">
        <f t="shared" si="199"/>
        <v>0</v>
      </c>
      <c r="AA632" s="83"/>
    </row>
    <row r="633" spans="1:27" ht="12.75" customHeight="1">
      <c r="A633" s="166"/>
      <c r="B633" s="129" t="s">
        <v>44</v>
      </c>
      <c r="C633" s="94"/>
      <c r="D633" s="89"/>
      <c r="E633" s="90"/>
      <c r="F633" s="170"/>
      <c r="G633" s="170"/>
      <c r="H633" s="94">
        <f t="shared" si="196"/>
        <v>302001</v>
      </c>
      <c r="I633" s="170"/>
      <c r="J633" s="170"/>
      <c r="K633" s="170"/>
      <c r="L633" s="170"/>
      <c r="M633" s="94">
        <f t="shared" si="197"/>
        <v>588029</v>
      </c>
      <c r="N633" s="94">
        <f t="shared" si="197"/>
        <v>294014.5</v>
      </c>
      <c r="O633" s="94">
        <f t="shared" si="197"/>
        <v>0</v>
      </c>
      <c r="P633" s="94">
        <f t="shared" si="197"/>
        <v>294014.5</v>
      </c>
      <c r="Q633" s="102"/>
      <c r="R633" s="94">
        <f t="shared" si="198"/>
        <v>107700</v>
      </c>
      <c r="S633" s="94">
        <f t="shared" si="198"/>
        <v>53850</v>
      </c>
      <c r="T633" s="94">
        <f t="shared" si="198"/>
        <v>0</v>
      </c>
      <c r="U633" s="94">
        <f t="shared" si="198"/>
        <v>53850</v>
      </c>
      <c r="V633" s="83"/>
      <c r="W633" s="94">
        <f t="shared" si="199"/>
        <v>200250</v>
      </c>
      <c r="X633" s="94">
        <f t="shared" si="199"/>
        <v>100125</v>
      </c>
      <c r="Y633" s="94">
        <f t="shared" si="199"/>
        <v>0</v>
      </c>
      <c r="Z633" s="94">
        <f t="shared" si="199"/>
        <v>100125</v>
      </c>
      <c r="AA633" s="83"/>
    </row>
    <row r="634" spans="1:27" ht="12.75" customHeight="1">
      <c r="A634" s="166"/>
      <c r="B634" s="129" t="s">
        <v>50</v>
      </c>
      <c r="C634" s="94"/>
      <c r="D634" s="89"/>
      <c r="E634" s="90"/>
      <c r="F634" s="170"/>
      <c r="G634" s="170"/>
      <c r="H634" s="94">
        <f t="shared" si="196"/>
        <v>631669</v>
      </c>
      <c r="I634" s="170"/>
      <c r="J634" s="170"/>
      <c r="K634" s="170"/>
      <c r="L634" s="170"/>
      <c r="M634" s="94">
        <f t="shared" si="197"/>
        <v>718969</v>
      </c>
      <c r="N634" s="94">
        <f t="shared" si="197"/>
        <v>359484.5</v>
      </c>
      <c r="O634" s="94">
        <f t="shared" si="197"/>
        <v>0</v>
      </c>
      <c r="P634" s="94">
        <f t="shared" si="197"/>
        <v>359484.5</v>
      </c>
      <c r="Q634" s="102"/>
      <c r="R634" s="94">
        <f t="shared" si="198"/>
        <v>1071925</v>
      </c>
      <c r="S634" s="94">
        <f t="shared" si="198"/>
        <v>535962.5</v>
      </c>
      <c r="T634" s="94">
        <f t="shared" si="198"/>
        <v>0</v>
      </c>
      <c r="U634" s="94">
        <f t="shared" si="198"/>
        <v>535962.5</v>
      </c>
      <c r="V634" s="83"/>
      <c r="W634" s="94">
        <f t="shared" si="199"/>
        <v>1389325</v>
      </c>
      <c r="X634" s="94">
        <f t="shared" si="199"/>
        <v>694662.5</v>
      </c>
      <c r="Y634" s="94">
        <f t="shared" si="199"/>
        <v>0</v>
      </c>
      <c r="Z634" s="94">
        <f t="shared" si="199"/>
        <v>694662.5</v>
      </c>
      <c r="AA634" s="83"/>
    </row>
    <row r="635" spans="1:27" ht="12.75" customHeight="1">
      <c r="A635" s="166"/>
      <c r="B635" s="129" t="s">
        <v>55</v>
      </c>
      <c r="C635" s="94"/>
      <c r="D635" s="89"/>
      <c r="E635" s="90"/>
      <c r="F635" s="170"/>
      <c r="G635" s="170"/>
      <c r="H635" s="94">
        <f t="shared" si="196"/>
        <v>38909</v>
      </c>
      <c r="I635" s="170"/>
      <c r="J635" s="170"/>
      <c r="K635" s="170"/>
      <c r="L635" s="170"/>
      <c r="M635" s="94">
        <f t="shared" si="197"/>
        <v>2707071.64</v>
      </c>
      <c r="N635" s="94">
        <f t="shared" si="197"/>
        <v>1353535.82</v>
      </c>
      <c r="O635" s="94">
        <f t="shared" si="197"/>
        <v>0</v>
      </c>
      <c r="P635" s="94">
        <f t="shared" si="197"/>
        <v>1353535.82</v>
      </c>
      <c r="Q635" s="102"/>
      <c r="R635" s="94">
        <f t="shared" si="198"/>
        <v>8663562</v>
      </c>
      <c r="S635" s="94">
        <f t="shared" si="198"/>
        <v>4331781</v>
      </c>
      <c r="T635" s="94">
        <f t="shared" si="198"/>
        <v>0</v>
      </c>
      <c r="U635" s="94">
        <f t="shared" si="198"/>
        <v>4331781</v>
      </c>
      <c r="V635" s="83"/>
      <c r="W635" s="94">
        <f t="shared" si="199"/>
        <v>11139890</v>
      </c>
      <c r="X635" s="94">
        <f t="shared" si="199"/>
        <v>5569945</v>
      </c>
      <c r="Y635" s="94">
        <f t="shared" si="199"/>
        <v>0</v>
      </c>
      <c r="Z635" s="94">
        <f t="shared" si="199"/>
        <v>5569945</v>
      </c>
      <c r="AA635" s="83"/>
    </row>
    <row r="636" spans="1:27" ht="12.75" customHeight="1">
      <c r="A636" s="148"/>
      <c r="B636" s="129" t="s">
        <v>60</v>
      </c>
      <c r="C636" s="94"/>
      <c r="D636" s="89"/>
      <c r="E636" s="90"/>
      <c r="F636" s="170"/>
      <c r="G636" s="170"/>
      <c r="H636" s="94">
        <f t="shared" si="196"/>
        <v>0</v>
      </c>
      <c r="I636" s="170"/>
      <c r="J636" s="170"/>
      <c r="K636" s="170"/>
      <c r="L636" s="170"/>
      <c r="M636" s="94">
        <f t="shared" si="197"/>
        <v>0</v>
      </c>
      <c r="N636" s="94">
        <f t="shared" si="197"/>
        <v>0</v>
      </c>
      <c r="O636" s="94">
        <f t="shared" si="197"/>
        <v>0</v>
      </c>
      <c r="P636" s="94">
        <f t="shared" si="197"/>
        <v>0</v>
      </c>
      <c r="Q636" s="102"/>
      <c r="R636" s="94">
        <f t="shared" si="198"/>
        <v>0</v>
      </c>
      <c r="S636" s="94">
        <f t="shared" si="198"/>
        <v>0</v>
      </c>
      <c r="T636" s="94">
        <f t="shared" si="198"/>
        <v>0</v>
      </c>
      <c r="U636" s="94">
        <f t="shared" si="198"/>
        <v>0</v>
      </c>
      <c r="V636" s="83"/>
      <c r="W636" s="94">
        <f t="shared" si="199"/>
        <v>0</v>
      </c>
      <c r="X636" s="94">
        <f t="shared" si="199"/>
        <v>0</v>
      </c>
      <c r="Y636" s="94">
        <f t="shared" si="199"/>
        <v>0</v>
      </c>
      <c r="Z636" s="94">
        <f t="shared" si="199"/>
        <v>0</v>
      </c>
      <c r="AA636" s="83"/>
    </row>
    <row r="637" spans="1:27" ht="12.75" customHeight="1">
      <c r="A637" s="148"/>
      <c r="B637" s="129" t="s">
        <v>64</v>
      </c>
      <c r="C637" s="94"/>
      <c r="D637" s="89"/>
      <c r="E637" s="90"/>
      <c r="F637" s="170"/>
      <c r="G637" s="170"/>
      <c r="H637" s="94">
        <f t="shared" si="196"/>
        <v>0</v>
      </c>
      <c r="I637" s="170"/>
      <c r="J637" s="170"/>
      <c r="K637" s="170"/>
      <c r="L637" s="170"/>
      <c r="M637" s="94">
        <f t="shared" si="197"/>
        <v>0</v>
      </c>
      <c r="N637" s="94">
        <f t="shared" si="197"/>
        <v>0</v>
      </c>
      <c r="O637" s="94">
        <f t="shared" si="197"/>
        <v>0</v>
      </c>
      <c r="P637" s="94">
        <f t="shared" si="197"/>
        <v>0</v>
      </c>
      <c r="Q637" s="102"/>
      <c r="R637" s="94">
        <f t="shared" si="198"/>
        <v>0</v>
      </c>
      <c r="S637" s="94">
        <f t="shared" si="198"/>
        <v>0</v>
      </c>
      <c r="T637" s="94">
        <f t="shared" si="198"/>
        <v>0</v>
      </c>
      <c r="U637" s="94">
        <f t="shared" si="198"/>
        <v>0</v>
      </c>
      <c r="V637" s="83"/>
      <c r="W637" s="94">
        <f t="shared" si="199"/>
        <v>0</v>
      </c>
      <c r="X637" s="94">
        <f t="shared" si="199"/>
        <v>0</v>
      </c>
      <c r="Y637" s="94">
        <f t="shared" si="199"/>
        <v>0</v>
      </c>
      <c r="Z637" s="94">
        <f t="shared" si="199"/>
        <v>0</v>
      </c>
      <c r="AA637" s="83"/>
    </row>
    <row r="638" spans="1:27" ht="12.75" customHeight="1">
      <c r="A638" s="148"/>
      <c r="B638" s="129" t="s">
        <v>38</v>
      </c>
      <c r="C638" s="94"/>
      <c r="D638" s="89"/>
      <c r="E638" s="90"/>
      <c r="F638" s="170"/>
      <c r="G638" s="170"/>
      <c r="H638" s="94">
        <f t="shared" si="196"/>
        <v>274261</v>
      </c>
      <c r="I638" s="170"/>
      <c r="J638" s="170"/>
      <c r="K638" s="170"/>
      <c r="L638" s="170"/>
      <c r="M638" s="94">
        <f t="shared" si="197"/>
        <v>303361</v>
      </c>
      <c r="N638" s="94">
        <f t="shared" si="197"/>
        <v>151680.5</v>
      </c>
      <c r="O638" s="94">
        <f t="shared" si="197"/>
        <v>0</v>
      </c>
      <c r="P638" s="94">
        <f t="shared" si="197"/>
        <v>151680.5</v>
      </c>
      <c r="Q638" s="102"/>
      <c r="R638" s="94">
        <f t="shared" si="198"/>
        <v>0</v>
      </c>
      <c r="S638" s="94">
        <f t="shared" si="198"/>
        <v>0</v>
      </c>
      <c r="T638" s="94">
        <f t="shared" si="198"/>
        <v>0</v>
      </c>
      <c r="U638" s="94">
        <f t="shared" si="198"/>
        <v>0</v>
      </c>
      <c r="V638" s="83"/>
      <c r="W638" s="94">
        <f t="shared" si="199"/>
        <v>0</v>
      </c>
      <c r="X638" s="94">
        <f t="shared" si="199"/>
        <v>0</v>
      </c>
      <c r="Y638" s="94">
        <f t="shared" si="199"/>
        <v>0</v>
      </c>
      <c r="Z638" s="94">
        <f t="shared" si="199"/>
        <v>0</v>
      </c>
      <c r="AA638" s="83"/>
    </row>
    <row r="639" spans="1:27" ht="12.75" customHeight="1">
      <c r="A639" s="148"/>
      <c r="B639" s="129" t="s">
        <v>45</v>
      </c>
      <c r="C639" s="94"/>
      <c r="D639" s="89"/>
      <c r="E639" s="90"/>
      <c r="F639" s="170"/>
      <c r="G639" s="170"/>
      <c r="H639" s="94">
        <f t="shared" si="196"/>
        <v>0</v>
      </c>
      <c r="I639" s="170"/>
      <c r="J639" s="170"/>
      <c r="K639" s="170"/>
      <c r="L639" s="170"/>
      <c r="M639" s="94">
        <f t="shared" si="197"/>
        <v>0</v>
      </c>
      <c r="N639" s="94">
        <f t="shared" si="197"/>
        <v>0</v>
      </c>
      <c r="O639" s="94">
        <f t="shared" si="197"/>
        <v>0</v>
      </c>
      <c r="P639" s="94">
        <f t="shared" si="197"/>
        <v>0</v>
      </c>
      <c r="Q639" s="102"/>
      <c r="R639" s="94">
        <f t="shared" si="198"/>
        <v>0</v>
      </c>
      <c r="S639" s="94">
        <f t="shared" si="198"/>
        <v>0</v>
      </c>
      <c r="T639" s="94">
        <f t="shared" si="198"/>
        <v>0</v>
      </c>
      <c r="U639" s="94">
        <f t="shared" si="198"/>
        <v>0</v>
      </c>
      <c r="V639" s="83"/>
      <c r="W639" s="94">
        <f t="shared" si="199"/>
        <v>0</v>
      </c>
      <c r="X639" s="94">
        <f t="shared" si="199"/>
        <v>0</v>
      </c>
      <c r="Y639" s="94">
        <f t="shared" si="199"/>
        <v>0</v>
      </c>
      <c r="Z639" s="94">
        <f t="shared" si="199"/>
        <v>0</v>
      </c>
      <c r="AA639" s="83"/>
    </row>
    <row r="640" spans="1:27" ht="12.75" customHeight="1">
      <c r="A640" s="148"/>
      <c r="B640" s="129" t="s">
        <v>51</v>
      </c>
      <c r="C640" s="94"/>
      <c r="D640" s="89"/>
      <c r="E640" s="90"/>
      <c r="F640" s="171"/>
      <c r="G640" s="170"/>
      <c r="H640" s="94">
        <f t="shared" si="196"/>
        <v>0</v>
      </c>
      <c r="I640" s="170"/>
      <c r="J640" s="170"/>
      <c r="K640" s="170"/>
      <c r="L640" s="170"/>
      <c r="M640" s="94">
        <f t="shared" si="197"/>
        <v>0</v>
      </c>
      <c r="N640" s="94">
        <f t="shared" si="197"/>
        <v>0</v>
      </c>
      <c r="O640" s="94">
        <f t="shared" si="197"/>
        <v>0</v>
      </c>
      <c r="P640" s="94">
        <f t="shared" si="197"/>
        <v>0</v>
      </c>
      <c r="Q640" s="102"/>
      <c r="R640" s="94">
        <f t="shared" si="198"/>
        <v>0</v>
      </c>
      <c r="S640" s="94">
        <f t="shared" si="198"/>
        <v>0</v>
      </c>
      <c r="T640" s="94">
        <f t="shared" si="198"/>
        <v>0</v>
      </c>
      <c r="U640" s="94">
        <f t="shared" si="198"/>
        <v>0</v>
      </c>
      <c r="V640" s="83"/>
      <c r="W640" s="94">
        <f t="shared" si="199"/>
        <v>0</v>
      </c>
      <c r="X640" s="94">
        <f t="shared" si="199"/>
        <v>0</v>
      </c>
      <c r="Y640" s="94">
        <f t="shared" si="199"/>
        <v>0</v>
      </c>
      <c r="Z640" s="94">
        <f t="shared" si="199"/>
        <v>0</v>
      </c>
      <c r="AA640" s="83"/>
    </row>
    <row r="641" spans="1:27" ht="12.75" customHeight="1">
      <c r="A641" s="168"/>
      <c r="B641" s="129" t="s">
        <v>56</v>
      </c>
      <c r="C641" s="94"/>
      <c r="D641" s="89"/>
      <c r="E641" s="90"/>
      <c r="F641" s="170"/>
      <c r="G641" s="170"/>
      <c r="H641" s="94">
        <f t="shared" si="196"/>
        <v>430189</v>
      </c>
      <c r="I641" s="170"/>
      <c r="J641" s="170"/>
      <c r="K641" s="170"/>
      <c r="L641" s="170"/>
      <c r="M641" s="94">
        <f t="shared" si="197"/>
        <v>468989</v>
      </c>
      <c r="N641" s="94">
        <f t="shared" si="197"/>
        <v>234494.5</v>
      </c>
      <c r="O641" s="94">
        <f t="shared" si="197"/>
        <v>0</v>
      </c>
      <c r="P641" s="94">
        <f t="shared" si="197"/>
        <v>234494.5</v>
      </c>
      <c r="Q641" s="102"/>
      <c r="R641" s="94">
        <f t="shared" si="198"/>
        <v>0</v>
      </c>
      <c r="S641" s="94">
        <f t="shared" si="198"/>
        <v>0</v>
      </c>
      <c r="T641" s="94">
        <f t="shared" si="198"/>
        <v>0</v>
      </c>
      <c r="U641" s="94">
        <f t="shared" si="198"/>
        <v>0</v>
      </c>
      <c r="V641" s="83"/>
      <c r="W641" s="94">
        <f t="shared" si="199"/>
        <v>0</v>
      </c>
      <c r="X641" s="94">
        <f t="shared" si="199"/>
        <v>0</v>
      </c>
      <c r="Y641" s="94">
        <f t="shared" si="199"/>
        <v>0</v>
      </c>
      <c r="Z641" s="94">
        <f t="shared" si="199"/>
        <v>0</v>
      </c>
      <c r="AA641" s="83"/>
    </row>
    <row r="642" spans="1:27" ht="12.75" customHeight="1">
      <c r="A642" s="168"/>
      <c r="B642" s="129" t="s">
        <v>61</v>
      </c>
      <c r="C642" s="94"/>
      <c r="D642" s="89"/>
      <c r="E642" s="90"/>
      <c r="F642" s="170"/>
      <c r="G642" s="170"/>
      <c r="H642" s="94">
        <f t="shared" si="196"/>
        <v>299081</v>
      </c>
      <c r="I642" s="170"/>
      <c r="J642" s="170"/>
      <c r="K642" s="170"/>
      <c r="L642" s="170"/>
      <c r="M642" s="94">
        <f t="shared" si="197"/>
        <v>337881</v>
      </c>
      <c r="N642" s="94">
        <f t="shared" si="197"/>
        <v>168940.5</v>
      </c>
      <c r="O642" s="94">
        <f t="shared" si="197"/>
        <v>0</v>
      </c>
      <c r="P642" s="94">
        <f t="shared" si="197"/>
        <v>168940.5</v>
      </c>
      <c r="Q642" s="102"/>
      <c r="R642" s="94">
        <f t="shared" si="198"/>
        <v>0</v>
      </c>
      <c r="S642" s="94">
        <f t="shared" si="198"/>
        <v>0</v>
      </c>
      <c r="T642" s="94">
        <f t="shared" si="198"/>
        <v>0</v>
      </c>
      <c r="U642" s="94">
        <f t="shared" si="198"/>
        <v>0</v>
      </c>
      <c r="V642" s="83"/>
      <c r="W642" s="94">
        <f t="shared" si="199"/>
        <v>0</v>
      </c>
      <c r="X642" s="94">
        <f t="shared" si="199"/>
        <v>0</v>
      </c>
      <c r="Y642" s="94">
        <f t="shared" si="199"/>
        <v>0</v>
      </c>
      <c r="Z642" s="94">
        <f t="shared" si="199"/>
        <v>0</v>
      </c>
      <c r="AA642" s="83"/>
    </row>
    <row r="643" spans="1:27" ht="12.75" customHeight="1">
      <c r="A643" s="168"/>
      <c r="B643" s="129" t="s">
        <v>65</v>
      </c>
      <c r="C643" s="94"/>
      <c r="D643" s="89"/>
      <c r="E643" s="90"/>
      <c r="F643" s="170"/>
      <c r="G643" s="170"/>
      <c r="H643" s="94">
        <f t="shared" si="196"/>
        <v>0</v>
      </c>
      <c r="I643" s="170"/>
      <c r="J643" s="170"/>
      <c r="K643" s="170"/>
      <c r="L643" s="170"/>
      <c r="M643" s="94">
        <f t="shared" si="197"/>
        <v>0</v>
      </c>
      <c r="N643" s="94">
        <f t="shared" si="197"/>
        <v>0</v>
      </c>
      <c r="O643" s="94">
        <f t="shared" si="197"/>
        <v>0</v>
      </c>
      <c r="P643" s="94">
        <f t="shared" si="197"/>
        <v>0</v>
      </c>
      <c r="Q643" s="102"/>
      <c r="R643" s="94">
        <f t="shared" si="198"/>
        <v>0</v>
      </c>
      <c r="S643" s="94">
        <f t="shared" si="198"/>
        <v>0</v>
      </c>
      <c r="T643" s="94">
        <f t="shared" si="198"/>
        <v>0</v>
      </c>
      <c r="U643" s="94">
        <f t="shared" si="198"/>
        <v>0</v>
      </c>
      <c r="V643" s="83"/>
      <c r="W643" s="94">
        <f t="shared" si="199"/>
        <v>0</v>
      </c>
      <c r="X643" s="94">
        <f t="shared" si="199"/>
        <v>0</v>
      </c>
      <c r="Y643" s="94">
        <f t="shared" si="199"/>
        <v>0</v>
      </c>
      <c r="Z643" s="94">
        <f t="shared" si="199"/>
        <v>0</v>
      </c>
      <c r="AA643" s="83"/>
    </row>
    <row r="644" spans="1:27" ht="12.75" customHeight="1">
      <c r="A644" s="168"/>
      <c r="B644" s="129" t="s">
        <v>39</v>
      </c>
      <c r="C644" s="94"/>
      <c r="D644" s="89"/>
      <c r="E644" s="90"/>
      <c r="F644" s="170"/>
      <c r="G644" s="170"/>
      <c r="H644" s="94">
        <f t="shared" si="196"/>
        <v>1378678</v>
      </c>
      <c r="I644" s="170"/>
      <c r="J644" s="170"/>
      <c r="K644" s="170"/>
      <c r="L644" s="170"/>
      <c r="M644" s="94">
        <f t="shared" si="197"/>
        <v>1572678</v>
      </c>
      <c r="N644" s="94">
        <f t="shared" si="197"/>
        <v>786339</v>
      </c>
      <c r="O644" s="94">
        <f t="shared" si="197"/>
        <v>0</v>
      </c>
      <c r="P644" s="94">
        <f t="shared" si="197"/>
        <v>786339</v>
      </c>
      <c r="Q644" s="102"/>
      <c r="R644" s="94">
        <f t="shared" si="198"/>
        <v>0</v>
      </c>
      <c r="S644" s="94">
        <f t="shared" si="198"/>
        <v>0</v>
      </c>
      <c r="T644" s="94">
        <f t="shared" si="198"/>
        <v>0</v>
      </c>
      <c r="U644" s="94">
        <f t="shared" si="198"/>
        <v>0</v>
      </c>
      <c r="V644" s="83"/>
      <c r="W644" s="94">
        <f t="shared" si="199"/>
        <v>0</v>
      </c>
      <c r="X644" s="94">
        <f t="shared" si="199"/>
        <v>0</v>
      </c>
      <c r="Y644" s="94">
        <f t="shared" si="199"/>
        <v>0</v>
      </c>
      <c r="Z644" s="94">
        <f t="shared" si="199"/>
        <v>0</v>
      </c>
      <c r="AA644" s="83"/>
    </row>
    <row r="645" spans="1:27" ht="12.75" customHeight="1">
      <c r="A645" s="168"/>
      <c r="B645" s="129" t="s">
        <v>46</v>
      </c>
      <c r="C645" s="94"/>
      <c r="D645" s="89"/>
      <c r="E645" s="90"/>
      <c r="F645" s="170"/>
      <c r="G645" s="170"/>
      <c r="H645" s="94">
        <f t="shared" si="196"/>
        <v>0</v>
      </c>
      <c r="I645" s="170"/>
      <c r="J645" s="170"/>
      <c r="K645" s="170"/>
      <c r="L645" s="170"/>
      <c r="M645" s="94">
        <f t="shared" si="197"/>
        <v>0</v>
      </c>
      <c r="N645" s="94">
        <f t="shared" si="197"/>
        <v>0</v>
      </c>
      <c r="O645" s="94">
        <f t="shared" si="197"/>
        <v>0</v>
      </c>
      <c r="P645" s="94">
        <f t="shared" si="197"/>
        <v>0</v>
      </c>
      <c r="Q645" s="102"/>
      <c r="R645" s="94">
        <f t="shared" si="198"/>
        <v>0</v>
      </c>
      <c r="S645" s="94">
        <f t="shared" si="198"/>
        <v>0</v>
      </c>
      <c r="T645" s="94">
        <f t="shared" si="198"/>
        <v>0</v>
      </c>
      <c r="U645" s="94">
        <f t="shared" si="198"/>
        <v>0</v>
      </c>
      <c r="V645" s="83"/>
      <c r="W645" s="94">
        <f t="shared" si="199"/>
        <v>0</v>
      </c>
      <c r="X645" s="94">
        <f t="shared" si="199"/>
        <v>0</v>
      </c>
      <c r="Y645" s="94">
        <f t="shared" si="199"/>
        <v>0</v>
      </c>
      <c r="Z645" s="94">
        <f t="shared" si="199"/>
        <v>0</v>
      </c>
      <c r="AA645" s="83"/>
    </row>
    <row r="646" spans="1:27" ht="12.75" customHeight="1">
      <c r="A646" s="168"/>
      <c r="B646" s="129" t="s">
        <v>52</v>
      </c>
      <c r="C646" s="94"/>
      <c r="D646" s="89"/>
      <c r="E646" s="90"/>
      <c r="F646" s="170"/>
      <c r="G646" s="170"/>
      <c r="H646" s="94">
        <f t="shared" si="196"/>
        <v>1228225</v>
      </c>
      <c r="I646" s="170"/>
      <c r="J646" s="170"/>
      <c r="K646" s="170"/>
      <c r="L646" s="170"/>
      <c r="M646" s="94">
        <f t="shared" si="197"/>
        <v>1633945</v>
      </c>
      <c r="N646" s="94">
        <f t="shared" si="197"/>
        <v>1445281.5</v>
      </c>
      <c r="O646" s="94">
        <f t="shared" si="197"/>
        <v>0</v>
      </c>
      <c r="P646" s="94">
        <f t="shared" si="197"/>
        <v>188663.5</v>
      </c>
      <c r="Q646" s="102"/>
      <c r="R646" s="94">
        <f t="shared" si="198"/>
        <v>0</v>
      </c>
      <c r="S646" s="94">
        <f t="shared" si="198"/>
        <v>0</v>
      </c>
      <c r="T646" s="94">
        <f t="shared" si="198"/>
        <v>0</v>
      </c>
      <c r="U646" s="94">
        <f t="shared" si="198"/>
        <v>0</v>
      </c>
      <c r="V646" s="83"/>
      <c r="W646" s="94">
        <f t="shared" si="199"/>
        <v>0</v>
      </c>
      <c r="X646" s="94">
        <f t="shared" si="199"/>
        <v>0</v>
      </c>
      <c r="Y646" s="94">
        <f t="shared" si="199"/>
        <v>0</v>
      </c>
      <c r="Z646" s="94">
        <f t="shared" si="199"/>
        <v>0</v>
      </c>
      <c r="AA646" s="83"/>
    </row>
    <row r="647" spans="1:27" ht="12.75" customHeight="1">
      <c r="A647" s="168"/>
      <c r="B647" s="129" t="s">
        <v>57</v>
      </c>
      <c r="C647" s="94"/>
      <c r="D647" s="89"/>
      <c r="E647" s="90"/>
      <c r="F647" s="170"/>
      <c r="G647" s="170"/>
      <c r="H647" s="94">
        <f t="shared" si="196"/>
        <v>0</v>
      </c>
      <c r="I647" s="170"/>
      <c r="J647" s="170"/>
      <c r="K647" s="170"/>
      <c r="L647" s="170"/>
      <c r="M647" s="94">
        <f t="shared" si="197"/>
        <v>12901497</v>
      </c>
      <c r="N647" s="94">
        <f t="shared" si="197"/>
        <v>6238248.5</v>
      </c>
      <c r="O647" s="94">
        <f t="shared" si="197"/>
        <v>0</v>
      </c>
      <c r="P647" s="94">
        <f t="shared" si="197"/>
        <v>6663248.5</v>
      </c>
      <c r="Q647" s="102"/>
      <c r="R647" s="94">
        <f t="shared" si="198"/>
        <v>15824485</v>
      </c>
      <c r="S647" s="94">
        <f t="shared" si="198"/>
        <v>5138590</v>
      </c>
      <c r="T647" s="94">
        <f t="shared" si="198"/>
        <v>0</v>
      </c>
      <c r="U647" s="94">
        <f t="shared" si="198"/>
        <v>10685895</v>
      </c>
      <c r="V647" s="83"/>
      <c r="W647" s="94">
        <f t="shared" si="199"/>
        <v>16838644.29</v>
      </c>
      <c r="X647" s="94">
        <f t="shared" si="199"/>
        <v>5510322.145</v>
      </c>
      <c r="Y647" s="94">
        <f t="shared" si="199"/>
        <v>0</v>
      </c>
      <c r="Z647" s="94">
        <f t="shared" si="199"/>
        <v>11328322.145</v>
      </c>
      <c r="AA647" s="83"/>
    </row>
    <row r="648" spans="1:27" ht="12.75" customHeight="1">
      <c r="A648" s="168"/>
      <c r="B648" s="129" t="s">
        <v>62</v>
      </c>
      <c r="C648" s="94"/>
      <c r="D648" s="89"/>
      <c r="E648" s="90"/>
      <c r="F648" s="170"/>
      <c r="G648" s="170"/>
      <c r="H648" s="94">
        <f t="shared" si="196"/>
        <v>0</v>
      </c>
      <c r="I648" s="170"/>
      <c r="J648" s="170"/>
      <c r="K648" s="170"/>
      <c r="L648" s="170"/>
      <c r="M648" s="94">
        <f t="shared" si="197"/>
        <v>33177500</v>
      </c>
      <c r="N648" s="94">
        <f t="shared" si="197"/>
        <v>5844375</v>
      </c>
      <c r="O648" s="94">
        <f t="shared" si="197"/>
        <v>0</v>
      </c>
      <c r="P648" s="94">
        <f t="shared" si="197"/>
        <v>27333125</v>
      </c>
      <c r="Q648" s="102"/>
      <c r="R648" s="94">
        <f t="shared" si="198"/>
        <v>27922043</v>
      </c>
      <c r="S648" s="94">
        <f t="shared" si="198"/>
        <v>6980510.75</v>
      </c>
      <c r="T648" s="94">
        <f t="shared" si="198"/>
        <v>0</v>
      </c>
      <c r="U648" s="94">
        <f t="shared" si="198"/>
        <v>20941532.25</v>
      </c>
      <c r="V648" s="83"/>
      <c r="W648" s="94">
        <f t="shared" si="199"/>
        <v>33838476</v>
      </c>
      <c r="X648" s="94">
        <f t="shared" si="199"/>
        <v>9181460.5</v>
      </c>
      <c r="Y648" s="94">
        <f t="shared" si="199"/>
        <v>0</v>
      </c>
      <c r="Z648" s="94">
        <f t="shared" si="199"/>
        <v>24657015.5</v>
      </c>
      <c r="AA648" s="83"/>
    </row>
    <row r="649" spans="1:27" ht="12.75" customHeight="1">
      <c r="A649" s="168"/>
      <c r="B649" s="102" t="s">
        <v>40</v>
      </c>
      <c r="C649" s="94"/>
      <c r="D649" s="89"/>
      <c r="E649" s="90"/>
      <c r="F649" s="170"/>
      <c r="G649" s="170"/>
      <c r="H649" s="94">
        <f t="shared" si="196"/>
        <v>0</v>
      </c>
      <c r="I649" s="170"/>
      <c r="J649" s="170"/>
      <c r="K649" s="170"/>
      <c r="L649" s="170"/>
      <c r="M649" s="94">
        <f t="shared" si="197"/>
        <v>0</v>
      </c>
      <c r="N649" s="94">
        <f t="shared" si="197"/>
        <v>0</v>
      </c>
      <c r="O649" s="94">
        <f t="shared" si="197"/>
        <v>0</v>
      </c>
      <c r="P649" s="94">
        <f t="shared" si="197"/>
        <v>0</v>
      </c>
      <c r="Q649" s="102"/>
      <c r="R649" s="94">
        <f t="shared" si="198"/>
        <v>0</v>
      </c>
      <c r="S649" s="94">
        <f t="shared" si="198"/>
        <v>0</v>
      </c>
      <c r="T649" s="94">
        <f t="shared" si="198"/>
        <v>0</v>
      </c>
      <c r="U649" s="94">
        <f t="shared" si="198"/>
        <v>0</v>
      </c>
      <c r="V649" s="83"/>
      <c r="W649" s="94">
        <f t="shared" si="199"/>
        <v>0</v>
      </c>
      <c r="X649" s="94">
        <f t="shared" si="199"/>
        <v>0</v>
      </c>
      <c r="Y649" s="94">
        <f t="shared" si="199"/>
        <v>0</v>
      </c>
      <c r="Z649" s="94">
        <f t="shared" si="199"/>
        <v>0</v>
      </c>
      <c r="AA649" s="83"/>
    </row>
    <row r="650" spans="1:27" ht="12.75" customHeight="1">
      <c r="A650" s="168"/>
      <c r="B650" s="102" t="s">
        <v>47</v>
      </c>
      <c r="C650" s="94"/>
      <c r="D650" s="89"/>
      <c r="E650" s="90"/>
      <c r="F650" s="170"/>
      <c r="G650" s="170"/>
      <c r="H650" s="94">
        <f t="shared" si="196"/>
        <v>0</v>
      </c>
      <c r="I650" s="170"/>
      <c r="J650" s="170"/>
      <c r="K650" s="170"/>
      <c r="L650" s="170"/>
      <c r="M650" s="94">
        <f t="shared" si="197"/>
        <v>0</v>
      </c>
      <c r="N650" s="94">
        <f t="shared" si="197"/>
        <v>0</v>
      </c>
      <c r="O650" s="94">
        <f t="shared" si="197"/>
        <v>0</v>
      </c>
      <c r="P650" s="94">
        <f t="shared" si="197"/>
        <v>0</v>
      </c>
      <c r="Q650" s="102"/>
      <c r="R650" s="94">
        <f t="shared" si="198"/>
        <v>0</v>
      </c>
      <c r="S650" s="94">
        <f t="shared" si="198"/>
        <v>0</v>
      </c>
      <c r="T650" s="94">
        <f t="shared" si="198"/>
        <v>0</v>
      </c>
      <c r="U650" s="94">
        <f t="shared" si="198"/>
        <v>0</v>
      </c>
      <c r="V650" s="83"/>
      <c r="W650" s="94">
        <f t="shared" si="199"/>
        <v>0</v>
      </c>
      <c r="X650" s="94">
        <f t="shared" si="199"/>
        <v>0</v>
      </c>
      <c r="Y650" s="94">
        <f t="shared" si="199"/>
        <v>0</v>
      </c>
      <c r="Z650" s="94">
        <f t="shared" si="199"/>
        <v>0</v>
      </c>
      <c r="AA650" s="83"/>
    </row>
    <row r="651" spans="1:27" ht="12.75" customHeight="1">
      <c r="A651" s="168"/>
      <c r="B651" s="102" t="s">
        <v>53</v>
      </c>
      <c r="C651" s="94"/>
      <c r="D651" s="89"/>
      <c r="E651" s="90"/>
      <c r="F651" s="170"/>
      <c r="G651" s="170"/>
      <c r="H651" s="94">
        <f t="shared" si="196"/>
        <v>0</v>
      </c>
      <c r="I651" s="170"/>
      <c r="J651" s="170"/>
      <c r="K651" s="170"/>
      <c r="L651" s="170"/>
      <c r="M651" s="94">
        <f t="shared" si="197"/>
        <v>0</v>
      </c>
      <c r="N651" s="94">
        <f t="shared" si="197"/>
        <v>0</v>
      </c>
      <c r="O651" s="94">
        <f t="shared" si="197"/>
        <v>0</v>
      </c>
      <c r="P651" s="94">
        <f t="shared" si="197"/>
        <v>0</v>
      </c>
      <c r="Q651" s="102"/>
      <c r="R651" s="94">
        <f t="shared" si="198"/>
        <v>0</v>
      </c>
      <c r="S651" s="94">
        <f t="shared" si="198"/>
        <v>0</v>
      </c>
      <c r="T651" s="94">
        <f t="shared" si="198"/>
        <v>0</v>
      </c>
      <c r="U651" s="94">
        <f t="shared" si="198"/>
        <v>0</v>
      </c>
      <c r="V651" s="83"/>
      <c r="W651" s="94">
        <f t="shared" si="199"/>
        <v>0</v>
      </c>
      <c r="X651" s="94">
        <f t="shared" si="199"/>
        <v>0</v>
      </c>
      <c r="Y651" s="94">
        <f t="shared" si="199"/>
        <v>0</v>
      </c>
      <c r="Z651" s="94">
        <f t="shared" si="199"/>
        <v>0</v>
      </c>
      <c r="AA651" s="83"/>
    </row>
    <row r="652" spans="1:27" ht="12.75" customHeight="1">
      <c r="A652" s="168"/>
      <c r="B652" s="102" t="s">
        <v>58</v>
      </c>
      <c r="C652" s="94"/>
      <c r="D652" s="89"/>
      <c r="E652" s="90"/>
      <c r="F652" s="170"/>
      <c r="G652" s="170"/>
      <c r="H652" s="94">
        <f t="shared" si="196"/>
        <v>0</v>
      </c>
      <c r="I652" s="170"/>
      <c r="J652" s="170"/>
      <c r="K652" s="170"/>
      <c r="L652" s="170"/>
      <c r="M652" s="94">
        <f t="shared" si="197"/>
        <v>0</v>
      </c>
      <c r="N652" s="94">
        <f t="shared" si="197"/>
        <v>0</v>
      </c>
      <c r="O652" s="94">
        <f t="shared" si="197"/>
        <v>0</v>
      </c>
      <c r="P652" s="94">
        <f t="shared" si="197"/>
        <v>0</v>
      </c>
      <c r="Q652" s="102"/>
      <c r="R652" s="94">
        <f t="shared" si="198"/>
        <v>0</v>
      </c>
      <c r="S652" s="94">
        <f t="shared" si="198"/>
        <v>0</v>
      </c>
      <c r="T652" s="94">
        <f t="shared" si="198"/>
        <v>0</v>
      </c>
      <c r="U652" s="94">
        <f t="shared" si="198"/>
        <v>0</v>
      </c>
      <c r="V652" s="83"/>
      <c r="W652" s="94">
        <f t="shared" si="199"/>
        <v>0</v>
      </c>
      <c r="X652" s="94">
        <f t="shared" si="199"/>
        <v>0</v>
      </c>
      <c r="Y652" s="94">
        <f t="shared" si="199"/>
        <v>0</v>
      </c>
      <c r="Z652" s="94">
        <f t="shared" si="199"/>
        <v>0</v>
      </c>
      <c r="AA652" s="83"/>
    </row>
    <row r="653" spans="2:27" ht="12.75" customHeight="1">
      <c r="B653" s="129" t="s">
        <v>63</v>
      </c>
      <c r="C653" s="94"/>
      <c r="F653" s="171"/>
      <c r="G653" s="171"/>
      <c r="H653" s="94">
        <f t="shared" si="196"/>
        <v>0</v>
      </c>
      <c r="I653" s="171"/>
      <c r="J653" s="171"/>
      <c r="K653" s="171"/>
      <c r="L653" s="171"/>
      <c r="M653" s="94">
        <f t="shared" si="197"/>
        <v>296591633.45535696</v>
      </c>
      <c r="N653" s="94">
        <f t="shared" si="197"/>
        <v>302804322.99817663</v>
      </c>
      <c r="O653" s="94">
        <f t="shared" si="197"/>
        <v>-136453502.964636</v>
      </c>
      <c r="P653" s="94">
        <f t="shared" si="197"/>
        <v>130240813.42181629</v>
      </c>
      <c r="Q653" s="102"/>
      <c r="R653" s="94">
        <f t="shared" si="198"/>
        <v>8995826170</v>
      </c>
      <c r="S653" s="94">
        <f t="shared" si="198"/>
        <v>2525658589.5136</v>
      </c>
      <c r="T653" s="94">
        <f t="shared" si="198"/>
        <v>544750660</v>
      </c>
      <c r="U653" s="94">
        <f t="shared" si="198"/>
        <v>5925416920.4864</v>
      </c>
      <c r="V653" s="83"/>
      <c r="W653" s="94">
        <f t="shared" si="199"/>
        <v>9191439447.553267</v>
      </c>
      <c r="X653" s="94">
        <f t="shared" si="199"/>
        <v>2509274435.177004</v>
      </c>
      <c r="Y653" s="94">
        <f t="shared" si="199"/>
        <v>768555524</v>
      </c>
      <c r="Z653" s="94">
        <f t="shared" si="199"/>
        <v>5913609488.376262</v>
      </c>
      <c r="AA653" s="83"/>
    </row>
    <row r="654" spans="2:27" ht="12.75" customHeight="1">
      <c r="B654" s="83"/>
      <c r="F654" s="82"/>
      <c r="G654" s="82"/>
      <c r="H654" s="82">
        <f>SUM(H632:H653)</f>
        <v>4583013</v>
      </c>
      <c r="I654" s="82"/>
      <c r="J654" s="82"/>
      <c r="K654" s="82"/>
      <c r="L654" s="82"/>
      <c r="M654" s="82"/>
      <c r="N654" s="82"/>
      <c r="O654" s="82"/>
      <c r="P654" s="82"/>
      <c r="Q654" s="83"/>
      <c r="R654" s="82"/>
      <c r="S654" s="82"/>
      <c r="T654" s="82"/>
      <c r="U654" s="82"/>
      <c r="V654" s="83"/>
      <c r="W654" s="82"/>
      <c r="X654" s="82"/>
      <c r="Y654" s="82"/>
      <c r="Z654" s="82"/>
      <c r="AA654" s="83"/>
    </row>
    <row r="655" spans="2:27" ht="12.75" customHeight="1">
      <c r="B655" s="167" t="s">
        <v>1</v>
      </c>
      <c r="F655" s="82"/>
      <c r="G655" s="82"/>
      <c r="H655" s="82"/>
      <c r="I655" s="82"/>
      <c r="J655" s="82"/>
      <c r="K655" s="82"/>
      <c r="L655" s="82"/>
      <c r="M655" s="82">
        <f>SUM(M632:M654)</f>
        <v>351001554.09535694</v>
      </c>
      <c r="N655" s="82">
        <f>SUM(N632:N654)</f>
        <v>319680717.3181766</v>
      </c>
      <c r="O655" s="82">
        <f>SUM(O632:O654)</f>
        <v>-136453502.964636</v>
      </c>
      <c r="P655" s="82">
        <f>SUM(P632:P654)</f>
        <v>167774339.74181628</v>
      </c>
      <c r="Q655" s="83"/>
      <c r="R655" s="82">
        <f>SUM(R632:R654)</f>
        <v>9049415885</v>
      </c>
      <c r="S655" s="82">
        <f>SUM(S632:S654)</f>
        <v>2542699283.7636</v>
      </c>
      <c r="T655" s="82">
        <f>SUM(T632:T654)</f>
        <v>544750660</v>
      </c>
      <c r="U655" s="82">
        <f>SUM(U632:U654)</f>
        <v>5961965941.2364</v>
      </c>
      <c r="V655" s="83"/>
      <c r="W655" s="82">
        <f>SUM(W632:W654)</f>
        <v>9254846032.843267</v>
      </c>
      <c r="X655" s="82">
        <f>SUM(X632:X654)</f>
        <v>2530330950.322004</v>
      </c>
      <c r="Y655" s="82">
        <f>SUM(Y632:Y654)</f>
        <v>768555524</v>
      </c>
      <c r="Z655" s="82">
        <f>SUM(Z632:Z654)</f>
        <v>5955959558.521262</v>
      </c>
      <c r="AA655" s="83"/>
    </row>
    <row r="656" spans="2:27" ht="12.75" customHeight="1">
      <c r="B656" s="17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3"/>
      <c r="R656" s="82"/>
      <c r="S656" s="82"/>
      <c r="T656" s="82"/>
      <c r="U656" s="82"/>
      <c r="V656" s="83"/>
      <c r="W656" s="82"/>
      <c r="X656" s="82"/>
      <c r="Y656" s="82"/>
      <c r="Z656" s="82"/>
      <c r="AA656" s="83"/>
    </row>
    <row r="657" spans="1:27" ht="12.75" customHeight="1">
      <c r="A657" s="106"/>
      <c r="B657" s="172" t="s">
        <v>189</v>
      </c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3"/>
      <c r="R657" s="82"/>
      <c r="S657" s="82"/>
      <c r="T657" s="82"/>
      <c r="U657" s="82"/>
      <c r="V657" s="83"/>
      <c r="W657" s="82"/>
      <c r="X657" s="82"/>
      <c r="Y657" s="82"/>
      <c r="Z657" s="82"/>
      <c r="AA657" s="83"/>
    </row>
    <row r="658" spans="1:27" ht="12.75" customHeight="1">
      <c r="A658" s="106"/>
      <c r="B658" s="173" t="s">
        <v>190</v>
      </c>
      <c r="F658" s="82"/>
      <c r="G658" s="82"/>
      <c r="H658" s="82"/>
      <c r="I658" s="82"/>
      <c r="J658" s="82"/>
      <c r="K658" s="82"/>
      <c r="L658" s="82"/>
      <c r="M658" s="82">
        <f>SUM(M632:M648)</f>
        <v>54409920.64</v>
      </c>
      <c r="N658" s="82">
        <f>SUM(N632:N648)</f>
        <v>16876394.32</v>
      </c>
      <c r="O658" s="82">
        <f>SUM(O632:O648)</f>
        <v>0</v>
      </c>
      <c r="P658" s="82">
        <f>SUM(P632:P648)</f>
        <v>37533526.32</v>
      </c>
      <c r="Q658" s="83"/>
      <c r="R658" s="82">
        <f>SUM(R632:R648)</f>
        <v>53589715</v>
      </c>
      <c r="S658" s="82">
        <f>SUM(S632:S648)</f>
        <v>17040694.25</v>
      </c>
      <c r="T658" s="82">
        <f>SUM(T632:T648)</f>
        <v>0</v>
      </c>
      <c r="U658" s="82">
        <f>SUM(U632:U648)</f>
        <v>36549020.75</v>
      </c>
      <c r="V658" s="83"/>
      <c r="W658" s="82">
        <f>SUM(W632:W648)</f>
        <v>63406585.29</v>
      </c>
      <c r="X658" s="82">
        <f>SUM(X632:X648)</f>
        <v>21056515.145</v>
      </c>
      <c r="Y658" s="82">
        <f>SUM(Y632:Y648)</f>
        <v>0</v>
      </c>
      <c r="Z658" s="82">
        <f>SUM(Z632:Z648)</f>
        <v>42350070.144999996</v>
      </c>
      <c r="AA658" s="83"/>
    </row>
    <row r="659" spans="1:27" ht="12.75" customHeight="1">
      <c r="A659" s="106"/>
      <c r="B659" s="173" t="s">
        <v>191</v>
      </c>
      <c r="F659" s="82"/>
      <c r="G659" s="82"/>
      <c r="H659" s="82"/>
      <c r="I659" s="82"/>
      <c r="J659" s="82"/>
      <c r="K659" s="82"/>
      <c r="L659" s="82"/>
      <c r="M659" s="82">
        <f>SUM(M649:M652)</f>
        <v>0</v>
      </c>
      <c r="N659" s="82">
        <f>SUM(N649:N652)</f>
        <v>0</v>
      </c>
      <c r="O659" s="82">
        <f>SUM(O649:O652)</f>
        <v>0</v>
      </c>
      <c r="P659" s="82">
        <f>SUM(P649:P652)</f>
        <v>0</v>
      </c>
      <c r="Q659" s="83"/>
      <c r="R659" s="82">
        <f>SUM(R649:R652)</f>
        <v>0</v>
      </c>
      <c r="S659" s="82">
        <f>SUM(S649:S652)</f>
        <v>0</v>
      </c>
      <c r="T659" s="82">
        <f>SUM(T649:T652)</f>
        <v>0</v>
      </c>
      <c r="U659" s="82">
        <f>SUM(U649:U652)</f>
        <v>0</v>
      </c>
      <c r="V659" s="83"/>
      <c r="W659" s="82">
        <f>SUM(W649:W652)</f>
        <v>0</v>
      </c>
      <c r="X659" s="82">
        <f>SUM(X649:X652)</f>
        <v>0</v>
      </c>
      <c r="Y659" s="82">
        <f>SUM(Y649:Y652)</f>
        <v>0</v>
      </c>
      <c r="Z659" s="82">
        <f>SUM(Z649:Z652)</f>
        <v>0</v>
      </c>
      <c r="AA659" s="83"/>
    </row>
    <row r="660" spans="1:27" ht="12.75" customHeight="1">
      <c r="A660" s="106"/>
      <c r="B660" s="173" t="s">
        <v>192</v>
      </c>
      <c r="F660" s="82"/>
      <c r="G660" s="82"/>
      <c r="H660" s="82"/>
      <c r="I660" s="82"/>
      <c r="J660" s="82"/>
      <c r="K660" s="82"/>
      <c r="L660" s="82"/>
      <c r="M660" s="82">
        <f>+M653</f>
        <v>296591633.45535696</v>
      </c>
      <c r="N660" s="82">
        <f>+N653</f>
        <v>302804322.99817663</v>
      </c>
      <c r="O660" s="82">
        <f>+O653</f>
        <v>-136453502.964636</v>
      </c>
      <c r="P660" s="82">
        <f>+P653</f>
        <v>130240813.42181629</v>
      </c>
      <c r="Q660" s="83"/>
      <c r="R660" s="82">
        <f>+R653</f>
        <v>8995826170</v>
      </c>
      <c r="S660" s="82">
        <f>+S653</f>
        <v>2525658589.5136</v>
      </c>
      <c r="T660" s="82">
        <f>+T653</f>
        <v>544750660</v>
      </c>
      <c r="U660" s="82">
        <f>+U653</f>
        <v>5925416920.4864</v>
      </c>
      <c r="V660" s="83"/>
      <c r="W660" s="82">
        <f>+W653</f>
        <v>9191439447.553267</v>
      </c>
      <c r="X660" s="82">
        <f>+X653</f>
        <v>2509274435.177004</v>
      </c>
      <c r="Y660" s="82">
        <f>+Y653</f>
        <v>768555524</v>
      </c>
      <c r="Z660" s="82">
        <f>+Z653</f>
        <v>5913609488.376262</v>
      </c>
      <c r="AA660" s="83"/>
    </row>
    <row r="661" spans="1:27" ht="12.75" customHeight="1">
      <c r="A661" s="106"/>
      <c r="B661" s="83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3"/>
      <c r="R661" s="82"/>
      <c r="S661" s="82"/>
      <c r="T661" s="82"/>
      <c r="U661" s="82"/>
      <c r="V661" s="83"/>
      <c r="W661" s="82"/>
      <c r="X661" s="82"/>
      <c r="Y661" s="82"/>
      <c r="Z661" s="82"/>
      <c r="AA661" s="83"/>
    </row>
    <row r="662" spans="1:27" ht="12.75" customHeight="1">
      <c r="A662" s="106"/>
      <c r="B662" s="83"/>
      <c r="F662" s="82"/>
      <c r="G662" s="82"/>
      <c r="H662" s="82"/>
      <c r="I662" s="82"/>
      <c r="J662" s="82"/>
      <c r="L662" s="95" t="s">
        <v>193</v>
      </c>
      <c r="M662" s="82">
        <f>M26+M59+M72+M105+M128+M148+M175+M195+M210+M224+M239+M257+M271+M285+M310+M325+M339+M353+M368+M382+M396+M411+M424+M437+M458+M472+M486+M500+M515+M529+M543+M557+M571+M584+M599</f>
        <v>351001554.09535694</v>
      </c>
      <c r="N662" s="82">
        <f>N26+N59+N72+N105+N128+N148+N175+N195+N210+N224+N239+N257+N271+N285+N310+N325+N339+N353+N368+N382+N396+N411+N424+N437+N458+N472+N486+N500+N515+N529+N543+N557+N571+N584+N599</f>
        <v>319680717.3181766</v>
      </c>
      <c r="O662" s="82">
        <f>O26+O59+O72+O105+O128+O148+O175+O195+O210+O224+O239+O257+O271+O285+O310+O325+O339+O353+O368+O382+O396+O411+O424+O437+O458+O472+O486+O500+O515+O529+O543+O557+O571+O584+O599</f>
        <v>-136453502.964636</v>
      </c>
      <c r="P662" s="82">
        <f>P26+P59+P72+P105+P128+P148+P175+P195+P210+P224+P239+P257+P271+P285+P310+P325+P339+P353+P368+P382+P396+P411+P424+P437+P458+P472+P486+P500+P515+P529+P543+P557+P571+P584+P599</f>
        <v>167774339.74181625</v>
      </c>
      <c r="Q662" s="82"/>
      <c r="R662" s="82">
        <f>R26+R59+R72+R105+R128+R148+R175+R195+R210+R224+R239+R257+R271+R285+R310+R325+R339+R353+R368+R382+R396+R411+R424+R437+R458+R472+R486+R500+R515+R529+R543+R557+R571+R584+R599</f>
        <v>9049415885</v>
      </c>
      <c r="S662" s="82">
        <f>S26+S59+S72+S105+S128+S148+S175+S195+S210+S224+S239+S257+S271+S285+S310+S325+S339+S353+S368+S382+S396+S411+S424+S437+S458+S472+S486+S500+S515+S529+S543+S557+S571+S584+S599</f>
        <v>2542699283.7636</v>
      </c>
      <c r="T662" s="82">
        <f>T26+T59+T72+T105+T128+T148+T175+T195+T210+T224+T239+T257+T271+T285+T310+T325+T339+T353+T368+T382+T396+T411+T424+T437+T458+T472+T486+T500+T515+T529+T543+T557+T571+T584+T599</f>
        <v>544750660</v>
      </c>
      <c r="U662" s="82">
        <f>U26+U59+U72+U105+U128+U148+U175+U195+U210+U224+U239+U257+U271+U285+U310+U325+U339+U353+U368+U382+U396+U411+U424+U437+U458+U472+U486+U500+U515+U529+U543+U557+U571+U584+U599</f>
        <v>5961965941.2364</v>
      </c>
      <c r="V662" s="83"/>
      <c r="W662" s="82">
        <f>W26+W59+W72+W105+W128+W148+W175+W195+W210+W224+W239+W257+W271+W285+W310+W325+W339+W353+W368+W382+W396+W411+W424+W437+W458+W472+W486+W500+W515+W529+W543+W557+W571+W584+W599</f>
        <v>9254846032.843266</v>
      </c>
      <c r="X662" s="82">
        <f>X26+X59+X72+X105+X128+X148+X175+X195+X210+X224+X239+X257+X271+X285+X310+X325+X339+X353+X368+X382+X396+X411+X424+X437+X458+X472+X486+X500+X515+X529+X543+X557+X571+X584+X599</f>
        <v>2530330950.3220043</v>
      </c>
      <c r="Y662" s="82">
        <f>Y26+Y59+Y72+Y105+Y128+Y148+Y175+Y195+Y210+Y224+Y239+Y257+Y271+Y285+Y310+Y325+Y339+Y353+Y368+Y382+Y396+Y411+Y424+Y437+Y458+Y472+Y486+Y500+Y515+Y529+Y543+Y557+Y571+Y584+Y599</f>
        <v>768555524</v>
      </c>
      <c r="Z662" s="82">
        <f>Z26+Z59+Z72+Z105+Z128+Z148+Z175+Z195+Z210+Z224+Z239+Z257+Z271+Z285+Z310+Z325+Z339+Z353+Z368+Z382+Z396+Z411+Z424+Z437+Z458+Z472+Z486+Z500+Z515+Z529+Z543+Z557+Z571+Z584+Z599</f>
        <v>5955959558.521262</v>
      </c>
      <c r="AA662" s="83"/>
    </row>
    <row r="663" spans="1:26" ht="12.75" customHeight="1">
      <c r="A663" s="106"/>
      <c r="B663" s="83"/>
      <c r="F663" s="82"/>
      <c r="G663" s="82"/>
      <c r="H663" s="82"/>
      <c r="I663" s="82"/>
      <c r="J663" s="82"/>
      <c r="L663" s="82" t="s">
        <v>194</v>
      </c>
      <c r="M663" s="174">
        <f>M662-M655</f>
        <v>0</v>
      </c>
      <c r="N663" s="174">
        <f>N662-N655</f>
        <v>0</v>
      </c>
      <c r="O663" s="174">
        <f>O662-O655</f>
        <v>0</v>
      </c>
      <c r="P663" s="174">
        <f>P662-P655</f>
        <v>0</v>
      </c>
      <c r="Q663" s="172"/>
      <c r="R663" s="174">
        <f>R662-R655</f>
        <v>0</v>
      </c>
      <c r="S663" s="174">
        <f>S662-S655</f>
        <v>0</v>
      </c>
      <c r="T663" s="174">
        <f>T662-T655</f>
        <v>0</v>
      </c>
      <c r="U663" s="174">
        <f>U662-U655</f>
        <v>0</v>
      </c>
      <c r="W663" s="174">
        <f>W662-W655</f>
        <v>0</v>
      </c>
      <c r="X663" s="174">
        <f>X662-X655</f>
        <v>0</v>
      </c>
      <c r="Y663" s="174">
        <f>Y662-Y655</f>
        <v>0</v>
      </c>
      <c r="Z663" s="174">
        <f>Z662-Z655</f>
        <v>0</v>
      </c>
    </row>
    <row r="664" ht="12.75" customHeight="1">
      <c r="L664" s="119" t="s">
        <v>195</v>
      </c>
    </row>
    <row r="666" spans="13:16" ht="12.75" customHeight="1">
      <c r="M666" s="82"/>
      <c r="N666" s="82"/>
      <c r="O666" s="82"/>
      <c r="P666" s="82"/>
    </row>
    <row r="668" ht="12.75" customHeight="1">
      <c r="M668" s="82"/>
    </row>
    <row r="695" spans="1:26" ht="12.75" customHeight="1" thickBot="1">
      <c r="A695" s="106">
        <v>38</v>
      </c>
      <c r="B695" s="118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3"/>
      <c r="R695" s="82"/>
      <c r="S695" s="82"/>
      <c r="T695" s="82"/>
      <c r="U695" s="82"/>
      <c r="V695" s="83"/>
      <c r="W695" s="82"/>
      <c r="X695" s="82"/>
      <c r="Y695" s="82"/>
      <c r="Z695" s="82"/>
    </row>
    <row r="696" spans="1:26" ht="12.75" customHeight="1">
      <c r="A696" s="106"/>
      <c r="B696" s="121" t="s">
        <v>77</v>
      </c>
      <c r="D696" s="109" t="s">
        <v>71</v>
      </c>
      <c r="E696" s="97" t="s">
        <v>72</v>
      </c>
      <c r="F696" s="97" t="s">
        <v>72</v>
      </c>
      <c r="G696" s="97" t="s">
        <v>73</v>
      </c>
      <c r="H696" s="97" t="s">
        <v>1</v>
      </c>
      <c r="I696" s="97" t="s">
        <v>74</v>
      </c>
      <c r="J696" s="97" t="s">
        <v>66</v>
      </c>
      <c r="K696" s="97" t="s">
        <v>59</v>
      </c>
      <c r="L696" s="97" t="s">
        <v>18</v>
      </c>
      <c r="M696" s="97" t="s">
        <v>1</v>
      </c>
      <c r="N696" s="97" t="s">
        <v>7</v>
      </c>
      <c r="O696" s="97" t="s">
        <v>75</v>
      </c>
      <c r="P696" s="97" t="s">
        <v>76</v>
      </c>
      <c r="Q696" s="108"/>
      <c r="R696" s="97" t="s">
        <v>1</v>
      </c>
      <c r="S696" s="97" t="s">
        <v>7</v>
      </c>
      <c r="T696" s="97" t="s">
        <v>75</v>
      </c>
      <c r="U696" s="97" t="s">
        <v>76</v>
      </c>
      <c r="V696" s="83"/>
      <c r="W696" s="97" t="s">
        <v>1</v>
      </c>
      <c r="X696" s="97" t="s">
        <v>7</v>
      </c>
      <c r="Y696" s="97" t="s">
        <v>75</v>
      </c>
      <c r="Z696" s="97" t="s">
        <v>76</v>
      </c>
    </row>
    <row r="697" spans="1:26" ht="12.75" customHeight="1">
      <c r="A697" s="106"/>
      <c r="B697" s="121"/>
      <c r="D697" s="131"/>
      <c r="E697" s="94"/>
      <c r="F697" s="90">
        <f>E697*D697</f>
        <v>0</v>
      </c>
      <c r="G697" s="94">
        <f>+F697*$C$4</f>
        <v>0</v>
      </c>
      <c r="H697" s="90">
        <f>+G697+F697</f>
        <v>0</v>
      </c>
      <c r="I697" s="94"/>
      <c r="J697" s="94">
        <f>D697*$C$7</f>
        <v>0</v>
      </c>
      <c r="K697" s="94">
        <f>D697*$C$5</f>
        <v>0</v>
      </c>
      <c r="L697" s="94">
        <f>D697*$C$6</f>
        <v>0</v>
      </c>
      <c r="M697" s="90">
        <f>SUM(H697:L697)</f>
        <v>0</v>
      </c>
      <c r="N697" s="94">
        <f>M697*$C$2</f>
        <v>0</v>
      </c>
      <c r="O697" s="90"/>
      <c r="P697" s="90">
        <f>M697-N697-O697</f>
        <v>0</v>
      </c>
      <c r="Q697" s="83"/>
      <c r="R697" s="90"/>
      <c r="S697" s="90" t="e">
        <f>+#REF!</f>
        <v>#REF!</v>
      </c>
      <c r="T697" s="90"/>
      <c r="U697" s="90" t="e">
        <f>R697-S697-T697</f>
        <v>#REF!</v>
      </c>
      <c r="V697" s="83"/>
      <c r="W697" s="90" t="e">
        <f>+#REF!</f>
        <v>#REF!</v>
      </c>
      <c r="X697" s="90" t="e">
        <f>+#REF!</f>
        <v>#REF!</v>
      </c>
      <c r="Y697" s="90"/>
      <c r="Z697" s="90" t="e">
        <f>W697-X697-Y697</f>
        <v>#REF!</v>
      </c>
    </row>
    <row r="698" spans="1:26" ht="12.75" customHeight="1" thickBot="1">
      <c r="A698" s="106"/>
      <c r="F698" s="123">
        <f>E698*D698</f>
        <v>0</v>
      </c>
      <c r="G698" s="143">
        <f>+F698*$C$4</f>
        <v>0</v>
      </c>
      <c r="H698" s="123">
        <f>+G698+F698</f>
        <v>0</v>
      </c>
      <c r="I698" s="143"/>
      <c r="J698" s="143">
        <f>D698*$C$7</f>
        <v>0</v>
      </c>
      <c r="K698" s="143">
        <f>D698*$C$5</f>
        <v>0</v>
      </c>
      <c r="L698" s="143">
        <f>D698*$C$6</f>
        <v>0</v>
      </c>
      <c r="M698" s="123">
        <f>SUM(H698:L698)</f>
        <v>0</v>
      </c>
      <c r="N698" s="143">
        <f>M698*$C$2</f>
        <v>0</v>
      </c>
      <c r="O698" s="123"/>
      <c r="P698" s="123">
        <f>M698-N698-O698</f>
        <v>0</v>
      </c>
      <c r="Q698" s="138"/>
      <c r="R698" s="123"/>
      <c r="S698" s="123" t="e">
        <f>+#REF!</f>
        <v>#REF!</v>
      </c>
      <c r="T698" s="123"/>
      <c r="U698" s="123" t="e">
        <f>R698-S698-T698</f>
        <v>#REF!</v>
      </c>
      <c r="V698" s="83"/>
      <c r="W698" s="123" t="e">
        <f>+#REF!</f>
        <v>#REF!</v>
      </c>
      <c r="X698" s="123" t="e">
        <f>+#REF!</f>
        <v>#REF!</v>
      </c>
      <c r="Y698" s="123"/>
      <c r="Z698" s="123" t="e">
        <f>W698-X698-Y698</f>
        <v>#REF!</v>
      </c>
    </row>
    <row r="699" spans="1:26" ht="12.75" customHeight="1">
      <c r="A699" s="106"/>
      <c r="F699" s="82">
        <f aca="true" t="shared" si="200" ref="F699:P699">SUM(F697:F698)</f>
        <v>0</v>
      </c>
      <c r="G699" s="82">
        <f t="shared" si="200"/>
        <v>0</v>
      </c>
      <c r="H699" s="82">
        <f t="shared" si="200"/>
        <v>0</v>
      </c>
      <c r="I699" s="82">
        <f t="shared" si="200"/>
        <v>0</v>
      </c>
      <c r="J699" s="82">
        <f t="shared" si="200"/>
        <v>0</v>
      </c>
      <c r="K699" s="82">
        <f t="shared" si="200"/>
        <v>0</v>
      </c>
      <c r="L699" s="82">
        <f t="shared" si="200"/>
        <v>0</v>
      </c>
      <c r="M699" s="82">
        <f t="shared" si="200"/>
        <v>0</v>
      </c>
      <c r="N699" s="82">
        <f t="shared" si="200"/>
        <v>0</v>
      </c>
      <c r="O699" s="82">
        <f t="shared" si="200"/>
        <v>0</v>
      </c>
      <c r="P699" s="82">
        <f t="shared" si="200"/>
        <v>0</v>
      </c>
      <c r="Q699" s="83"/>
      <c r="R699" s="82">
        <f>SUM(R697:R698)</f>
        <v>0</v>
      </c>
      <c r="S699" s="82" t="e">
        <f>SUM(S697:S698)</f>
        <v>#REF!</v>
      </c>
      <c r="T699" s="82">
        <f>SUM(T697:T698)</f>
        <v>0</v>
      </c>
      <c r="U699" s="82" t="e">
        <f>SUM(U697:U698)</f>
        <v>#REF!</v>
      </c>
      <c r="V699" s="83"/>
      <c r="W699" s="82" t="e">
        <f>SUM(W697:W698)</f>
        <v>#REF!</v>
      </c>
      <c r="X699" s="82" t="e">
        <f>SUM(X697:X698)</f>
        <v>#REF!</v>
      </c>
      <c r="Y699" s="82">
        <f>SUM(Y697:Y698)</f>
        <v>0</v>
      </c>
      <c r="Z699" s="82" t="e">
        <f>SUM(Z697:Z698)</f>
        <v>#REF!</v>
      </c>
    </row>
    <row r="700" spans="1:26" ht="12.75" customHeight="1">
      <c r="A700" s="106"/>
      <c r="F700" s="82">
        <f>SUM(F699:F699)</f>
        <v>0</v>
      </c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3"/>
      <c r="R700" s="82"/>
      <c r="S700" s="82"/>
      <c r="T700" s="82"/>
      <c r="U700" s="82"/>
      <c r="V700" s="83"/>
      <c r="W700" s="82"/>
      <c r="X700" s="82"/>
      <c r="Y700" s="82"/>
      <c r="Z700" s="82"/>
    </row>
    <row r="701" spans="1:26" ht="12.75" customHeight="1">
      <c r="A701" s="106"/>
      <c r="B701" s="83"/>
      <c r="F701" s="82"/>
      <c r="G701" s="82"/>
      <c r="H701" s="82"/>
      <c r="I701" s="82"/>
      <c r="J701" s="82"/>
      <c r="K701" s="82"/>
      <c r="L701" s="82"/>
      <c r="M701" s="90">
        <f>SUM(H701:L701)</f>
        <v>0</v>
      </c>
      <c r="N701" s="82"/>
      <c r="O701" s="82"/>
      <c r="P701" s="82">
        <f>+M701-N701-O701</f>
        <v>0</v>
      </c>
      <c r="Q701" s="83"/>
      <c r="R701" s="90"/>
      <c r="S701" s="82"/>
      <c r="T701" s="82"/>
      <c r="U701" s="82">
        <f>+R701-S701-T701</f>
        <v>0</v>
      </c>
      <c r="V701" s="83"/>
      <c r="W701" s="90" t="e">
        <f>+#REF!</f>
        <v>#REF!</v>
      </c>
      <c r="X701" s="82"/>
      <c r="Y701" s="82"/>
      <c r="Z701" s="82" t="e">
        <f>+W701-X701-Y701</f>
        <v>#REF!</v>
      </c>
    </row>
    <row r="702" spans="1:26" ht="12.75" customHeight="1">
      <c r="A702" s="106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3"/>
      <c r="R702" s="82"/>
      <c r="S702" s="82"/>
      <c r="T702" s="82"/>
      <c r="U702" s="82"/>
      <c r="V702" s="83"/>
      <c r="W702" s="82"/>
      <c r="X702" s="82"/>
      <c r="Y702" s="82"/>
      <c r="Z702" s="82"/>
    </row>
    <row r="703" spans="1:26" ht="12.75" customHeight="1" thickBot="1">
      <c r="A703" s="106"/>
      <c r="B703" s="111" t="s">
        <v>79</v>
      </c>
      <c r="F703" s="126">
        <f>SUM(F699:F702)</f>
        <v>0</v>
      </c>
      <c r="G703" s="126">
        <f>SUM(G699:G702)</f>
        <v>0</v>
      </c>
      <c r="H703" s="126"/>
      <c r="I703" s="126"/>
      <c r="J703" s="126">
        <f>SUM(J699:J702)</f>
        <v>0</v>
      </c>
      <c r="K703" s="126"/>
      <c r="L703" s="126"/>
      <c r="M703" s="126">
        <f>SUM(M699:M702)</f>
        <v>0</v>
      </c>
      <c r="N703" s="126">
        <f>SUM(N699:N702)</f>
        <v>0</v>
      </c>
      <c r="O703" s="126"/>
      <c r="P703" s="126">
        <f>SUM(P699:P702)</f>
        <v>0</v>
      </c>
      <c r="Q703" s="83"/>
      <c r="R703" s="126">
        <f>SUM(R699:R702)</f>
        <v>0</v>
      </c>
      <c r="S703" s="126" t="e">
        <f>SUM(S699:S702)</f>
        <v>#REF!</v>
      </c>
      <c r="T703" s="126">
        <f>SUM(T699:T702)</f>
        <v>0</v>
      </c>
      <c r="U703" s="126" t="e">
        <f>SUM(U699:U702)</f>
        <v>#REF!</v>
      </c>
      <c r="V703" s="83"/>
      <c r="W703" s="126" t="e">
        <f>SUM(W699:W702)</f>
        <v>#REF!</v>
      </c>
      <c r="X703" s="126" t="e">
        <f>SUM(X699:X702)</f>
        <v>#REF!</v>
      </c>
      <c r="Y703" s="126">
        <f>SUM(Y699:Y702)</f>
        <v>0</v>
      </c>
      <c r="Z703" s="126" t="e">
        <f>SUM(Z699:Z702)</f>
        <v>#REF!</v>
      </c>
    </row>
    <row r="704" spans="1:26" ht="12.75" customHeight="1" thickTop="1">
      <c r="A704" s="106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3"/>
      <c r="R704" s="82"/>
      <c r="S704" s="82"/>
      <c r="T704" s="82"/>
      <c r="U704" s="82"/>
      <c r="V704" s="83"/>
      <c r="W704" s="82"/>
      <c r="X704" s="82"/>
      <c r="Y704" s="82"/>
      <c r="Z704" s="82"/>
    </row>
    <row r="705" spans="1:26" ht="12.75" customHeight="1">
      <c r="A705" s="106"/>
      <c r="B705" s="128" t="s">
        <v>80</v>
      </c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3"/>
      <c r="R705" s="82"/>
      <c r="S705" s="82"/>
      <c r="T705" s="82"/>
      <c r="U705" s="82"/>
      <c r="V705" s="83"/>
      <c r="W705" s="82"/>
      <c r="X705" s="82"/>
      <c r="Y705" s="82"/>
      <c r="Z705" s="82"/>
    </row>
    <row r="706" spans="1:26" ht="12.75" customHeight="1">
      <c r="A706" s="106"/>
      <c r="B706" s="157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3"/>
      <c r="R706" s="82"/>
      <c r="S706" s="82"/>
      <c r="T706" s="82"/>
      <c r="U706" s="82"/>
      <c r="V706" s="83"/>
      <c r="W706" s="82"/>
      <c r="X706" s="82"/>
      <c r="Y706" s="82"/>
      <c r="Z706" s="82"/>
    </row>
    <row r="707" spans="1:26" ht="12.75" customHeight="1">
      <c r="A707" s="106"/>
      <c r="B707" s="83"/>
      <c r="F707" s="82"/>
      <c r="G707" s="82"/>
      <c r="H707" s="82"/>
      <c r="I707" s="82"/>
      <c r="J707" s="82">
        <f>+J701</f>
        <v>0</v>
      </c>
      <c r="K707" s="82"/>
      <c r="L707" s="82"/>
      <c r="M707" s="90">
        <f>SUM(H707:L707)</f>
        <v>0</v>
      </c>
      <c r="N707" s="82">
        <f>+M707*0.5</f>
        <v>0</v>
      </c>
      <c r="O707" s="82"/>
      <c r="P707" s="82">
        <f>+M707-N707</f>
        <v>0</v>
      </c>
      <c r="Q707" s="83"/>
      <c r="R707" s="90"/>
      <c r="S707" s="82"/>
      <c r="T707" s="82"/>
      <c r="U707" s="82">
        <f>+R707-S707-T707</f>
        <v>0</v>
      </c>
      <c r="V707" s="83"/>
      <c r="W707" s="90" t="e">
        <f>+#REF!</f>
        <v>#REF!</v>
      </c>
      <c r="X707" s="82"/>
      <c r="Y707" s="82"/>
      <c r="Z707" s="82" t="e">
        <f>+W707-X707-Y707</f>
        <v>#REF!</v>
      </c>
    </row>
    <row r="708" spans="1:26" ht="12.75" customHeight="1" thickBot="1">
      <c r="A708" s="106"/>
      <c r="B708" s="111"/>
      <c r="F708" s="126">
        <f aca="true" t="shared" si="201" ref="F708:P708">SUM(F706:F707)</f>
        <v>0</v>
      </c>
      <c r="G708" s="126">
        <f t="shared" si="201"/>
        <v>0</v>
      </c>
      <c r="H708" s="126">
        <f t="shared" si="201"/>
        <v>0</v>
      </c>
      <c r="I708" s="126">
        <f t="shared" si="201"/>
        <v>0</v>
      </c>
      <c r="J708" s="126">
        <f t="shared" si="201"/>
        <v>0</v>
      </c>
      <c r="K708" s="126">
        <f t="shared" si="201"/>
        <v>0</v>
      </c>
      <c r="L708" s="126">
        <f t="shared" si="201"/>
        <v>0</v>
      </c>
      <c r="M708" s="126">
        <f t="shared" si="201"/>
        <v>0</v>
      </c>
      <c r="N708" s="126">
        <f t="shared" si="201"/>
        <v>0</v>
      </c>
      <c r="O708" s="126">
        <f t="shared" si="201"/>
        <v>0</v>
      </c>
      <c r="P708" s="126">
        <f t="shared" si="201"/>
        <v>0</v>
      </c>
      <c r="Q708" s="83"/>
      <c r="R708" s="126">
        <f>SUM(R706:R707)</f>
        <v>0</v>
      </c>
      <c r="S708" s="126">
        <f>SUM(S706:S707)</f>
        <v>0</v>
      </c>
      <c r="T708" s="126">
        <f>SUM(T706:T707)</f>
        <v>0</v>
      </c>
      <c r="U708" s="126">
        <f>SUM(U706:U707)</f>
        <v>0</v>
      </c>
      <c r="V708" s="83"/>
      <c r="W708" s="126" t="e">
        <f>SUM(W706:W707)</f>
        <v>#REF!</v>
      </c>
      <c r="X708" s="126">
        <f>SUM(X706:X707)</f>
        <v>0</v>
      </c>
      <c r="Y708" s="126">
        <f>SUM(Y706:Y707)</f>
        <v>0</v>
      </c>
      <c r="Z708" s="126" t="e">
        <f>SUM(Z706:Z707)</f>
        <v>#REF!</v>
      </c>
    </row>
    <row r="709" spans="1:26" ht="12.75" customHeight="1" thickBot="1" thickTop="1">
      <c r="A709" s="106">
        <v>39</v>
      </c>
      <c r="B709" s="118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3"/>
      <c r="R709" s="82"/>
      <c r="S709" s="82"/>
      <c r="T709" s="82"/>
      <c r="U709" s="82"/>
      <c r="V709" s="83"/>
      <c r="W709" s="82"/>
      <c r="X709" s="82"/>
      <c r="Y709" s="82"/>
      <c r="Z709" s="82"/>
    </row>
    <row r="710" spans="1:26" ht="12.75" customHeight="1">
      <c r="A710" s="106"/>
      <c r="B710" s="121" t="s">
        <v>77</v>
      </c>
      <c r="D710" s="109" t="s">
        <v>71</v>
      </c>
      <c r="E710" s="97" t="s">
        <v>72</v>
      </c>
      <c r="F710" s="97" t="s">
        <v>72</v>
      </c>
      <c r="G710" s="97" t="s">
        <v>73</v>
      </c>
      <c r="H710" s="97" t="s">
        <v>1</v>
      </c>
      <c r="I710" s="97" t="s">
        <v>74</v>
      </c>
      <c r="J710" s="97" t="s">
        <v>66</v>
      </c>
      <c r="K710" s="97" t="s">
        <v>59</v>
      </c>
      <c r="L710" s="97" t="s">
        <v>18</v>
      </c>
      <c r="M710" s="97" t="s">
        <v>1</v>
      </c>
      <c r="N710" s="97" t="s">
        <v>7</v>
      </c>
      <c r="O710" s="97" t="s">
        <v>75</v>
      </c>
      <c r="P710" s="97" t="s">
        <v>76</v>
      </c>
      <c r="Q710" s="108"/>
      <c r="R710" s="97" t="s">
        <v>1</v>
      </c>
      <c r="S710" s="97" t="s">
        <v>7</v>
      </c>
      <c r="T710" s="97" t="s">
        <v>75</v>
      </c>
      <c r="U710" s="97" t="s">
        <v>76</v>
      </c>
      <c r="V710" s="83"/>
      <c r="W710" s="97" t="s">
        <v>1</v>
      </c>
      <c r="X710" s="97" t="s">
        <v>7</v>
      </c>
      <c r="Y710" s="97" t="s">
        <v>75</v>
      </c>
      <c r="Z710" s="97" t="s">
        <v>76</v>
      </c>
    </row>
    <row r="711" spans="1:26" ht="12.75" customHeight="1">
      <c r="A711" s="106"/>
      <c r="B711" s="121"/>
      <c r="D711" s="131"/>
      <c r="E711" s="94"/>
      <c r="F711" s="90">
        <f>E711*D711</f>
        <v>0</v>
      </c>
      <c r="G711" s="94">
        <f>+F711*$C$4</f>
        <v>0</v>
      </c>
      <c r="H711" s="90">
        <f>+G711+F711</f>
        <v>0</v>
      </c>
      <c r="I711" s="94"/>
      <c r="J711" s="94">
        <f>D711*$C$7</f>
        <v>0</v>
      </c>
      <c r="K711" s="94">
        <f>D711*$C$5</f>
        <v>0</v>
      </c>
      <c r="L711" s="94">
        <f>D711*$C$6</f>
        <v>0</v>
      </c>
      <c r="M711" s="90">
        <f>SUM(H711:L711)</f>
        <v>0</v>
      </c>
      <c r="N711" s="94">
        <f>M711*$C$2</f>
        <v>0</v>
      </c>
      <c r="O711" s="90"/>
      <c r="P711" s="90">
        <f>M711-N711-O711</f>
        <v>0</v>
      </c>
      <c r="Q711" s="83"/>
      <c r="R711" s="90" t="e">
        <f>+#REF!</f>
        <v>#REF!</v>
      </c>
      <c r="S711" s="90" t="e">
        <f>+#REF!</f>
        <v>#REF!</v>
      </c>
      <c r="T711" s="90"/>
      <c r="U711" s="90" t="e">
        <f>R711-S711-T711</f>
        <v>#REF!</v>
      </c>
      <c r="V711" s="83"/>
      <c r="W711" s="90" t="e">
        <f>+#REF!</f>
        <v>#REF!</v>
      </c>
      <c r="X711" s="90" t="e">
        <f>+#REF!</f>
        <v>#REF!</v>
      </c>
      <c r="Y711" s="90"/>
      <c r="Z711" s="90" t="e">
        <f>W711-X711-Y711</f>
        <v>#REF!</v>
      </c>
    </row>
    <row r="712" spans="1:26" ht="12.75" customHeight="1" thickBot="1">
      <c r="A712" s="106"/>
      <c r="F712" s="123">
        <f>E712*D712</f>
        <v>0</v>
      </c>
      <c r="G712" s="143">
        <f>+F712*$C$4</f>
        <v>0</v>
      </c>
      <c r="H712" s="123">
        <f>+G712+F712</f>
        <v>0</v>
      </c>
      <c r="I712" s="143"/>
      <c r="J712" s="143">
        <f>D712*$C$7</f>
        <v>0</v>
      </c>
      <c r="K712" s="143">
        <f>D712*$C$5</f>
        <v>0</v>
      </c>
      <c r="L712" s="143">
        <f>D712*$C$6</f>
        <v>0</v>
      </c>
      <c r="M712" s="123">
        <f>SUM(H712:L712)</f>
        <v>0</v>
      </c>
      <c r="N712" s="143">
        <f>M712*$C$2</f>
        <v>0</v>
      </c>
      <c r="O712" s="123"/>
      <c r="P712" s="123">
        <f>M712-N712-O712</f>
        <v>0</v>
      </c>
      <c r="Q712" s="138"/>
      <c r="R712" s="123" t="e">
        <f>+#REF!</f>
        <v>#REF!</v>
      </c>
      <c r="S712" s="123" t="e">
        <f>+#REF!</f>
        <v>#REF!</v>
      </c>
      <c r="T712" s="123"/>
      <c r="U712" s="123" t="e">
        <f>R712-S712-T712</f>
        <v>#REF!</v>
      </c>
      <c r="V712" s="83"/>
      <c r="W712" s="123" t="e">
        <f>+#REF!</f>
        <v>#REF!</v>
      </c>
      <c r="X712" s="123" t="e">
        <f>+#REF!</f>
        <v>#REF!</v>
      </c>
      <c r="Y712" s="123"/>
      <c r="Z712" s="123" t="e">
        <f>W712-X712-Y712</f>
        <v>#REF!</v>
      </c>
    </row>
    <row r="713" spans="1:26" ht="12.75" customHeight="1">
      <c r="A713" s="106"/>
      <c r="F713" s="82">
        <f aca="true" t="shared" si="202" ref="F713:P713">SUM(F711:F712)</f>
        <v>0</v>
      </c>
      <c r="G713" s="82">
        <f t="shared" si="202"/>
        <v>0</v>
      </c>
      <c r="H713" s="82">
        <f t="shared" si="202"/>
        <v>0</v>
      </c>
      <c r="I713" s="82">
        <f t="shared" si="202"/>
        <v>0</v>
      </c>
      <c r="J713" s="82">
        <f t="shared" si="202"/>
        <v>0</v>
      </c>
      <c r="K713" s="82">
        <f t="shared" si="202"/>
        <v>0</v>
      </c>
      <c r="L713" s="82">
        <f t="shared" si="202"/>
        <v>0</v>
      </c>
      <c r="M713" s="82">
        <f t="shared" si="202"/>
        <v>0</v>
      </c>
      <c r="N713" s="82">
        <f t="shared" si="202"/>
        <v>0</v>
      </c>
      <c r="O713" s="82">
        <f t="shared" si="202"/>
        <v>0</v>
      </c>
      <c r="P713" s="82">
        <f t="shared" si="202"/>
        <v>0</v>
      </c>
      <c r="Q713" s="83"/>
      <c r="R713" s="82" t="e">
        <f>SUM(R711:R712)</f>
        <v>#REF!</v>
      </c>
      <c r="S713" s="82" t="e">
        <f>SUM(S711:S712)</f>
        <v>#REF!</v>
      </c>
      <c r="T713" s="82">
        <f>SUM(T711:T712)</f>
        <v>0</v>
      </c>
      <c r="U713" s="82" t="e">
        <f>SUM(U711:U712)</f>
        <v>#REF!</v>
      </c>
      <c r="V713" s="83"/>
      <c r="W713" s="82" t="e">
        <f>SUM(W711:W712)</f>
        <v>#REF!</v>
      </c>
      <c r="X713" s="82" t="e">
        <f>SUM(X711:X712)</f>
        <v>#REF!</v>
      </c>
      <c r="Y713" s="82">
        <f>SUM(Y711:Y712)</f>
        <v>0</v>
      </c>
      <c r="Z713" s="82" t="e">
        <f>SUM(Z711:Z712)</f>
        <v>#REF!</v>
      </c>
    </row>
    <row r="714" spans="1:26" ht="12.75" customHeight="1">
      <c r="A714" s="106"/>
      <c r="F714" s="82">
        <f>SUM(F713:F713)</f>
        <v>0</v>
      </c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3"/>
      <c r="R714" s="82"/>
      <c r="S714" s="82"/>
      <c r="T714" s="82"/>
      <c r="U714" s="82"/>
      <c r="V714" s="83"/>
      <c r="W714" s="82"/>
      <c r="X714" s="82"/>
      <c r="Y714" s="82"/>
      <c r="Z714" s="82"/>
    </row>
    <row r="715" spans="1:26" ht="12.75" customHeight="1">
      <c r="A715" s="106"/>
      <c r="B715" s="83"/>
      <c r="F715" s="82"/>
      <c r="G715" s="82"/>
      <c r="H715" s="82"/>
      <c r="I715" s="82"/>
      <c r="J715" s="82"/>
      <c r="K715" s="82"/>
      <c r="L715" s="82"/>
      <c r="M715" s="90">
        <f>SUM(H715:L715)</f>
        <v>0</v>
      </c>
      <c r="N715" s="82"/>
      <c r="O715" s="82"/>
      <c r="P715" s="82">
        <f>+M715-N715-O715</f>
        <v>0</v>
      </c>
      <c r="Q715" s="83"/>
      <c r="R715" s="90" t="e">
        <f>+#REF!</f>
        <v>#REF!</v>
      </c>
      <c r="S715" s="82"/>
      <c r="T715" s="82"/>
      <c r="U715" s="82" t="e">
        <f>+R715-S715-T715</f>
        <v>#REF!</v>
      </c>
      <c r="V715" s="83"/>
      <c r="W715" s="90" t="e">
        <f>+#REF!</f>
        <v>#REF!</v>
      </c>
      <c r="X715" s="82"/>
      <c r="Y715" s="82"/>
      <c r="Z715" s="82" t="e">
        <f>+W715-X715-Y715</f>
        <v>#REF!</v>
      </c>
    </row>
    <row r="716" spans="1:26" ht="12.75" customHeight="1">
      <c r="A716" s="106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3"/>
      <c r="R716" s="82"/>
      <c r="S716" s="82"/>
      <c r="T716" s="82"/>
      <c r="U716" s="82"/>
      <c r="V716" s="83"/>
      <c r="W716" s="82"/>
      <c r="X716" s="82"/>
      <c r="Y716" s="82"/>
      <c r="Z716" s="82"/>
    </row>
    <row r="717" spans="1:26" ht="12.75" customHeight="1" thickBot="1">
      <c r="A717" s="106"/>
      <c r="B717" s="111" t="s">
        <v>79</v>
      </c>
      <c r="F717" s="126">
        <f>SUM(F713:F716)</f>
        <v>0</v>
      </c>
      <c r="G717" s="126">
        <f>SUM(G713:G716)</f>
        <v>0</v>
      </c>
      <c r="H717" s="126"/>
      <c r="I717" s="126"/>
      <c r="J717" s="126">
        <f>SUM(J713:J716)</f>
        <v>0</v>
      </c>
      <c r="K717" s="126"/>
      <c r="L717" s="126"/>
      <c r="M717" s="126">
        <f>SUM(M713:M716)</f>
        <v>0</v>
      </c>
      <c r="N717" s="126">
        <f>SUM(N713:N716)</f>
        <v>0</v>
      </c>
      <c r="O717" s="126"/>
      <c r="P717" s="126">
        <f>SUM(P713:P716)</f>
        <v>0</v>
      </c>
      <c r="Q717" s="83"/>
      <c r="R717" s="126" t="e">
        <f>SUM(R713:R716)</f>
        <v>#REF!</v>
      </c>
      <c r="S717" s="126" t="e">
        <f>SUM(S713:S716)</f>
        <v>#REF!</v>
      </c>
      <c r="T717" s="126">
        <f>SUM(T713:T716)</f>
        <v>0</v>
      </c>
      <c r="U717" s="126" t="e">
        <f>SUM(U713:U716)</f>
        <v>#REF!</v>
      </c>
      <c r="V717" s="83"/>
      <c r="W717" s="126" t="e">
        <f>SUM(W713:W716)</f>
        <v>#REF!</v>
      </c>
      <c r="X717" s="126" t="e">
        <f>SUM(X713:X716)</f>
        <v>#REF!</v>
      </c>
      <c r="Y717" s="126">
        <f>SUM(Y713:Y716)</f>
        <v>0</v>
      </c>
      <c r="Z717" s="126" t="e">
        <f>SUM(Z713:Z716)</f>
        <v>#REF!</v>
      </c>
    </row>
    <row r="718" spans="1:26" ht="12.75" customHeight="1" thickTop="1">
      <c r="A718" s="106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3"/>
      <c r="R718" s="82"/>
      <c r="S718" s="82"/>
      <c r="T718" s="82"/>
      <c r="U718" s="82"/>
      <c r="V718" s="83"/>
      <c r="W718" s="82"/>
      <c r="X718" s="82"/>
      <c r="Y718" s="82"/>
      <c r="Z718" s="82"/>
    </row>
    <row r="719" spans="1:26" ht="12.75" customHeight="1">
      <c r="A719" s="106"/>
      <c r="B719" s="128" t="s">
        <v>80</v>
      </c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3"/>
      <c r="R719" s="82"/>
      <c r="S719" s="82"/>
      <c r="T719" s="82"/>
      <c r="U719" s="82"/>
      <c r="V719" s="83"/>
      <c r="W719" s="82"/>
      <c r="X719" s="82"/>
      <c r="Y719" s="82"/>
      <c r="Z719" s="82"/>
    </row>
    <row r="720" spans="1:26" ht="12.75" customHeight="1">
      <c r="A720" s="106"/>
      <c r="B720" s="157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3"/>
      <c r="R720" s="82"/>
      <c r="S720" s="82"/>
      <c r="T720" s="82"/>
      <c r="U720" s="82"/>
      <c r="V720" s="83"/>
      <c r="W720" s="82"/>
      <c r="X720" s="82"/>
      <c r="Y720" s="82"/>
      <c r="Z720" s="82"/>
    </row>
    <row r="721" spans="1:26" ht="12.75" customHeight="1">
      <c r="A721" s="106"/>
      <c r="B721" s="83"/>
      <c r="F721" s="82"/>
      <c r="G721" s="82"/>
      <c r="H721" s="82"/>
      <c r="I721" s="82"/>
      <c r="J721" s="82">
        <f>+J715</f>
        <v>0</v>
      </c>
      <c r="K721" s="82"/>
      <c r="L721" s="82"/>
      <c r="M721" s="90">
        <f>SUM(H721:L721)</f>
        <v>0</v>
      </c>
      <c r="N721" s="82">
        <f>+M721*0.5</f>
        <v>0</v>
      </c>
      <c r="O721" s="82"/>
      <c r="P721" s="82">
        <f>+M721-N721</f>
        <v>0</v>
      </c>
      <c r="Q721" s="83"/>
      <c r="R721" s="90" t="e">
        <f>+#REF!</f>
        <v>#REF!</v>
      </c>
      <c r="S721" s="82"/>
      <c r="T721" s="82"/>
      <c r="U721" s="82" t="e">
        <f>+R721-S721-T721</f>
        <v>#REF!</v>
      </c>
      <c r="V721" s="83"/>
      <c r="W721" s="90" t="e">
        <f>+#REF!</f>
        <v>#REF!</v>
      </c>
      <c r="X721" s="82"/>
      <c r="Y721" s="82"/>
      <c r="Z721" s="82" t="e">
        <f>+W721-X721-Y721</f>
        <v>#REF!</v>
      </c>
    </row>
    <row r="722" spans="1:26" ht="12.75" customHeight="1" thickBot="1">
      <c r="A722" s="106"/>
      <c r="B722" s="111"/>
      <c r="F722" s="126">
        <f aca="true" t="shared" si="203" ref="F722:P722">SUM(F720:F721)</f>
        <v>0</v>
      </c>
      <c r="G722" s="126">
        <f t="shared" si="203"/>
        <v>0</v>
      </c>
      <c r="H722" s="126">
        <f t="shared" si="203"/>
        <v>0</v>
      </c>
      <c r="I722" s="126">
        <f t="shared" si="203"/>
        <v>0</v>
      </c>
      <c r="J722" s="126">
        <f t="shared" si="203"/>
        <v>0</v>
      </c>
      <c r="K722" s="126">
        <f t="shared" si="203"/>
        <v>0</v>
      </c>
      <c r="L722" s="126">
        <f t="shared" si="203"/>
        <v>0</v>
      </c>
      <c r="M722" s="126">
        <f t="shared" si="203"/>
        <v>0</v>
      </c>
      <c r="N722" s="126">
        <f t="shared" si="203"/>
        <v>0</v>
      </c>
      <c r="O722" s="126">
        <f t="shared" si="203"/>
        <v>0</v>
      </c>
      <c r="P722" s="126">
        <f t="shared" si="203"/>
        <v>0</v>
      </c>
      <c r="Q722" s="83"/>
      <c r="R722" s="126" t="e">
        <f>SUM(R720:R721)</f>
        <v>#REF!</v>
      </c>
      <c r="S722" s="126">
        <f>SUM(S720:S721)</f>
        <v>0</v>
      </c>
      <c r="T722" s="126">
        <f>SUM(T720:T721)</f>
        <v>0</v>
      </c>
      <c r="U722" s="126" t="e">
        <f>SUM(U720:U721)</f>
        <v>#REF!</v>
      </c>
      <c r="V722" s="83"/>
      <c r="W722" s="126" t="e">
        <f>SUM(W720:W721)</f>
        <v>#REF!</v>
      </c>
      <c r="X722" s="126">
        <f>SUM(X720:X721)</f>
        <v>0</v>
      </c>
      <c r="Y722" s="126">
        <f>SUM(Y720:Y721)</f>
        <v>0</v>
      </c>
      <c r="Z722" s="126" t="e">
        <f>SUM(Z720:Z721)</f>
        <v>#REF!</v>
      </c>
    </row>
    <row r="723" spans="1:26" ht="12.75" customHeight="1" thickTop="1">
      <c r="A723" s="86"/>
      <c r="B723" s="86"/>
      <c r="C723" s="133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3"/>
      <c r="W723" s="86"/>
      <c r="X723" s="86"/>
      <c r="Y723" s="86"/>
      <c r="Z723" s="86"/>
    </row>
    <row r="724" spans="1:26" ht="12.75" customHeight="1">
      <c r="A724" s="86"/>
      <c r="B724" s="86"/>
      <c r="C724" s="133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3"/>
      <c r="W724" s="86"/>
      <c r="X724" s="86"/>
      <c r="Y724" s="86"/>
      <c r="Z724" s="86"/>
    </row>
    <row r="725" spans="1:26" ht="12.75" customHeight="1">
      <c r="A725" s="86"/>
      <c r="B725" s="86"/>
      <c r="C725" s="133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3"/>
      <c r="W725" s="86"/>
      <c r="X725" s="86"/>
      <c r="Y725" s="86"/>
      <c r="Z725" s="86"/>
    </row>
    <row r="726" spans="1:26" ht="12.75" customHeight="1">
      <c r="A726" s="86"/>
      <c r="B726" s="86"/>
      <c r="C726" s="133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3"/>
      <c r="W726" s="86"/>
      <c r="X726" s="86"/>
      <c r="Y726" s="86"/>
      <c r="Z726" s="86"/>
    </row>
    <row r="727" spans="1:26" ht="12.75" customHeight="1">
      <c r="A727" s="86"/>
      <c r="B727" s="86"/>
      <c r="C727" s="133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3"/>
      <c r="W727" s="86"/>
      <c r="X727" s="86"/>
      <c r="Y727" s="86"/>
      <c r="Z727" s="86"/>
    </row>
    <row r="728" spans="1:26" ht="12.75" customHeight="1">
      <c r="A728" s="86"/>
      <c r="B728" s="86"/>
      <c r="C728" s="133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3"/>
      <c r="W728" s="86"/>
      <c r="X728" s="86"/>
      <c r="Y728" s="86"/>
      <c r="Z728" s="86"/>
    </row>
    <row r="729" spans="1:26" ht="12.75" customHeight="1">
      <c r="A729" s="86"/>
      <c r="B729" s="86"/>
      <c r="C729" s="133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3"/>
      <c r="W729" s="86"/>
      <c r="X729" s="86"/>
      <c r="Y729" s="86"/>
      <c r="Z729" s="86"/>
    </row>
    <row r="730" spans="1:26" ht="12.75" customHeight="1">
      <c r="A730" s="86"/>
      <c r="B730" s="86"/>
      <c r="C730" s="133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3"/>
      <c r="W730" s="86"/>
      <c r="X730" s="86"/>
      <c r="Y730" s="86"/>
      <c r="Z730" s="86"/>
    </row>
    <row r="731" spans="1:26" ht="12.75" customHeight="1">
      <c r="A731" s="86"/>
      <c r="B731" s="86"/>
      <c r="C731" s="133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3"/>
      <c r="W731" s="86"/>
      <c r="X731" s="86"/>
      <c r="Y731" s="86"/>
      <c r="Z731" s="86"/>
    </row>
    <row r="732" spans="1:26" ht="12.75" customHeight="1">
      <c r="A732" s="86"/>
      <c r="B732" s="86"/>
      <c r="C732" s="133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3"/>
      <c r="W732" s="86"/>
      <c r="X732" s="86"/>
      <c r="Y732" s="86"/>
      <c r="Z732" s="86"/>
    </row>
    <row r="733" spans="1:26" ht="12.75" customHeight="1">
      <c r="A733" s="86"/>
      <c r="B733" s="86"/>
      <c r="C733" s="133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3"/>
      <c r="W733" s="86"/>
      <c r="X733" s="86"/>
      <c r="Y733" s="86"/>
      <c r="Z733" s="86"/>
    </row>
    <row r="734" spans="1:26" ht="12.75" customHeight="1">
      <c r="A734" s="86"/>
      <c r="B734" s="86"/>
      <c r="C734" s="133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3"/>
      <c r="W734" s="86"/>
      <c r="X734" s="86"/>
      <c r="Y734" s="86"/>
      <c r="Z734" s="86"/>
    </row>
    <row r="735" spans="1:26" ht="12.75" customHeight="1">
      <c r="A735" s="86"/>
      <c r="B735" s="86"/>
      <c r="C735" s="133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3"/>
      <c r="W735" s="86"/>
      <c r="X735" s="86"/>
      <c r="Y735" s="86"/>
      <c r="Z735" s="86"/>
    </row>
    <row r="736" spans="1:26" ht="12.75" customHeight="1">
      <c r="A736" s="86"/>
      <c r="B736" s="86"/>
      <c r="C736" s="133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3"/>
      <c r="W736" s="86"/>
      <c r="X736" s="86"/>
      <c r="Y736" s="86"/>
      <c r="Z736" s="86"/>
    </row>
    <row r="737" spans="1:26" ht="12.75" customHeight="1" thickBot="1">
      <c r="A737" s="106"/>
      <c r="B737" s="118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3"/>
      <c r="R737" s="82"/>
      <c r="S737" s="82"/>
      <c r="T737" s="82"/>
      <c r="U737" s="82"/>
      <c r="V737" s="83"/>
      <c r="W737" s="82"/>
      <c r="X737" s="82"/>
      <c r="Y737" s="82"/>
      <c r="Z737" s="82"/>
    </row>
    <row r="738" spans="1:26" ht="12.75" customHeight="1">
      <c r="A738" s="106"/>
      <c r="B738" s="121" t="s">
        <v>77</v>
      </c>
      <c r="D738" s="109" t="s">
        <v>71</v>
      </c>
      <c r="E738" s="97" t="s">
        <v>72</v>
      </c>
      <c r="F738" s="97" t="s">
        <v>72</v>
      </c>
      <c r="G738" s="97" t="s">
        <v>73</v>
      </c>
      <c r="H738" s="97" t="s">
        <v>1</v>
      </c>
      <c r="I738" s="97" t="s">
        <v>74</v>
      </c>
      <c r="J738" s="97" t="s">
        <v>66</v>
      </c>
      <c r="K738" s="97" t="s">
        <v>59</v>
      </c>
      <c r="L738" s="97" t="s">
        <v>18</v>
      </c>
      <c r="M738" s="97" t="s">
        <v>1</v>
      </c>
      <c r="N738" s="97" t="s">
        <v>7</v>
      </c>
      <c r="O738" s="97" t="s">
        <v>75</v>
      </c>
      <c r="P738" s="97" t="s">
        <v>76</v>
      </c>
      <c r="Q738" s="108"/>
      <c r="R738" s="97" t="s">
        <v>1</v>
      </c>
      <c r="S738" s="97" t="s">
        <v>7</v>
      </c>
      <c r="T738" s="97" t="s">
        <v>75</v>
      </c>
      <c r="U738" s="97" t="s">
        <v>76</v>
      </c>
      <c r="V738" s="83"/>
      <c r="W738" s="97" t="s">
        <v>1</v>
      </c>
      <c r="X738" s="97" t="s">
        <v>7</v>
      </c>
      <c r="Y738" s="97" t="s">
        <v>75</v>
      </c>
      <c r="Z738" s="97" t="s">
        <v>76</v>
      </c>
    </row>
    <row r="739" spans="1:26" ht="12.75" customHeight="1">
      <c r="A739" s="106"/>
      <c r="B739" s="121"/>
      <c r="D739" s="131"/>
      <c r="E739" s="94"/>
      <c r="F739" s="90">
        <f>E739*D739</f>
        <v>0</v>
      </c>
      <c r="G739" s="94">
        <f>+F739*$C$4</f>
        <v>0</v>
      </c>
      <c r="H739" s="90">
        <f>+G739+F739</f>
        <v>0</v>
      </c>
      <c r="I739" s="94"/>
      <c r="J739" s="94">
        <f>D739*$C$7</f>
        <v>0</v>
      </c>
      <c r="K739" s="94">
        <f>D739*$C$5</f>
        <v>0</v>
      </c>
      <c r="L739" s="94">
        <f>D739*$C$6</f>
        <v>0</v>
      </c>
      <c r="M739" s="90">
        <f>SUM(H739:L739)</f>
        <v>0</v>
      </c>
      <c r="N739" s="94">
        <f>M739*$C$2</f>
        <v>0</v>
      </c>
      <c r="O739" s="90"/>
      <c r="P739" s="90">
        <f>M739-N739-O739</f>
        <v>0</v>
      </c>
      <c r="Q739" s="83"/>
      <c r="R739" s="90" t="e">
        <f>+#REF!</f>
        <v>#REF!</v>
      </c>
      <c r="S739" s="90" t="e">
        <f>+#REF!</f>
        <v>#REF!</v>
      </c>
      <c r="T739" s="90"/>
      <c r="U739" s="90" t="e">
        <f>R739-S739-T739</f>
        <v>#REF!</v>
      </c>
      <c r="V739" s="83"/>
      <c r="W739" s="90" t="e">
        <f>+#REF!</f>
        <v>#REF!</v>
      </c>
      <c r="X739" s="90" t="e">
        <f>+#REF!</f>
        <v>#REF!</v>
      </c>
      <c r="Y739" s="90"/>
      <c r="Z739" s="90" t="e">
        <f>W739-X739-Y739</f>
        <v>#REF!</v>
      </c>
    </row>
    <row r="740" spans="1:26" ht="12.75" customHeight="1" thickBot="1">
      <c r="A740" s="106"/>
      <c r="F740" s="123">
        <f>E740*D740</f>
        <v>0</v>
      </c>
      <c r="G740" s="143">
        <f>+F740*$C$4</f>
        <v>0</v>
      </c>
      <c r="H740" s="123">
        <f>+G740+F740</f>
        <v>0</v>
      </c>
      <c r="I740" s="143"/>
      <c r="J740" s="143">
        <f>D740*$C$7</f>
        <v>0</v>
      </c>
      <c r="K740" s="143">
        <f>D740*$C$5</f>
        <v>0</v>
      </c>
      <c r="L740" s="143">
        <f>D740*$C$6</f>
        <v>0</v>
      </c>
      <c r="M740" s="123">
        <f>SUM(H740:L740)</f>
        <v>0</v>
      </c>
      <c r="N740" s="143">
        <f>M740*$C$2</f>
        <v>0</v>
      </c>
      <c r="O740" s="123"/>
      <c r="P740" s="123">
        <f>M740-N740-O740</f>
        <v>0</v>
      </c>
      <c r="Q740" s="138"/>
      <c r="R740" s="123" t="e">
        <f>+#REF!</f>
        <v>#REF!</v>
      </c>
      <c r="S740" s="123" t="e">
        <f>+#REF!</f>
        <v>#REF!</v>
      </c>
      <c r="T740" s="123"/>
      <c r="U740" s="123" t="e">
        <f>R740-S740-T740</f>
        <v>#REF!</v>
      </c>
      <c r="V740" s="83"/>
      <c r="W740" s="123" t="e">
        <f>+#REF!</f>
        <v>#REF!</v>
      </c>
      <c r="X740" s="123" t="e">
        <f>+#REF!</f>
        <v>#REF!</v>
      </c>
      <c r="Y740" s="123"/>
      <c r="Z740" s="123" t="e">
        <f>W740-X740-Y740</f>
        <v>#REF!</v>
      </c>
    </row>
    <row r="741" spans="1:26" ht="12.75" customHeight="1">
      <c r="A741" s="106"/>
      <c r="F741" s="82">
        <f aca="true" t="shared" si="204" ref="F741:P741">SUM(F739:F740)</f>
        <v>0</v>
      </c>
      <c r="G741" s="82">
        <f t="shared" si="204"/>
        <v>0</v>
      </c>
      <c r="H741" s="82">
        <f t="shared" si="204"/>
        <v>0</v>
      </c>
      <c r="I741" s="82">
        <f t="shared" si="204"/>
        <v>0</v>
      </c>
      <c r="J741" s="82">
        <f t="shared" si="204"/>
        <v>0</v>
      </c>
      <c r="K741" s="82">
        <f t="shared" si="204"/>
        <v>0</v>
      </c>
      <c r="L741" s="82">
        <f t="shared" si="204"/>
        <v>0</v>
      </c>
      <c r="M741" s="82">
        <f t="shared" si="204"/>
        <v>0</v>
      </c>
      <c r="N741" s="82">
        <f t="shared" si="204"/>
        <v>0</v>
      </c>
      <c r="O741" s="82">
        <f t="shared" si="204"/>
        <v>0</v>
      </c>
      <c r="P741" s="82">
        <f t="shared" si="204"/>
        <v>0</v>
      </c>
      <c r="Q741" s="83"/>
      <c r="R741" s="82" t="e">
        <f>SUM(R739:R740)</f>
        <v>#REF!</v>
      </c>
      <c r="S741" s="82" t="e">
        <f>SUM(S739:S740)</f>
        <v>#REF!</v>
      </c>
      <c r="T741" s="82">
        <f>SUM(T739:T740)</f>
        <v>0</v>
      </c>
      <c r="U741" s="82" t="e">
        <f>SUM(U739:U740)</f>
        <v>#REF!</v>
      </c>
      <c r="V741" s="83"/>
      <c r="W741" s="82" t="e">
        <f>SUM(W739:W740)</f>
        <v>#REF!</v>
      </c>
      <c r="X741" s="82" t="e">
        <f>SUM(X739:X740)</f>
        <v>#REF!</v>
      </c>
      <c r="Y741" s="82">
        <f>SUM(Y739:Y740)</f>
        <v>0</v>
      </c>
      <c r="Z741" s="82" t="e">
        <f>SUM(Z739:Z740)</f>
        <v>#REF!</v>
      </c>
    </row>
    <row r="742" spans="1:26" ht="12.75" customHeight="1">
      <c r="A742" s="106"/>
      <c r="F742" s="82">
        <f>SUM(F741:F741)</f>
        <v>0</v>
      </c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3"/>
      <c r="R742" s="82"/>
      <c r="S742" s="82"/>
      <c r="T742" s="82"/>
      <c r="U742" s="82"/>
      <c r="V742" s="83"/>
      <c r="W742" s="82"/>
      <c r="X742" s="82"/>
      <c r="Y742" s="82"/>
      <c r="Z742" s="82"/>
    </row>
    <row r="743" spans="1:26" ht="12.75" customHeight="1">
      <c r="A743" s="106"/>
      <c r="B743" s="83"/>
      <c r="F743" s="82"/>
      <c r="G743" s="82"/>
      <c r="H743" s="82"/>
      <c r="I743" s="82"/>
      <c r="J743" s="82"/>
      <c r="K743" s="82"/>
      <c r="L743" s="82"/>
      <c r="M743" s="90">
        <f>SUM(H743:L743)</f>
        <v>0</v>
      </c>
      <c r="N743" s="82"/>
      <c r="O743" s="82"/>
      <c r="P743" s="82">
        <f>+M743-N743-O743</f>
        <v>0</v>
      </c>
      <c r="Q743" s="83"/>
      <c r="R743" s="90" t="e">
        <f>+#REF!</f>
        <v>#REF!</v>
      </c>
      <c r="S743" s="82"/>
      <c r="T743" s="82"/>
      <c r="U743" s="82" t="e">
        <f>+R743-S743-T743</f>
        <v>#REF!</v>
      </c>
      <c r="V743" s="83"/>
      <c r="W743" s="90" t="e">
        <f>+#REF!</f>
        <v>#REF!</v>
      </c>
      <c r="X743" s="82"/>
      <c r="Y743" s="82"/>
      <c r="Z743" s="82" t="e">
        <f>+W743-X743-Y743</f>
        <v>#REF!</v>
      </c>
    </row>
    <row r="744" spans="1:26" ht="12.75" customHeight="1">
      <c r="A744" s="106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3"/>
      <c r="R744" s="82"/>
      <c r="S744" s="82"/>
      <c r="T744" s="82"/>
      <c r="U744" s="82"/>
      <c r="V744" s="83"/>
      <c r="W744" s="82"/>
      <c r="X744" s="82"/>
      <c r="Y744" s="82"/>
      <c r="Z744" s="82"/>
    </row>
    <row r="745" spans="1:26" ht="12.75" customHeight="1" thickBot="1">
      <c r="A745" s="106"/>
      <c r="B745" s="111" t="s">
        <v>79</v>
      </c>
      <c r="F745" s="126">
        <f>SUM(F741:F744)</f>
        <v>0</v>
      </c>
      <c r="G745" s="126">
        <f>SUM(G741:G744)</f>
        <v>0</v>
      </c>
      <c r="H745" s="126"/>
      <c r="I745" s="126"/>
      <c r="J745" s="126">
        <f>SUM(J741:J744)</f>
        <v>0</v>
      </c>
      <c r="K745" s="126"/>
      <c r="L745" s="126"/>
      <c r="M745" s="126">
        <f>SUM(M741:M744)</f>
        <v>0</v>
      </c>
      <c r="N745" s="126">
        <f>SUM(N741:N744)</f>
        <v>0</v>
      </c>
      <c r="O745" s="126"/>
      <c r="P745" s="126">
        <f>SUM(P741:P744)</f>
        <v>0</v>
      </c>
      <c r="Q745" s="83"/>
      <c r="R745" s="126" t="e">
        <f>SUM(R741:R744)</f>
        <v>#REF!</v>
      </c>
      <c r="S745" s="126" t="e">
        <f>SUM(S741:S744)</f>
        <v>#REF!</v>
      </c>
      <c r="T745" s="126">
        <f>SUM(T741:T744)</f>
        <v>0</v>
      </c>
      <c r="U745" s="126" t="e">
        <f>SUM(U741:U744)</f>
        <v>#REF!</v>
      </c>
      <c r="V745" s="83"/>
      <c r="W745" s="126" t="e">
        <f>SUM(W741:W744)</f>
        <v>#REF!</v>
      </c>
      <c r="X745" s="126" t="e">
        <f>SUM(X741:X744)</f>
        <v>#REF!</v>
      </c>
      <c r="Y745" s="126">
        <f>SUM(Y741:Y744)</f>
        <v>0</v>
      </c>
      <c r="Z745" s="126" t="e">
        <f>SUM(Z741:Z744)</f>
        <v>#REF!</v>
      </c>
    </row>
    <row r="746" spans="1:26" ht="12.75" customHeight="1" thickTop="1">
      <c r="A746" s="106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3"/>
      <c r="R746" s="82"/>
      <c r="S746" s="82"/>
      <c r="T746" s="82"/>
      <c r="U746" s="82"/>
      <c r="V746" s="83"/>
      <c r="W746" s="82"/>
      <c r="X746" s="82"/>
      <c r="Y746" s="82"/>
      <c r="Z746" s="82"/>
    </row>
    <row r="747" spans="1:26" ht="12.75" customHeight="1">
      <c r="A747" s="106"/>
      <c r="B747" s="128" t="s">
        <v>80</v>
      </c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3"/>
      <c r="R747" s="82"/>
      <c r="S747" s="82"/>
      <c r="T747" s="82"/>
      <c r="U747" s="82"/>
      <c r="V747" s="83"/>
      <c r="W747" s="82"/>
      <c r="X747" s="82"/>
      <c r="Y747" s="82"/>
      <c r="Z747" s="82"/>
    </row>
    <row r="748" spans="1:26" ht="12.75" customHeight="1">
      <c r="A748" s="106"/>
      <c r="B748" s="157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3"/>
      <c r="R748" s="82"/>
      <c r="S748" s="82"/>
      <c r="T748" s="82"/>
      <c r="U748" s="82"/>
      <c r="V748" s="83"/>
      <c r="W748" s="82"/>
      <c r="X748" s="82"/>
      <c r="Y748" s="82"/>
      <c r="Z748" s="82"/>
    </row>
    <row r="749" spans="1:26" ht="12.75" customHeight="1">
      <c r="A749" s="106"/>
      <c r="B749" s="83"/>
      <c r="F749" s="82"/>
      <c r="G749" s="82"/>
      <c r="H749" s="82"/>
      <c r="I749" s="82"/>
      <c r="J749" s="82">
        <f>+J743</f>
        <v>0</v>
      </c>
      <c r="K749" s="82"/>
      <c r="L749" s="82"/>
      <c r="M749" s="90">
        <f>SUM(H749:L749)</f>
        <v>0</v>
      </c>
      <c r="N749" s="82">
        <f>+M749*0.5</f>
        <v>0</v>
      </c>
      <c r="O749" s="82"/>
      <c r="P749" s="82">
        <f>+M749-N749</f>
        <v>0</v>
      </c>
      <c r="Q749" s="83"/>
      <c r="R749" s="90" t="e">
        <f>+#REF!</f>
        <v>#REF!</v>
      </c>
      <c r="S749" s="82"/>
      <c r="T749" s="82"/>
      <c r="U749" s="82" t="e">
        <f>+R749-S749-T749</f>
        <v>#REF!</v>
      </c>
      <c r="V749" s="83"/>
      <c r="W749" s="90" t="e">
        <f>+#REF!</f>
        <v>#REF!</v>
      </c>
      <c r="X749" s="82"/>
      <c r="Y749" s="82"/>
      <c r="Z749" s="82" t="e">
        <f>+W749-X749-Y749</f>
        <v>#REF!</v>
      </c>
    </row>
    <row r="750" spans="1:26" ht="12.75" customHeight="1" thickBot="1">
      <c r="A750" s="106"/>
      <c r="B750" s="111"/>
      <c r="F750" s="126">
        <f aca="true" t="shared" si="205" ref="F750:P750">SUM(F748:F749)</f>
        <v>0</v>
      </c>
      <c r="G750" s="126">
        <f t="shared" si="205"/>
        <v>0</v>
      </c>
      <c r="H750" s="126">
        <f t="shared" si="205"/>
        <v>0</v>
      </c>
      <c r="I750" s="126">
        <f t="shared" si="205"/>
        <v>0</v>
      </c>
      <c r="J750" s="126">
        <f t="shared" si="205"/>
        <v>0</v>
      </c>
      <c r="K750" s="126">
        <f t="shared" si="205"/>
        <v>0</v>
      </c>
      <c r="L750" s="126">
        <f t="shared" si="205"/>
        <v>0</v>
      </c>
      <c r="M750" s="126">
        <f t="shared" si="205"/>
        <v>0</v>
      </c>
      <c r="N750" s="126">
        <f t="shared" si="205"/>
        <v>0</v>
      </c>
      <c r="O750" s="126">
        <f t="shared" si="205"/>
        <v>0</v>
      </c>
      <c r="P750" s="126">
        <f t="shared" si="205"/>
        <v>0</v>
      </c>
      <c r="Q750" s="83"/>
      <c r="R750" s="126" t="e">
        <f>SUM(R748:R749)</f>
        <v>#REF!</v>
      </c>
      <c r="S750" s="126">
        <f>SUM(S748:S749)</f>
        <v>0</v>
      </c>
      <c r="T750" s="126">
        <f>SUM(T748:T749)</f>
        <v>0</v>
      </c>
      <c r="U750" s="126" t="e">
        <f>SUM(U748:U749)</f>
        <v>#REF!</v>
      </c>
      <c r="V750" s="83"/>
      <c r="W750" s="126" t="e">
        <f>SUM(W748:W749)</f>
        <v>#REF!</v>
      </c>
      <c r="X750" s="126">
        <f>SUM(X748:X749)</f>
        <v>0</v>
      </c>
      <c r="Y750" s="126">
        <f>SUM(Y748:Y749)</f>
        <v>0</v>
      </c>
      <c r="Z750" s="126" t="e">
        <f>SUM(Z748:Z749)</f>
        <v>#REF!</v>
      </c>
    </row>
    <row r="751" spans="1:26" ht="12.75" customHeight="1" thickBot="1" thickTop="1">
      <c r="A751" s="106"/>
      <c r="B751" s="118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3"/>
      <c r="R751" s="82"/>
      <c r="S751" s="82"/>
      <c r="T751" s="82"/>
      <c r="U751" s="82"/>
      <c r="V751" s="83"/>
      <c r="W751" s="82"/>
      <c r="X751" s="82"/>
      <c r="Y751" s="82"/>
      <c r="Z751" s="82"/>
    </row>
    <row r="752" spans="1:26" ht="12.75" customHeight="1">
      <c r="A752" s="106"/>
      <c r="B752" s="121" t="s">
        <v>77</v>
      </c>
      <c r="D752" s="109" t="s">
        <v>71</v>
      </c>
      <c r="E752" s="97" t="s">
        <v>72</v>
      </c>
      <c r="F752" s="97" t="s">
        <v>72</v>
      </c>
      <c r="G752" s="97" t="s">
        <v>73</v>
      </c>
      <c r="H752" s="97" t="s">
        <v>1</v>
      </c>
      <c r="I752" s="97" t="s">
        <v>74</v>
      </c>
      <c r="J752" s="97" t="s">
        <v>66</v>
      </c>
      <c r="K752" s="97" t="s">
        <v>59</v>
      </c>
      <c r="L752" s="97" t="s">
        <v>18</v>
      </c>
      <c r="M752" s="97" t="s">
        <v>1</v>
      </c>
      <c r="N752" s="97" t="s">
        <v>7</v>
      </c>
      <c r="O752" s="97" t="s">
        <v>75</v>
      </c>
      <c r="P752" s="97" t="s">
        <v>76</v>
      </c>
      <c r="Q752" s="108"/>
      <c r="R752" s="97" t="s">
        <v>1</v>
      </c>
      <c r="S752" s="97" t="s">
        <v>7</v>
      </c>
      <c r="T752" s="97" t="s">
        <v>75</v>
      </c>
      <c r="U752" s="97" t="s">
        <v>76</v>
      </c>
      <c r="V752" s="83"/>
      <c r="W752" s="97" t="s">
        <v>1</v>
      </c>
      <c r="X752" s="97" t="s">
        <v>7</v>
      </c>
      <c r="Y752" s="97" t="s">
        <v>75</v>
      </c>
      <c r="Z752" s="97" t="s">
        <v>76</v>
      </c>
    </row>
    <row r="753" spans="1:26" ht="12.75" customHeight="1">
      <c r="A753" s="106"/>
      <c r="B753" s="121"/>
      <c r="D753" s="131"/>
      <c r="E753" s="94"/>
      <c r="F753" s="90">
        <f>E753*D753</f>
        <v>0</v>
      </c>
      <c r="G753" s="94">
        <f>+F753*$C$4</f>
        <v>0</v>
      </c>
      <c r="H753" s="90">
        <f>+G753+F753</f>
        <v>0</v>
      </c>
      <c r="I753" s="94"/>
      <c r="J753" s="94">
        <f>D753*$C$7</f>
        <v>0</v>
      </c>
      <c r="K753" s="94">
        <f>D753*$C$5</f>
        <v>0</v>
      </c>
      <c r="L753" s="94">
        <f>D753*$C$6</f>
        <v>0</v>
      </c>
      <c r="M753" s="90">
        <f>SUM(H753:L753)</f>
        <v>0</v>
      </c>
      <c r="N753" s="94">
        <f>M753*$C$2</f>
        <v>0</v>
      </c>
      <c r="O753" s="90"/>
      <c r="P753" s="90">
        <f>M753-N753-O753</f>
        <v>0</v>
      </c>
      <c r="Q753" s="83"/>
      <c r="R753" s="90" t="e">
        <f>+#REF!</f>
        <v>#REF!</v>
      </c>
      <c r="S753" s="90" t="e">
        <f>+#REF!</f>
        <v>#REF!</v>
      </c>
      <c r="T753" s="90"/>
      <c r="U753" s="90" t="e">
        <f>R753-S753-T753</f>
        <v>#REF!</v>
      </c>
      <c r="V753" s="83"/>
      <c r="W753" s="90" t="e">
        <f>+#REF!</f>
        <v>#REF!</v>
      </c>
      <c r="X753" s="90" t="e">
        <f>+#REF!</f>
        <v>#REF!</v>
      </c>
      <c r="Y753" s="90"/>
      <c r="Z753" s="90" t="e">
        <f>W753-X753-Y753</f>
        <v>#REF!</v>
      </c>
    </row>
    <row r="754" spans="1:26" ht="12.75" customHeight="1" thickBot="1">
      <c r="A754" s="106"/>
      <c r="F754" s="123">
        <f>E754*D754</f>
        <v>0</v>
      </c>
      <c r="G754" s="143">
        <f>+F754*$C$4</f>
        <v>0</v>
      </c>
      <c r="H754" s="123">
        <f>+G754+F754</f>
        <v>0</v>
      </c>
      <c r="I754" s="143"/>
      <c r="J754" s="143">
        <f>D754*$C$7</f>
        <v>0</v>
      </c>
      <c r="K754" s="143">
        <f>D754*$C$5</f>
        <v>0</v>
      </c>
      <c r="L754" s="143">
        <f>D754*$C$6</f>
        <v>0</v>
      </c>
      <c r="M754" s="123">
        <f>SUM(H754:L754)</f>
        <v>0</v>
      </c>
      <c r="N754" s="143">
        <f>M754*$C$2</f>
        <v>0</v>
      </c>
      <c r="O754" s="123"/>
      <c r="P754" s="123">
        <f>M754-N754-O754</f>
        <v>0</v>
      </c>
      <c r="Q754" s="138"/>
      <c r="R754" s="123" t="e">
        <f>+#REF!</f>
        <v>#REF!</v>
      </c>
      <c r="S754" s="123" t="e">
        <f>+#REF!</f>
        <v>#REF!</v>
      </c>
      <c r="T754" s="123"/>
      <c r="U754" s="123" t="e">
        <f>R754-S754-T754</f>
        <v>#REF!</v>
      </c>
      <c r="V754" s="83"/>
      <c r="W754" s="123" t="e">
        <f>+#REF!</f>
        <v>#REF!</v>
      </c>
      <c r="X754" s="123" t="e">
        <f>+#REF!</f>
        <v>#REF!</v>
      </c>
      <c r="Y754" s="123"/>
      <c r="Z754" s="123" t="e">
        <f>W754-X754-Y754</f>
        <v>#REF!</v>
      </c>
    </row>
    <row r="755" spans="1:26" ht="12.75" customHeight="1">
      <c r="A755" s="106"/>
      <c r="F755" s="82">
        <f aca="true" t="shared" si="206" ref="F755:P755">SUM(F753:F754)</f>
        <v>0</v>
      </c>
      <c r="G755" s="82">
        <f t="shared" si="206"/>
        <v>0</v>
      </c>
      <c r="H755" s="82">
        <f t="shared" si="206"/>
        <v>0</v>
      </c>
      <c r="I755" s="82">
        <f t="shared" si="206"/>
        <v>0</v>
      </c>
      <c r="J755" s="82">
        <f t="shared" si="206"/>
        <v>0</v>
      </c>
      <c r="K755" s="82">
        <f t="shared" si="206"/>
        <v>0</v>
      </c>
      <c r="L755" s="82">
        <f t="shared" si="206"/>
        <v>0</v>
      </c>
      <c r="M755" s="82">
        <f t="shared" si="206"/>
        <v>0</v>
      </c>
      <c r="N755" s="82">
        <f t="shared" si="206"/>
        <v>0</v>
      </c>
      <c r="O755" s="82">
        <f t="shared" si="206"/>
        <v>0</v>
      </c>
      <c r="P755" s="82">
        <f t="shared" si="206"/>
        <v>0</v>
      </c>
      <c r="Q755" s="83"/>
      <c r="R755" s="82" t="e">
        <f>SUM(R753:R754)</f>
        <v>#REF!</v>
      </c>
      <c r="S755" s="82" t="e">
        <f>SUM(S753:S754)</f>
        <v>#REF!</v>
      </c>
      <c r="T755" s="82">
        <f>SUM(T753:T754)</f>
        <v>0</v>
      </c>
      <c r="U755" s="82" t="e">
        <f>SUM(U753:U754)</f>
        <v>#REF!</v>
      </c>
      <c r="V755" s="83"/>
      <c r="W755" s="82" t="e">
        <f>SUM(W753:W754)</f>
        <v>#REF!</v>
      </c>
      <c r="X755" s="82" t="e">
        <f>SUM(X753:X754)</f>
        <v>#REF!</v>
      </c>
      <c r="Y755" s="82">
        <f>SUM(Y753:Y754)</f>
        <v>0</v>
      </c>
      <c r="Z755" s="82" t="e">
        <f>SUM(Z753:Z754)</f>
        <v>#REF!</v>
      </c>
    </row>
    <row r="756" spans="1:26" ht="12.75" customHeight="1">
      <c r="A756" s="106"/>
      <c r="F756" s="82">
        <f>SUM(F755:F755)</f>
        <v>0</v>
      </c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3"/>
      <c r="R756" s="82"/>
      <c r="S756" s="82"/>
      <c r="T756" s="82"/>
      <c r="U756" s="82"/>
      <c r="V756" s="83"/>
      <c r="W756" s="82"/>
      <c r="X756" s="82"/>
      <c r="Y756" s="82"/>
      <c r="Z756" s="82"/>
    </row>
    <row r="757" spans="1:26" ht="12.75" customHeight="1">
      <c r="A757" s="106"/>
      <c r="B757" s="83"/>
      <c r="F757" s="82"/>
      <c r="G757" s="82"/>
      <c r="H757" s="82"/>
      <c r="I757" s="82"/>
      <c r="J757" s="82"/>
      <c r="K757" s="82"/>
      <c r="L757" s="82"/>
      <c r="M757" s="90">
        <f>SUM(H757:L757)</f>
        <v>0</v>
      </c>
      <c r="N757" s="82"/>
      <c r="O757" s="82"/>
      <c r="P757" s="82">
        <f>+M757-N757-O757</f>
        <v>0</v>
      </c>
      <c r="Q757" s="83"/>
      <c r="R757" s="90" t="e">
        <f>+#REF!</f>
        <v>#REF!</v>
      </c>
      <c r="S757" s="82"/>
      <c r="T757" s="82"/>
      <c r="U757" s="82" t="e">
        <f>+R757-S757-T757</f>
        <v>#REF!</v>
      </c>
      <c r="V757" s="83"/>
      <c r="W757" s="90" t="e">
        <f>+#REF!</f>
        <v>#REF!</v>
      </c>
      <c r="X757" s="82"/>
      <c r="Y757" s="82"/>
      <c r="Z757" s="82" t="e">
        <f>+W757-X757-Y757</f>
        <v>#REF!</v>
      </c>
    </row>
    <row r="758" spans="1:26" ht="12.75" customHeight="1">
      <c r="A758" s="106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3"/>
      <c r="R758" s="82"/>
      <c r="S758" s="82"/>
      <c r="T758" s="82"/>
      <c r="U758" s="82"/>
      <c r="V758" s="83"/>
      <c r="W758" s="82"/>
      <c r="X758" s="82"/>
      <c r="Y758" s="82"/>
      <c r="Z758" s="82"/>
    </row>
    <row r="759" spans="1:26" ht="12.75" customHeight="1" thickBot="1">
      <c r="A759" s="106"/>
      <c r="B759" s="111" t="s">
        <v>79</v>
      </c>
      <c r="F759" s="126">
        <f>SUM(F755:F758)</f>
        <v>0</v>
      </c>
      <c r="G759" s="126">
        <f>SUM(G755:G758)</f>
        <v>0</v>
      </c>
      <c r="H759" s="126"/>
      <c r="I759" s="126"/>
      <c r="J759" s="126">
        <f>SUM(J755:J758)</f>
        <v>0</v>
      </c>
      <c r="K759" s="126"/>
      <c r="L759" s="126"/>
      <c r="M759" s="126">
        <f>SUM(M755:M758)</f>
        <v>0</v>
      </c>
      <c r="N759" s="126">
        <f>SUM(N755:N758)</f>
        <v>0</v>
      </c>
      <c r="O759" s="126"/>
      <c r="P759" s="126">
        <f>SUM(P755:P758)</f>
        <v>0</v>
      </c>
      <c r="Q759" s="83"/>
      <c r="R759" s="126" t="e">
        <f>SUM(R755:R758)</f>
        <v>#REF!</v>
      </c>
      <c r="S759" s="126" t="e">
        <f>SUM(S755:S758)</f>
        <v>#REF!</v>
      </c>
      <c r="T759" s="126">
        <f>SUM(T755:T758)</f>
        <v>0</v>
      </c>
      <c r="U759" s="126" t="e">
        <f>SUM(U755:U758)</f>
        <v>#REF!</v>
      </c>
      <c r="V759" s="83"/>
      <c r="W759" s="126" t="e">
        <f>SUM(W755:W758)</f>
        <v>#REF!</v>
      </c>
      <c r="X759" s="126" t="e">
        <f>SUM(X755:X758)</f>
        <v>#REF!</v>
      </c>
      <c r="Y759" s="126">
        <f>SUM(Y755:Y758)</f>
        <v>0</v>
      </c>
      <c r="Z759" s="126" t="e">
        <f>SUM(Z755:Z758)</f>
        <v>#REF!</v>
      </c>
    </row>
    <row r="760" spans="1:26" ht="12.75" customHeight="1" thickTop="1">
      <c r="A760" s="106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3"/>
      <c r="R760" s="82"/>
      <c r="S760" s="82"/>
      <c r="T760" s="82"/>
      <c r="U760" s="82"/>
      <c r="V760" s="83"/>
      <c r="W760" s="82"/>
      <c r="X760" s="82"/>
      <c r="Y760" s="82"/>
      <c r="Z760" s="82"/>
    </row>
    <row r="761" spans="1:26" ht="12.75" customHeight="1">
      <c r="A761" s="106"/>
      <c r="B761" s="128" t="s">
        <v>80</v>
      </c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3"/>
      <c r="R761" s="82"/>
      <c r="S761" s="82"/>
      <c r="T761" s="82"/>
      <c r="U761" s="82"/>
      <c r="V761" s="83"/>
      <c r="W761" s="82"/>
      <c r="X761" s="82"/>
      <c r="Y761" s="82"/>
      <c r="Z761" s="82"/>
    </row>
    <row r="762" spans="1:26" ht="12.75" customHeight="1">
      <c r="A762" s="106"/>
      <c r="B762" s="157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3"/>
      <c r="R762" s="82"/>
      <c r="S762" s="82"/>
      <c r="T762" s="82"/>
      <c r="U762" s="82"/>
      <c r="V762" s="83"/>
      <c r="W762" s="82"/>
      <c r="X762" s="82"/>
      <c r="Y762" s="82"/>
      <c r="Z762" s="82"/>
    </row>
    <row r="763" spans="1:26" ht="12.75" customHeight="1">
      <c r="A763" s="106"/>
      <c r="B763" s="83"/>
      <c r="F763" s="82"/>
      <c r="G763" s="82"/>
      <c r="H763" s="82"/>
      <c r="I763" s="82"/>
      <c r="J763" s="82">
        <f>+J757</f>
        <v>0</v>
      </c>
      <c r="K763" s="82"/>
      <c r="L763" s="82"/>
      <c r="M763" s="90">
        <f>SUM(H763:L763)</f>
        <v>0</v>
      </c>
      <c r="N763" s="82">
        <f>+M763*0.5</f>
        <v>0</v>
      </c>
      <c r="O763" s="82"/>
      <c r="P763" s="82">
        <f>+M763-N763</f>
        <v>0</v>
      </c>
      <c r="Q763" s="83"/>
      <c r="R763" s="90" t="e">
        <f>+#REF!</f>
        <v>#REF!</v>
      </c>
      <c r="S763" s="82"/>
      <c r="T763" s="82"/>
      <c r="U763" s="82" t="e">
        <f>+R763-S763-T763</f>
        <v>#REF!</v>
      </c>
      <c r="V763" s="83"/>
      <c r="W763" s="90" t="e">
        <f>+#REF!</f>
        <v>#REF!</v>
      </c>
      <c r="X763" s="82"/>
      <c r="Y763" s="82"/>
      <c r="Z763" s="82" t="e">
        <f>+W763-X763-Y763</f>
        <v>#REF!</v>
      </c>
    </row>
    <row r="764" spans="1:26" ht="12.75" customHeight="1" thickBot="1">
      <c r="A764" s="106"/>
      <c r="B764" s="111"/>
      <c r="F764" s="126">
        <f aca="true" t="shared" si="207" ref="F764:P764">SUM(F762:F763)</f>
        <v>0</v>
      </c>
      <c r="G764" s="126">
        <f t="shared" si="207"/>
        <v>0</v>
      </c>
      <c r="H764" s="126">
        <f t="shared" si="207"/>
        <v>0</v>
      </c>
      <c r="I764" s="126">
        <f t="shared" si="207"/>
        <v>0</v>
      </c>
      <c r="J764" s="126">
        <f t="shared" si="207"/>
        <v>0</v>
      </c>
      <c r="K764" s="126">
        <f t="shared" si="207"/>
        <v>0</v>
      </c>
      <c r="L764" s="126">
        <f t="shared" si="207"/>
        <v>0</v>
      </c>
      <c r="M764" s="126">
        <f t="shared" si="207"/>
        <v>0</v>
      </c>
      <c r="N764" s="126">
        <f t="shared" si="207"/>
        <v>0</v>
      </c>
      <c r="O764" s="126">
        <f t="shared" si="207"/>
        <v>0</v>
      </c>
      <c r="P764" s="126">
        <f t="shared" si="207"/>
        <v>0</v>
      </c>
      <c r="Q764" s="83"/>
      <c r="R764" s="126" t="e">
        <f>SUM(R762:R763)</f>
        <v>#REF!</v>
      </c>
      <c r="S764" s="126">
        <f>SUM(S762:S763)</f>
        <v>0</v>
      </c>
      <c r="T764" s="126">
        <f>SUM(T762:T763)</f>
        <v>0</v>
      </c>
      <c r="U764" s="126" t="e">
        <f>SUM(U762:U763)</f>
        <v>#REF!</v>
      </c>
      <c r="V764" s="83"/>
      <c r="W764" s="126" t="e">
        <f>SUM(W762:W763)</f>
        <v>#REF!</v>
      </c>
      <c r="X764" s="126">
        <f>SUM(X762:X763)</f>
        <v>0</v>
      </c>
      <c r="Y764" s="126">
        <f>SUM(Y762:Y763)</f>
        <v>0</v>
      </c>
      <c r="Z764" s="126" t="e">
        <f>SUM(Z762:Z763)</f>
        <v>#REF!</v>
      </c>
    </row>
    <row r="765" spans="1:26" ht="12.75" customHeight="1" thickBot="1" thickTop="1">
      <c r="A765" s="106"/>
      <c r="B765" s="118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3"/>
      <c r="R765" s="82"/>
      <c r="S765" s="82"/>
      <c r="T765" s="82"/>
      <c r="U765" s="82"/>
      <c r="V765" s="83"/>
      <c r="W765" s="82"/>
      <c r="X765" s="82"/>
      <c r="Y765" s="82"/>
      <c r="Z765" s="82"/>
    </row>
    <row r="766" spans="1:26" ht="12.75" customHeight="1">
      <c r="A766" s="106"/>
      <c r="B766" s="121" t="s">
        <v>77</v>
      </c>
      <c r="D766" s="109" t="s">
        <v>71</v>
      </c>
      <c r="E766" s="97" t="s">
        <v>72</v>
      </c>
      <c r="F766" s="97" t="s">
        <v>72</v>
      </c>
      <c r="G766" s="97" t="s">
        <v>73</v>
      </c>
      <c r="H766" s="97" t="s">
        <v>1</v>
      </c>
      <c r="I766" s="97" t="s">
        <v>74</v>
      </c>
      <c r="J766" s="97" t="s">
        <v>66</v>
      </c>
      <c r="K766" s="97" t="s">
        <v>59</v>
      </c>
      <c r="L766" s="97" t="s">
        <v>18</v>
      </c>
      <c r="M766" s="97" t="s">
        <v>1</v>
      </c>
      <c r="N766" s="97" t="s">
        <v>7</v>
      </c>
      <c r="O766" s="97" t="s">
        <v>75</v>
      </c>
      <c r="P766" s="97" t="s">
        <v>76</v>
      </c>
      <c r="Q766" s="108"/>
      <c r="R766" s="97" t="s">
        <v>1</v>
      </c>
      <c r="S766" s="97" t="s">
        <v>7</v>
      </c>
      <c r="T766" s="97" t="s">
        <v>75</v>
      </c>
      <c r="U766" s="97" t="s">
        <v>76</v>
      </c>
      <c r="V766" s="83"/>
      <c r="W766" s="97" t="s">
        <v>1</v>
      </c>
      <c r="X766" s="97" t="s">
        <v>7</v>
      </c>
      <c r="Y766" s="97" t="s">
        <v>75</v>
      </c>
      <c r="Z766" s="97" t="s">
        <v>76</v>
      </c>
    </row>
    <row r="767" spans="1:26" ht="12.75" customHeight="1">
      <c r="A767" s="106"/>
      <c r="B767" s="121"/>
      <c r="D767" s="131"/>
      <c r="E767" s="94"/>
      <c r="F767" s="90">
        <f>E767*D767</f>
        <v>0</v>
      </c>
      <c r="G767" s="94">
        <f>+F767*$C$4</f>
        <v>0</v>
      </c>
      <c r="H767" s="90">
        <f>+G767+F767</f>
        <v>0</v>
      </c>
      <c r="I767" s="94"/>
      <c r="J767" s="94">
        <f>D767*$C$7</f>
        <v>0</v>
      </c>
      <c r="K767" s="94">
        <f>D767*$C$5</f>
        <v>0</v>
      </c>
      <c r="L767" s="94">
        <f>D767*$C$6</f>
        <v>0</v>
      </c>
      <c r="M767" s="90">
        <f>SUM(H767:L767)</f>
        <v>0</v>
      </c>
      <c r="N767" s="94">
        <f>M767*$C$2</f>
        <v>0</v>
      </c>
      <c r="O767" s="90"/>
      <c r="P767" s="90">
        <f>M767-N767-O767</f>
        <v>0</v>
      </c>
      <c r="Q767" s="83"/>
      <c r="R767" s="90" t="e">
        <f>+#REF!</f>
        <v>#REF!</v>
      </c>
      <c r="S767" s="90" t="e">
        <f>+#REF!</f>
        <v>#REF!</v>
      </c>
      <c r="T767" s="90"/>
      <c r="U767" s="90" t="e">
        <f>R767-S767-T767</f>
        <v>#REF!</v>
      </c>
      <c r="V767" s="83"/>
      <c r="W767" s="90" t="e">
        <f>+#REF!</f>
        <v>#REF!</v>
      </c>
      <c r="X767" s="90" t="e">
        <f>+#REF!</f>
        <v>#REF!</v>
      </c>
      <c r="Y767" s="90"/>
      <c r="Z767" s="90" t="e">
        <f>W767-X767-Y767</f>
        <v>#REF!</v>
      </c>
    </row>
    <row r="768" spans="1:26" ht="12.75" customHeight="1" thickBot="1">
      <c r="A768" s="106"/>
      <c r="F768" s="123">
        <f>E768*D768</f>
        <v>0</v>
      </c>
      <c r="G768" s="143">
        <f>+F768*$C$4</f>
        <v>0</v>
      </c>
      <c r="H768" s="123">
        <f>+G768+F768</f>
        <v>0</v>
      </c>
      <c r="I768" s="143"/>
      <c r="J768" s="143">
        <f>D768*$C$7</f>
        <v>0</v>
      </c>
      <c r="K768" s="143">
        <f>D768*$C$5</f>
        <v>0</v>
      </c>
      <c r="L768" s="143">
        <f>D768*$C$6</f>
        <v>0</v>
      </c>
      <c r="M768" s="123">
        <f>SUM(H768:L768)</f>
        <v>0</v>
      </c>
      <c r="N768" s="143">
        <f>M768*$C$2</f>
        <v>0</v>
      </c>
      <c r="O768" s="123"/>
      <c r="P768" s="123">
        <f>M768-N768-O768</f>
        <v>0</v>
      </c>
      <c r="Q768" s="138"/>
      <c r="R768" s="123" t="e">
        <f>+#REF!</f>
        <v>#REF!</v>
      </c>
      <c r="S768" s="123" t="e">
        <f>+#REF!</f>
        <v>#REF!</v>
      </c>
      <c r="T768" s="123"/>
      <c r="U768" s="123" t="e">
        <f>R768-S768-T768</f>
        <v>#REF!</v>
      </c>
      <c r="V768" s="83"/>
      <c r="W768" s="123" t="e">
        <f>+#REF!</f>
        <v>#REF!</v>
      </c>
      <c r="X768" s="123" t="e">
        <f>+#REF!</f>
        <v>#REF!</v>
      </c>
      <c r="Y768" s="123"/>
      <c r="Z768" s="123" t="e">
        <f>W768-X768-Y768</f>
        <v>#REF!</v>
      </c>
    </row>
    <row r="769" spans="1:26" ht="12.75" customHeight="1">
      <c r="A769" s="106"/>
      <c r="F769" s="82">
        <f aca="true" t="shared" si="208" ref="F769:P769">SUM(F767:F768)</f>
        <v>0</v>
      </c>
      <c r="G769" s="82">
        <f t="shared" si="208"/>
        <v>0</v>
      </c>
      <c r="H769" s="82">
        <f t="shared" si="208"/>
        <v>0</v>
      </c>
      <c r="I769" s="82">
        <f t="shared" si="208"/>
        <v>0</v>
      </c>
      <c r="J769" s="82">
        <f t="shared" si="208"/>
        <v>0</v>
      </c>
      <c r="K769" s="82">
        <f t="shared" si="208"/>
        <v>0</v>
      </c>
      <c r="L769" s="82">
        <f t="shared" si="208"/>
        <v>0</v>
      </c>
      <c r="M769" s="82">
        <f t="shared" si="208"/>
        <v>0</v>
      </c>
      <c r="N769" s="82">
        <f t="shared" si="208"/>
        <v>0</v>
      </c>
      <c r="O769" s="82">
        <f t="shared" si="208"/>
        <v>0</v>
      </c>
      <c r="P769" s="82">
        <f t="shared" si="208"/>
        <v>0</v>
      </c>
      <c r="Q769" s="83"/>
      <c r="R769" s="82" t="e">
        <f>SUM(R767:R768)</f>
        <v>#REF!</v>
      </c>
      <c r="S769" s="82" t="e">
        <f>SUM(S767:S768)</f>
        <v>#REF!</v>
      </c>
      <c r="T769" s="82">
        <f>SUM(T767:T768)</f>
        <v>0</v>
      </c>
      <c r="U769" s="82" t="e">
        <f>SUM(U767:U768)</f>
        <v>#REF!</v>
      </c>
      <c r="V769" s="83"/>
      <c r="W769" s="82" t="e">
        <f>SUM(W767:W768)</f>
        <v>#REF!</v>
      </c>
      <c r="X769" s="82" t="e">
        <f>SUM(X767:X768)</f>
        <v>#REF!</v>
      </c>
      <c r="Y769" s="82">
        <f>SUM(Y767:Y768)</f>
        <v>0</v>
      </c>
      <c r="Z769" s="82" t="e">
        <f>SUM(Z767:Z768)</f>
        <v>#REF!</v>
      </c>
    </row>
    <row r="770" spans="1:26" ht="12.75" customHeight="1">
      <c r="A770" s="106"/>
      <c r="F770" s="82">
        <f>SUM(F769:F769)</f>
        <v>0</v>
      </c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3"/>
      <c r="R770" s="82"/>
      <c r="S770" s="82"/>
      <c r="T770" s="82"/>
      <c r="U770" s="82"/>
      <c r="V770" s="83"/>
      <c r="W770" s="82"/>
      <c r="X770" s="82"/>
      <c r="Y770" s="82"/>
      <c r="Z770" s="82"/>
    </row>
    <row r="771" spans="1:26" ht="12.75" customHeight="1">
      <c r="A771" s="106"/>
      <c r="B771" s="83"/>
      <c r="F771" s="82"/>
      <c r="G771" s="82"/>
      <c r="H771" s="82"/>
      <c r="I771" s="82"/>
      <c r="J771" s="82"/>
      <c r="K771" s="82"/>
      <c r="L771" s="82"/>
      <c r="M771" s="90">
        <f>SUM(H771:L771)</f>
        <v>0</v>
      </c>
      <c r="N771" s="82"/>
      <c r="O771" s="82"/>
      <c r="P771" s="82">
        <f>+M771-N771-O771</f>
        <v>0</v>
      </c>
      <c r="Q771" s="83"/>
      <c r="R771" s="90" t="e">
        <f>+#REF!</f>
        <v>#REF!</v>
      </c>
      <c r="S771" s="82"/>
      <c r="T771" s="82"/>
      <c r="U771" s="82" t="e">
        <f>+R771-S771-T771</f>
        <v>#REF!</v>
      </c>
      <c r="V771" s="83"/>
      <c r="W771" s="90" t="e">
        <f>+#REF!</f>
        <v>#REF!</v>
      </c>
      <c r="X771" s="82"/>
      <c r="Y771" s="82"/>
      <c r="Z771" s="82" t="e">
        <f>+W771-X771-Y771</f>
        <v>#REF!</v>
      </c>
    </row>
    <row r="772" spans="1:26" ht="12.75" customHeight="1">
      <c r="A772" s="106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3"/>
      <c r="R772" s="82"/>
      <c r="S772" s="82"/>
      <c r="T772" s="82"/>
      <c r="U772" s="82"/>
      <c r="V772" s="83"/>
      <c r="W772" s="82"/>
      <c r="X772" s="82"/>
      <c r="Y772" s="82"/>
      <c r="Z772" s="82"/>
    </row>
    <row r="773" spans="1:26" ht="12.75" customHeight="1" thickBot="1">
      <c r="A773" s="106"/>
      <c r="B773" s="111" t="s">
        <v>79</v>
      </c>
      <c r="F773" s="126">
        <f>SUM(F769:F772)</f>
        <v>0</v>
      </c>
      <c r="G773" s="126">
        <f>SUM(G769:G772)</f>
        <v>0</v>
      </c>
      <c r="H773" s="126"/>
      <c r="I773" s="126"/>
      <c r="J773" s="126">
        <f>SUM(J769:J772)</f>
        <v>0</v>
      </c>
      <c r="K773" s="126"/>
      <c r="L773" s="126"/>
      <c r="M773" s="126">
        <f>SUM(M769:M772)</f>
        <v>0</v>
      </c>
      <c r="N773" s="126">
        <f>SUM(N769:N772)</f>
        <v>0</v>
      </c>
      <c r="O773" s="126"/>
      <c r="P773" s="126">
        <f>SUM(P769:P772)</f>
        <v>0</v>
      </c>
      <c r="Q773" s="83"/>
      <c r="R773" s="126" t="e">
        <f>SUM(R769:R772)</f>
        <v>#REF!</v>
      </c>
      <c r="S773" s="126" t="e">
        <f>SUM(S769:S772)</f>
        <v>#REF!</v>
      </c>
      <c r="T773" s="126">
        <f>SUM(T769:T772)</f>
        <v>0</v>
      </c>
      <c r="U773" s="126" t="e">
        <f>SUM(U769:U772)</f>
        <v>#REF!</v>
      </c>
      <c r="V773" s="83"/>
      <c r="W773" s="126" t="e">
        <f>SUM(W769:W772)</f>
        <v>#REF!</v>
      </c>
      <c r="X773" s="126" t="e">
        <f>SUM(X769:X772)</f>
        <v>#REF!</v>
      </c>
      <c r="Y773" s="126">
        <f>SUM(Y769:Y772)</f>
        <v>0</v>
      </c>
      <c r="Z773" s="126" t="e">
        <f>SUM(Z769:Z772)</f>
        <v>#REF!</v>
      </c>
    </row>
    <row r="774" spans="1:26" ht="12.75" customHeight="1" thickTop="1">
      <c r="A774" s="106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3"/>
      <c r="R774" s="82"/>
      <c r="S774" s="82"/>
      <c r="T774" s="82"/>
      <c r="U774" s="82"/>
      <c r="V774" s="83"/>
      <c r="W774" s="82"/>
      <c r="X774" s="82"/>
      <c r="Y774" s="82"/>
      <c r="Z774" s="82"/>
    </row>
    <row r="775" spans="1:26" ht="12.75" customHeight="1">
      <c r="A775" s="106"/>
      <c r="B775" s="128" t="s">
        <v>80</v>
      </c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3"/>
      <c r="R775" s="82"/>
      <c r="S775" s="82"/>
      <c r="T775" s="82"/>
      <c r="U775" s="82"/>
      <c r="V775" s="83"/>
      <c r="W775" s="82"/>
      <c r="X775" s="82"/>
      <c r="Y775" s="82"/>
      <c r="Z775" s="82"/>
    </row>
    <row r="776" spans="1:26" ht="12.75" customHeight="1">
      <c r="A776" s="106"/>
      <c r="B776" s="157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3"/>
      <c r="R776" s="82"/>
      <c r="S776" s="82"/>
      <c r="T776" s="82"/>
      <c r="U776" s="82"/>
      <c r="V776" s="83"/>
      <c r="W776" s="82"/>
      <c r="X776" s="82"/>
      <c r="Y776" s="82"/>
      <c r="Z776" s="82"/>
    </row>
    <row r="777" spans="1:26" ht="12.75" customHeight="1">
      <c r="A777" s="106"/>
      <c r="B777" s="83"/>
      <c r="F777" s="82"/>
      <c r="G777" s="82"/>
      <c r="H777" s="82"/>
      <c r="I777" s="82"/>
      <c r="J777" s="82">
        <f>+J771</f>
        <v>0</v>
      </c>
      <c r="K777" s="82"/>
      <c r="L777" s="82"/>
      <c r="M777" s="90">
        <f>SUM(H777:L777)</f>
        <v>0</v>
      </c>
      <c r="N777" s="82">
        <f>+M777*0.5</f>
        <v>0</v>
      </c>
      <c r="O777" s="82"/>
      <c r="P777" s="82">
        <f>+M777-N777</f>
        <v>0</v>
      </c>
      <c r="Q777" s="83"/>
      <c r="R777" s="90" t="e">
        <f>+#REF!</f>
        <v>#REF!</v>
      </c>
      <c r="S777" s="82"/>
      <c r="T777" s="82"/>
      <c r="U777" s="82" t="e">
        <f>+R777-S777-T777</f>
        <v>#REF!</v>
      </c>
      <c r="V777" s="83"/>
      <c r="W777" s="90" t="e">
        <f>+#REF!</f>
        <v>#REF!</v>
      </c>
      <c r="X777" s="82"/>
      <c r="Y777" s="82"/>
      <c r="Z777" s="82" t="e">
        <f>+W777-X777-Y777</f>
        <v>#REF!</v>
      </c>
    </row>
    <row r="778" spans="1:26" ht="12.75" customHeight="1" thickBot="1">
      <c r="A778" s="106"/>
      <c r="B778" s="111"/>
      <c r="F778" s="126">
        <f aca="true" t="shared" si="209" ref="F778:P778">SUM(F776:F777)</f>
        <v>0</v>
      </c>
      <c r="G778" s="126">
        <f t="shared" si="209"/>
        <v>0</v>
      </c>
      <c r="H778" s="126">
        <f t="shared" si="209"/>
        <v>0</v>
      </c>
      <c r="I778" s="126">
        <f t="shared" si="209"/>
        <v>0</v>
      </c>
      <c r="J778" s="126">
        <f t="shared" si="209"/>
        <v>0</v>
      </c>
      <c r="K778" s="126">
        <f t="shared" si="209"/>
        <v>0</v>
      </c>
      <c r="L778" s="126">
        <f t="shared" si="209"/>
        <v>0</v>
      </c>
      <c r="M778" s="126">
        <f t="shared" si="209"/>
        <v>0</v>
      </c>
      <c r="N778" s="126">
        <f t="shared" si="209"/>
        <v>0</v>
      </c>
      <c r="O778" s="126">
        <f t="shared" si="209"/>
        <v>0</v>
      </c>
      <c r="P778" s="126">
        <f t="shared" si="209"/>
        <v>0</v>
      </c>
      <c r="Q778" s="83"/>
      <c r="R778" s="126" t="e">
        <f>SUM(R776:R777)</f>
        <v>#REF!</v>
      </c>
      <c r="S778" s="126">
        <f>SUM(S776:S777)</f>
        <v>0</v>
      </c>
      <c r="T778" s="126">
        <f>SUM(T776:T777)</f>
        <v>0</v>
      </c>
      <c r="U778" s="126" t="e">
        <f>SUM(U776:U777)</f>
        <v>#REF!</v>
      </c>
      <c r="V778" s="83"/>
      <c r="W778" s="126" t="e">
        <f>SUM(W776:W777)</f>
        <v>#REF!</v>
      </c>
      <c r="X778" s="126">
        <f>SUM(X776:X777)</f>
        <v>0</v>
      </c>
      <c r="Y778" s="126">
        <f>SUM(Y776:Y777)</f>
        <v>0</v>
      </c>
      <c r="Z778" s="126" t="e">
        <f>SUM(Z776:Z777)</f>
        <v>#REF!</v>
      </c>
    </row>
    <row r="779" spans="1:26" ht="12.75" customHeight="1" thickBot="1" thickTop="1">
      <c r="A779" s="106"/>
      <c r="B779" s="118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3"/>
      <c r="R779" s="82"/>
      <c r="S779" s="82"/>
      <c r="T779" s="82"/>
      <c r="U779" s="82"/>
      <c r="V779" s="83"/>
      <c r="W779" s="82"/>
      <c r="X779" s="82"/>
      <c r="Y779" s="82"/>
      <c r="Z779" s="82"/>
    </row>
    <row r="780" spans="1:26" ht="12.75" customHeight="1">
      <c r="A780" s="106"/>
      <c r="B780" s="121" t="s">
        <v>77</v>
      </c>
      <c r="D780" s="109" t="s">
        <v>71</v>
      </c>
      <c r="E780" s="97" t="s">
        <v>72</v>
      </c>
      <c r="F780" s="97" t="s">
        <v>72</v>
      </c>
      <c r="G780" s="97" t="s">
        <v>73</v>
      </c>
      <c r="H780" s="97" t="s">
        <v>1</v>
      </c>
      <c r="I780" s="97" t="s">
        <v>74</v>
      </c>
      <c r="J780" s="97" t="s">
        <v>66</v>
      </c>
      <c r="K780" s="97" t="s">
        <v>59</v>
      </c>
      <c r="L780" s="97" t="s">
        <v>18</v>
      </c>
      <c r="M780" s="97" t="s">
        <v>1</v>
      </c>
      <c r="N780" s="97" t="s">
        <v>7</v>
      </c>
      <c r="O780" s="97" t="s">
        <v>75</v>
      </c>
      <c r="P780" s="97" t="s">
        <v>76</v>
      </c>
      <c r="Q780" s="108"/>
      <c r="R780" s="97" t="s">
        <v>1</v>
      </c>
      <c r="S780" s="97" t="s">
        <v>7</v>
      </c>
      <c r="T780" s="97" t="s">
        <v>75</v>
      </c>
      <c r="U780" s="97" t="s">
        <v>76</v>
      </c>
      <c r="V780" s="83"/>
      <c r="W780" s="97" t="s">
        <v>1</v>
      </c>
      <c r="X780" s="97" t="s">
        <v>7</v>
      </c>
      <c r="Y780" s="97" t="s">
        <v>75</v>
      </c>
      <c r="Z780" s="97" t="s">
        <v>76</v>
      </c>
    </row>
    <row r="781" spans="1:26" ht="12.75" customHeight="1">
      <c r="A781" s="106"/>
      <c r="B781" s="121"/>
      <c r="D781" s="131"/>
      <c r="E781" s="94"/>
      <c r="F781" s="90">
        <f>E781*D781</f>
        <v>0</v>
      </c>
      <c r="G781" s="94">
        <f>+F781*$C$4</f>
        <v>0</v>
      </c>
      <c r="H781" s="90">
        <f>+G781+F781</f>
        <v>0</v>
      </c>
      <c r="I781" s="94"/>
      <c r="J781" s="94">
        <f>D781*$C$7</f>
        <v>0</v>
      </c>
      <c r="K781" s="94">
        <f>D781*$C$5</f>
        <v>0</v>
      </c>
      <c r="L781" s="94">
        <f>D781*$C$6</f>
        <v>0</v>
      </c>
      <c r="M781" s="90">
        <f>SUM(H781:L781)</f>
        <v>0</v>
      </c>
      <c r="N781" s="94">
        <f>M781*$C$2</f>
        <v>0</v>
      </c>
      <c r="O781" s="90"/>
      <c r="P781" s="90">
        <f>M781-N781-O781</f>
        <v>0</v>
      </c>
      <c r="Q781" s="83"/>
      <c r="R781" s="90" t="e">
        <f>+#REF!</f>
        <v>#REF!</v>
      </c>
      <c r="S781" s="90" t="e">
        <f>+#REF!</f>
        <v>#REF!</v>
      </c>
      <c r="T781" s="90"/>
      <c r="U781" s="90" t="e">
        <f>R781-S781-T781</f>
        <v>#REF!</v>
      </c>
      <c r="V781" s="83"/>
      <c r="W781" s="90" t="e">
        <f>+#REF!</f>
        <v>#REF!</v>
      </c>
      <c r="X781" s="90" t="e">
        <f>+#REF!</f>
        <v>#REF!</v>
      </c>
      <c r="Y781" s="90"/>
      <c r="Z781" s="90" t="e">
        <f>W781-X781-Y781</f>
        <v>#REF!</v>
      </c>
    </row>
    <row r="782" spans="1:26" ht="12.75" customHeight="1" thickBot="1">
      <c r="A782" s="106"/>
      <c r="F782" s="123">
        <f>E782*D782</f>
        <v>0</v>
      </c>
      <c r="G782" s="143">
        <f>+F782*$C$4</f>
        <v>0</v>
      </c>
      <c r="H782" s="123">
        <f>+G782+F782</f>
        <v>0</v>
      </c>
      <c r="I782" s="143"/>
      <c r="J782" s="143">
        <f>D782*$C$7</f>
        <v>0</v>
      </c>
      <c r="K782" s="143">
        <f>D782*$C$5</f>
        <v>0</v>
      </c>
      <c r="L782" s="143">
        <f>D782*$C$6</f>
        <v>0</v>
      </c>
      <c r="M782" s="123">
        <f>SUM(H782:L782)</f>
        <v>0</v>
      </c>
      <c r="N782" s="143">
        <f>M782*$C$2</f>
        <v>0</v>
      </c>
      <c r="O782" s="123"/>
      <c r="P782" s="123">
        <f>M782-N782-O782</f>
        <v>0</v>
      </c>
      <c r="Q782" s="138"/>
      <c r="R782" s="123" t="e">
        <f>+#REF!</f>
        <v>#REF!</v>
      </c>
      <c r="S782" s="123" t="e">
        <f>+#REF!</f>
        <v>#REF!</v>
      </c>
      <c r="T782" s="123"/>
      <c r="U782" s="123" t="e">
        <f>R782-S782-T782</f>
        <v>#REF!</v>
      </c>
      <c r="V782" s="83"/>
      <c r="W782" s="123" t="e">
        <f>+#REF!</f>
        <v>#REF!</v>
      </c>
      <c r="X782" s="123" t="e">
        <f>+#REF!</f>
        <v>#REF!</v>
      </c>
      <c r="Y782" s="123"/>
      <c r="Z782" s="123" t="e">
        <f>W782-X782-Y782</f>
        <v>#REF!</v>
      </c>
    </row>
    <row r="783" spans="1:26" ht="12.75" customHeight="1">
      <c r="A783" s="106"/>
      <c r="F783" s="82">
        <f aca="true" t="shared" si="210" ref="F783:P783">SUM(F781:F782)</f>
        <v>0</v>
      </c>
      <c r="G783" s="82">
        <f t="shared" si="210"/>
        <v>0</v>
      </c>
      <c r="H783" s="82">
        <f t="shared" si="210"/>
        <v>0</v>
      </c>
      <c r="I783" s="82">
        <f t="shared" si="210"/>
        <v>0</v>
      </c>
      <c r="J783" s="82">
        <f t="shared" si="210"/>
        <v>0</v>
      </c>
      <c r="K783" s="82">
        <f t="shared" si="210"/>
        <v>0</v>
      </c>
      <c r="L783" s="82">
        <f t="shared" si="210"/>
        <v>0</v>
      </c>
      <c r="M783" s="82">
        <f t="shared" si="210"/>
        <v>0</v>
      </c>
      <c r="N783" s="82">
        <f t="shared" si="210"/>
        <v>0</v>
      </c>
      <c r="O783" s="82">
        <f t="shared" si="210"/>
        <v>0</v>
      </c>
      <c r="P783" s="82">
        <f t="shared" si="210"/>
        <v>0</v>
      </c>
      <c r="Q783" s="83"/>
      <c r="R783" s="82" t="e">
        <f>SUM(R781:R782)</f>
        <v>#REF!</v>
      </c>
      <c r="S783" s="82" t="e">
        <f>SUM(S781:S782)</f>
        <v>#REF!</v>
      </c>
      <c r="T783" s="82">
        <f>SUM(T781:T782)</f>
        <v>0</v>
      </c>
      <c r="U783" s="82" t="e">
        <f>SUM(U781:U782)</f>
        <v>#REF!</v>
      </c>
      <c r="V783" s="83"/>
      <c r="W783" s="82" t="e">
        <f>SUM(W781:W782)</f>
        <v>#REF!</v>
      </c>
      <c r="X783" s="82" t="e">
        <f>SUM(X781:X782)</f>
        <v>#REF!</v>
      </c>
      <c r="Y783" s="82">
        <f>SUM(Y781:Y782)</f>
        <v>0</v>
      </c>
      <c r="Z783" s="82" t="e">
        <f>SUM(Z781:Z782)</f>
        <v>#REF!</v>
      </c>
    </row>
    <row r="784" spans="1:26" ht="12.75" customHeight="1">
      <c r="A784" s="106"/>
      <c r="F784" s="82">
        <f>SUM(F783:F783)</f>
        <v>0</v>
      </c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3"/>
      <c r="R784" s="82"/>
      <c r="S784" s="82"/>
      <c r="T784" s="82"/>
      <c r="U784" s="82"/>
      <c r="V784" s="83"/>
      <c r="W784" s="82"/>
      <c r="X784" s="82"/>
      <c r="Y784" s="82"/>
      <c r="Z784" s="82"/>
    </row>
    <row r="785" spans="1:26" ht="12.75" customHeight="1">
      <c r="A785" s="106"/>
      <c r="B785" s="83"/>
      <c r="F785" s="82"/>
      <c r="G785" s="82"/>
      <c r="H785" s="82"/>
      <c r="I785" s="82"/>
      <c r="J785" s="82"/>
      <c r="K785" s="82"/>
      <c r="L785" s="82"/>
      <c r="M785" s="90">
        <f>SUM(H785:L785)</f>
        <v>0</v>
      </c>
      <c r="N785" s="82"/>
      <c r="O785" s="82"/>
      <c r="P785" s="82">
        <f>+M785-N785-O785</f>
        <v>0</v>
      </c>
      <c r="Q785" s="83"/>
      <c r="R785" s="90" t="e">
        <f>+#REF!</f>
        <v>#REF!</v>
      </c>
      <c r="S785" s="82"/>
      <c r="T785" s="82"/>
      <c r="U785" s="82" t="e">
        <f>+R785-S785-T785</f>
        <v>#REF!</v>
      </c>
      <c r="V785" s="83"/>
      <c r="W785" s="90" t="e">
        <f>+#REF!</f>
        <v>#REF!</v>
      </c>
      <c r="X785" s="82"/>
      <c r="Y785" s="82"/>
      <c r="Z785" s="82" t="e">
        <f>+W785-X785-Y785</f>
        <v>#REF!</v>
      </c>
    </row>
    <row r="786" spans="1:26" ht="12.75" customHeight="1">
      <c r="A786" s="106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3"/>
      <c r="R786" s="82"/>
      <c r="S786" s="82"/>
      <c r="T786" s="82"/>
      <c r="U786" s="82"/>
      <c r="V786" s="83"/>
      <c r="W786" s="82"/>
      <c r="X786" s="82"/>
      <c r="Y786" s="82"/>
      <c r="Z786" s="82"/>
    </row>
    <row r="787" spans="1:26" ht="12.75" customHeight="1" thickBot="1">
      <c r="A787" s="106"/>
      <c r="B787" s="111" t="s">
        <v>79</v>
      </c>
      <c r="F787" s="126">
        <f>SUM(F783:F786)</f>
        <v>0</v>
      </c>
      <c r="G787" s="126">
        <f>SUM(G783:G786)</f>
        <v>0</v>
      </c>
      <c r="H787" s="126"/>
      <c r="I787" s="126"/>
      <c r="J787" s="126">
        <f>SUM(J783:J786)</f>
        <v>0</v>
      </c>
      <c r="K787" s="126"/>
      <c r="L787" s="126"/>
      <c r="M787" s="126">
        <f>SUM(M783:M786)</f>
        <v>0</v>
      </c>
      <c r="N787" s="126">
        <f>SUM(N783:N786)</f>
        <v>0</v>
      </c>
      <c r="O787" s="126"/>
      <c r="P787" s="126">
        <f>SUM(P783:P786)</f>
        <v>0</v>
      </c>
      <c r="Q787" s="83"/>
      <c r="R787" s="126" t="e">
        <f>SUM(R783:R786)</f>
        <v>#REF!</v>
      </c>
      <c r="S787" s="126" t="e">
        <f>SUM(S783:S786)</f>
        <v>#REF!</v>
      </c>
      <c r="T787" s="126">
        <f>SUM(T783:T786)</f>
        <v>0</v>
      </c>
      <c r="U787" s="126" t="e">
        <f>SUM(U783:U786)</f>
        <v>#REF!</v>
      </c>
      <c r="V787" s="83"/>
      <c r="W787" s="126" t="e">
        <f>SUM(W783:W786)</f>
        <v>#REF!</v>
      </c>
      <c r="X787" s="126" t="e">
        <f>SUM(X783:X786)</f>
        <v>#REF!</v>
      </c>
      <c r="Y787" s="126">
        <f>SUM(Y783:Y786)</f>
        <v>0</v>
      </c>
      <c r="Z787" s="126" t="e">
        <f>SUM(Z783:Z786)</f>
        <v>#REF!</v>
      </c>
    </row>
    <row r="788" spans="1:26" ht="12.75" customHeight="1" thickTop="1">
      <c r="A788" s="106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3"/>
      <c r="R788" s="82"/>
      <c r="S788" s="82"/>
      <c r="T788" s="82"/>
      <c r="U788" s="82"/>
      <c r="V788" s="83"/>
      <c r="W788" s="82"/>
      <c r="X788" s="82"/>
      <c r="Y788" s="82"/>
      <c r="Z788" s="82"/>
    </row>
    <row r="789" spans="1:26" ht="12.75" customHeight="1">
      <c r="A789" s="106"/>
      <c r="B789" s="128" t="s">
        <v>80</v>
      </c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3"/>
      <c r="R789" s="82"/>
      <c r="S789" s="82"/>
      <c r="T789" s="82"/>
      <c r="U789" s="82"/>
      <c r="V789" s="83"/>
      <c r="W789" s="82"/>
      <c r="X789" s="82"/>
      <c r="Y789" s="82"/>
      <c r="Z789" s="82"/>
    </row>
    <row r="790" spans="1:26" ht="12.75" customHeight="1">
      <c r="A790" s="106"/>
      <c r="B790" s="157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3"/>
      <c r="R790" s="82"/>
      <c r="S790" s="82"/>
      <c r="T790" s="82"/>
      <c r="U790" s="82"/>
      <c r="V790" s="83"/>
      <c r="W790" s="82"/>
      <c r="X790" s="82"/>
      <c r="Y790" s="82"/>
      <c r="Z790" s="82"/>
    </row>
    <row r="791" spans="1:26" ht="12.75" customHeight="1">
      <c r="A791" s="106"/>
      <c r="B791" s="83"/>
      <c r="F791" s="82"/>
      <c r="G791" s="82"/>
      <c r="H791" s="82"/>
      <c r="I791" s="82"/>
      <c r="J791" s="82">
        <f>+J785</f>
        <v>0</v>
      </c>
      <c r="K791" s="82"/>
      <c r="L791" s="82"/>
      <c r="M791" s="90">
        <f>SUM(H791:L791)</f>
        <v>0</v>
      </c>
      <c r="N791" s="82">
        <f>+M791*0.5</f>
        <v>0</v>
      </c>
      <c r="O791" s="82"/>
      <c r="P791" s="82">
        <f>+M791-N791</f>
        <v>0</v>
      </c>
      <c r="Q791" s="83"/>
      <c r="R791" s="90" t="e">
        <f>+#REF!</f>
        <v>#REF!</v>
      </c>
      <c r="S791" s="82"/>
      <c r="T791" s="82"/>
      <c r="U791" s="82" t="e">
        <f>+R791-S791-T791</f>
        <v>#REF!</v>
      </c>
      <c r="V791" s="83"/>
      <c r="W791" s="90" t="e">
        <f>+#REF!</f>
        <v>#REF!</v>
      </c>
      <c r="X791" s="82"/>
      <c r="Y791" s="82"/>
      <c r="Z791" s="82" t="e">
        <f>+W791-X791-Y791</f>
        <v>#REF!</v>
      </c>
    </row>
    <row r="792" spans="1:26" ht="12.75" customHeight="1" thickBot="1">
      <c r="A792" s="106"/>
      <c r="B792" s="111"/>
      <c r="F792" s="126">
        <f aca="true" t="shared" si="211" ref="F792:P792">SUM(F790:F791)</f>
        <v>0</v>
      </c>
      <c r="G792" s="126">
        <f t="shared" si="211"/>
        <v>0</v>
      </c>
      <c r="H792" s="126">
        <f t="shared" si="211"/>
        <v>0</v>
      </c>
      <c r="I792" s="126">
        <f t="shared" si="211"/>
        <v>0</v>
      </c>
      <c r="J792" s="126">
        <f t="shared" si="211"/>
        <v>0</v>
      </c>
      <c r="K792" s="126">
        <f t="shared" si="211"/>
        <v>0</v>
      </c>
      <c r="L792" s="126">
        <f t="shared" si="211"/>
        <v>0</v>
      </c>
      <c r="M792" s="126">
        <f t="shared" si="211"/>
        <v>0</v>
      </c>
      <c r="N792" s="126">
        <f t="shared" si="211"/>
        <v>0</v>
      </c>
      <c r="O792" s="126">
        <f t="shared" si="211"/>
        <v>0</v>
      </c>
      <c r="P792" s="126">
        <f t="shared" si="211"/>
        <v>0</v>
      </c>
      <c r="Q792" s="83"/>
      <c r="R792" s="126" t="e">
        <f>SUM(R790:R791)</f>
        <v>#REF!</v>
      </c>
      <c r="S792" s="126">
        <f>SUM(S790:S791)</f>
        <v>0</v>
      </c>
      <c r="T792" s="126">
        <f>SUM(T790:T791)</f>
        <v>0</v>
      </c>
      <c r="U792" s="126" t="e">
        <f>SUM(U790:U791)</f>
        <v>#REF!</v>
      </c>
      <c r="V792" s="83"/>
      <c r="W792" s="126" t="e">
        <f>SUM(W790:W791)</f>
        <v>#REF!</v>
      </c>
      <c r="X792" s="126">
        <f>SUM(X790:X791)</f>
        <v>0</v>
      </c>
      <c r="Y792" s="126">
        <f>SUM(Y790:Y791)</f>
        <v>0</v>
      </c>
      <c r="Z792" s="126" t="e">
        <f>SUM(Z790:Z791)</f>
        <v>#REF!</v>
      </c>
    </row>
    <row r="793" spans="1:26" ht="12.75" customHeight="1" thickBot="1" thickTop="1">
      <c r="A793" s="106"/>
      <c r="B793" s="118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3"/>
      <c r="R793" s="82"/>
      <c r="S793" s="82"/>
      <c r="T793" s="82"/>
      <c r="U793" s="82"/>
      <c r="V793" s="83"/>
      <c r="W793" s="82"/>
      <c r="X793" s="82"/>
      <c r="Y793" s="82"/>
      <c r="Z793" s="82"/>
    </row>
    <row r="794" spans="1:26" ht="12.75" customHeight="1">
      <c r="A794" s="106"/>
      <c r="B794" s="121" t="s">
        <v>77</v>
      </c>
      <c r="D794" s="109" t="s">
        <v>71</v>
      </c>
      <c r="E794" s="97" t="s">
        <v>72</v>
      </c>
      <c r="F794" s="97" t="s">
        <v>72</v>
      </c>
      <c r="G794" s="97" t="s">
        <v>73</v>
      </c>
      <c r="H794" s="97" t="s">
        <v>1</v>
      </c>
      <c r="I794" s="97" t="s">
        <v>74</v>
      </c>
      <c r="J794" s="97" t="s">
        <v>66</v>
      </c>
      <c r="K794" s="97" t="s">
        <v>59</v>
      </c>
      <c r="L794" s="97" t="s">
        <v>18</v>
      </c>
      <c r="M794" s="97" t="s">
        <v>1</v>
      </c>
      <c r="N794" s="97" t="s">
        <v>7</v>
      </c>
      <c r="O794" s="97" t="s">
        <v>75</v>
      </c>
      <c r="P794" s="97" t="s">
        <v>76</v>
      </c>
      <c r="Q794" s="108"/>
      <c r="R794" s="97" t="s">
        <v>1</v>
      </c>
      <c r="S794" s="97" t="s">
        <v>7</v>
      </c>
      <c r="T794" s="97" t="s">
        <v>75</v>
      </c>
      <c r="U794" s="97" t="s">
        <v>76</v>
      </c>
      <c r="V794" s="83"/>
      <c r="W794" s="97" t="s">
        <v>1</v>
      </c>
      <c r="X794" s="97" t="s">
        <v>7</v>
      </c>
      <c r="Y794" s="97" t="s">
        <v>75</v>
      </c>
      <c r="Z794" s="97" t="s">
        <v>76</v>
      </c>
    </row>
    <row r="795" spans="1:26" ht="12.75" customHeight="1">
      <c r="A795" s="106"/>
      <c r="B795" s="121"/>
      <c r="D795" s="131"/>
      <c r="E795" s="94"/>
      <c r="F795" s="90">
        <f>E795*D795</f>
        <v>0</v>
      </c>
      <c r="G795" s="94">
        <f>+F795*$C$4</f>
        <v>0</v>
      </c>
      <c r="H795" s="90">
        <f>+G795+F795</f>
        <v>0</v>
      </c>
      <c r="I795" s="94"/>
      <c r="J795" s="94">
        <f>D795*$C$7</f>
        <v>0</v>
      </c>
      <c r="K795" s="94">
        <f>D795*$C$5</f>
        <v>0</v>
      </c>
      <c r="L795" s="94">
        <f>D795*$C$6</f>
        <v>0</v>
      </c>
      <c r="M795" s="90">
        <f>SUM(H795:L795)</f>
        <v>0</v>
      </c>
      <c r="N795" s="94">
        <f>M795*$C$2</f>
        <v>0</v>
      </c>
      <c r="O795" s="90"/>
      <c r="P795" s="90">
        <f>M795-N795-O795</f>
        <v>0</v>
      </c>
      <c r="Q795" s="83"/>
      <c r="R795" s="90" t="e">
        <f>+#REF!</f>
        <v>#REF!</v>
      </c>
      <c r="S795" s="90" t="e">
        <f>+#REF!</f>
        <v>#REF!</v>
      </c>
      <c r="T795" s="90"/>
      <c r="U795" s="90" t="e">
        <f>R795-S795-T795</f>
        <v>#REF!</v>
      </c>
      <c r="V795" s="83"/>
      <c r="W795" s="90" t="e">
        <f>+#REF!</f>
        <v>#REF!</v>
      </c>
      <c r="X795" s="90" t="e">
        <f>+#REF!</f>
        <v>#REF!</v>
      </c>
      <c r="Y795" s="90"/>
      <c r="Z795" s="90" t="e">
        <f>W795-X795-Y795</f>
        <v>#REF!</v>
      </c>
    </row>
    <row r="796" spans="1:26" ht="12.75" customHeight="1" thickBot="1">
      <c r="A796" s="106"/>
      <c r="F796" s="123">
        <f>E796*D796</f>
        <v>0</v>
      </c>
      <c r="G796" s="143">
        <f>+F796*$C$4</f>
        <v>0</v>
      </c>
      <c r="H796" s="123">
        <f>+G796+F796</f>
        <v>0</v>
      </c>
      <c r="I796" s="143"/>
      <c r="J796" s="143">
        <f>D796*$C$7</f>
        <v>0</v>
      </c>
      <c r="K796" s="143">
        <f>D796*$C$5</f>
        <v>0</v>
      </c>
      <c r="L796" s="143">
        <f>D796*$C$6</f>
        <v>0</v>
      </c>
      <c r="M796" s="123">
        <f>SUM(H796:L796)</f>
        <v>0</v>
      </c>
      <c r="N796" s="143">
        <f>M796*$C$2</f>
        <v>0</v>
      </c>
      <c r="O796" s="123"/>
      <c r="P796" s="123">
        <f>M796-N796-O796</f>
        <v>0</v>
      </c>
      <c r="Q796" s="138"/>
      <c r="R796" s="123" t="e">
        <f>+#REF!</f>
        <v>#REF!</v>
      </c>
      <c r="S796" s="123" t="e">
        <f>+#REF!</f>
        <v>#REF!</v>
      </c>
      <c r="T796" s="123"/>
      <c r="U796" s="123" t="e">
        <f>R796-S796-T796</f>
        <v>#REF!</v>
      </c>
      <c r="V796" s="83"/>
      <c r="W796" s="123" t="e">
        <f>+#REF!</f>
        <v>#REF!</v>
      </c>
      <c r="X796" s="123" t="e">
        <f>+#REF!</f>
        <v>#REF!</v>
      </c>
      <c r="Y796" s="123"/>
      <c r="Z796" s="123" t="e">
        <f>W796-X796-Y796</f>
        <v>#REF!</v>
      </c>
    </row>
    <row r="797" spans="1:26" ht="12.75" customHeight="1">
      <c r="A797" s="106"/>
      <c r="F797" s="82">
        <f aca="true" t="shared" si="212" ref="F797:P797">SUM(F795:F796)</f>
        <v>0</v>
      </c>
      <c r="G797" s="82">
        <f t="shared" si="212"/>
        <v>0</v>
      </c>
      <c r="H797" s="82">
        <f t="shared" si="212"/>
        <v>0</v>
      </c>
      <c r="I797" s="82">
        <f t="shared" si="212"/>
        <v>0</v>
      </c>
      <c r="J797" s="82">
        <f t="shared" si="212"/>
        <v>0</v>
      </c>
      <c r="K797" s="82">
        <f t="shared" si="212"/>
        <v>0</v>
      </c>
      <c r="L797" s="82">
        <f t="shared" si="212"/>
        <v>0</v>
      </c>
      <c r="M797" s="82">
        <f t="shared" si="212"/>
        <v>0</v>
      </c>
      <c r="N797" s="82">
        <f t="shared" si="212"/>
        <v>0</v>
      </c>
      <c r="O797" s="82">
        <f t="shared" si="212"/>
        <v>0</v>
      </c>
      <c r="P797" s="82">
        <f t="shared" si="212"/>
        <v>0</v>
      </c>
      <c r="Q797" s="83"/>
      <c r="R797" s="82" t="e">
        <f>SUM(R795:R796)</f>
        <v>#REF!</v>
      </c>
      <c r="S797" s="82" t="e">
        <f>SUM(S795:S796)</f>
        <v>#REF!</v>
      </c>
      <c r="T797" s="82">
        <f>SUM(T795:T796)</f>
        <v>0</v>
      </c>
      <c r="U797" s="82" t="e">
        <f>SUM(U795:U796)</f>
        <v>#REF!</v>
      </c>
      <c r="V797" s="83"/>
      <c r="W797" s="82" t="e">
        <f>SUM(W795:W796)</f>
        <v>#REF!</v>
      </c>
      <c r="X797" s="82" t="e">
        <f>SUM(X795:X796)</f>
        <v>#REF!</v>
      </c>
      <c r="Y797" s="82">
        <f>SUM(Y795:Y796)</f>
        <v>0</v>
      </c>
      <c r="Z797" s="82" t="e">
        <f>SUM(Z795:Z796)</f>
        <v>#REF!</v>
      </c>
    </row>
    <row r="798" spans="1:26" ht="12.75" customHeight="1">
      <c r="A798" s="106"/>
      <c r="F798" s="82">
        <f>SUM(F797:F797)</f>
        <v>0</v>
      </c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3"/>
      <c r="R798" s="82"/>
      <c r="S798" s="82"/>
      <c r="T798" s="82"/>
      <c r="U798" s="82"/>
      <c r="V798" s="83"/>
      <c r="W798" s="82"/>
      <c r="X798" s="82"/>
      <c r="Y798" s="82"/>
      <c r="Z798" s="82"/>
    </row>
    <row r="799" spans="1:26" ht="12.75" customHeight="1">
      <c r="A799" s="106"/>
      <c r="B799" s="83"/>
      <c r="F799" s="82"/>
      <c r="G799" s="82"/>
      <c r="H799" s="82"/>
      <c r="I799" s="82"/>
      <c r="J799" s="82"/>
      <c r="K799" s="82"/>
      <c r="L799" s="82"/>
      <c r="M799" s="90">
        <f>SUM(H799:L799)</f>
        <v>0</v>
      </c>
      <c r="N799" s="82"/>
      <c r="O799" s="82"/>
      <c r="P799" s="82">
        <f>+M799-N799-O799</f>
        <v>0</v>
      </c>
      <c r="Q799" s="83"/>
      <c r="R799" s="90" t="e">
        <f>+#REF!</f>
        <v>#REF!</v>
      </c>
      <c r="S799" s="82"/>
      <c r="T799" s="82"/>
      <c r="U799" s="82" t="e">
        <f>+R799-S799-T799</f>
        <v>#REF!</v>
      </c>
      <c r="V799" s="83"/>
      <c r="W799" s="90" t="e">
        <f>+#REF!</f>
        <v>#REF!</v>
      </c>
      <c r="X799" s="82"/>
      <c r="Y799" s="82"/>
      <c r="Z799" s="82" t="e">
        <f>+W799-X799-Y799</f>
        <v>#REF!</v>
      </c>
    </row>
    <row r="800" spans="1:26" ht="12.75" customHeight="1">
      <c r="A800" s="106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3"/>
      <c r="R800" s="82"/>
      <c r="S800" s="82"/>
      <c r="T800" s="82"/>
      <c r="U800" s="82"/>
      <c r="V800" s="83"/>
      <c r="W800" s="82"/>
      <c r="X800" s="82"/>
      <c r="Y800" s="82"/>
      <c r="Z800" s="82"/>
    </row>
    <row r="801" spans="1:26" ht="12.75" customHeight="1" thickBot="1">
      <c r="A801" s="106"/>
      <c r="B801" s="111" t="s">
        <v>79</v>
      </c>
      <c r="F801" s="126">
        <f>SUM(F797:F800)</f>
        <v>0</v>
      </c>
      <c r="G801" s="126">
        <f>SUM(G797:G800)</f>
        <v>0</v>
      </c>
      <c r="H801" s="126"/>
      <c r="I801" s="126"/>
      <c r="J801" s="126">
        <f>SUM(J797:J800)</f>
        <v>0</v>
      </c>
      <c r="K801" s="126"/>
      <c r="L801" s="126"/>
      <c r="M801" s="126">
        <f>SUM(M797:M800)</f>
        <v>0</v>
      </c>
      <c r="N801" s="126">
        <f>SUM(N797:N800)</f>
        <v>0</v>
      </c>
      <c r="O801" s="126"/>
      <c r="P801" s="126">
        <f>SUM(P797:P800)</f>
        <v>0</v>
      </c>
      <c r="Q801" s="83"/>
      <c r="R801" s="126" t="e">
        <f>SUM(R797:R800)</f>
        <v>#REF!</v>
      </c>
      <c r="S801" s="126" t="e">
        <f>SUM(S797:S800)</f>
        <v>#REF!</v>
      </c>
      <c r="T801" s="126">
        <f>SUM(T797:T800)</f>
        <v>0</v>
      </c>
      <c r="U801" s="126" t="e">
        <f>SUM(U797:U800)</f>
        <v>#REF!</v>
      </c>
      <c r="V801" s="83"/>
      <c r="W801" s="126" t="e">
        <f>SUM(W797:W800)</f>
        <v>#REF!</v>
      </c>
      <c r="X801" s="126" t="e">
        <f>SUM(X797:X800)</f>
        <v>#REF!</v>
      </c>
      <c r="Y801" s="126">
        <f>SUM(Y797:Y800)</f>
        <v>0</v>
      </c>
      <c r="Z801" s="126" t="e">
        <f>SUM(Z797:Z800)</f>
        <v>#REF!</v>
      </c>
    </row>
    <row r="802" spans="1:26" ht="12.75" customHeight="1" thickTop="1">
      <c r="A802" s="106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3"/>
      <c r="R802" s="82"/>
      <c r="S802" s="82"/>
      <c r="T802" s="82"/>
      <c r="U802" s="82"/>
      <c r="V802" s="83"/>
      <c r="W802" s="82"/>
      <c r="X802" s="82"/>
      <c r="Y802" s="82"/>
      <c r="Z802" s="82"/>
    </row>
    <row r="803" spans="1:26" ht="12.75" customHeight="1">
      <c r="A803" s="106"/>
      <c r="B803" s="128" t="s">
        <v>80</v>
      </c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3"/>
      <c r="R803" s="82"/>
      <c r="S803" s="82"/>
      <c r="T803" s="82"/>
      <c r="U803" s="82"/>
      <c r="V803" s="83"/>
      <c r="W803" s="82"/>
      <c r="X803" s="82"/>
      <c r="Y803" s="82"/>
      <c r="Z803" s="82"/>
    </row>
    <row r="804" spans="1:26" ht="12.75" customHeight="1">
      <c r="A804" s="106"/>
      <c r="B804" s="157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3"/>
      <c r="R804" s="82"/>
      <c r="S804" s="82"/>
      <c r="T804" s="82"/>
      <c r="U804" s="82"/>
      <c r="V804" s="83"/>
      <c r="W804" s="82"/>
      <c r="X804" s="82"/>
      <c r="Y804" s="82"/>
      <c r="Z804" s="82"/>
    </row>
    <row r="805" spans="1:26" ht="12.75" customHeight="1">
      <c r="A805" s="106"/>
      <c r="B805" s="83"/>
      <c r="F805" s="82"/>
      <c r="G805" s="82"/>
      <c r="H805" s="82"/>
      <c r="I805" s="82"/>
      <c r="J805" s="82">
        <f>+J799</f>
        <v>0</v>
      </c>
      <c r="K805" s="82"/>
      <c r="L805" s="82"/>
      <c r="M805" s="90">
        <f>SUM(H805:L805)</f>
        <v>0</v>
      </c>
      <c r="N805" s="82">
        <f>+M805*0.5</f>
        <v>0</v>
      </c>
      <c r="O805" s="82"/>
      <c r="P805" s="82">
        <f>+M805-N805</f>
        <v>0</v>
      </c>
      <c r="Q805" s="83"/>
      <c r="R805" s="90" t="e">
        <f>+#REF!</f>
        <v>#REF!</v>
      </c>
      <c r="S805" s="82"/>
      <c r="T805" s="82"/>
      <c r="U805" s="82" t="e">
        <f>+R805-S805-T805</f>
        <v>#REF!</v>
      </c>
      <c r="V805" s="83"/>
      <c r="W805" s="90" t="e">
        <f>+#REF!</f>
        <v>#REF!</v>
      </c>
      <c r="X805" s="82"/>
      <c r="Y805" s="82"/>
      <c r="Z805" s="82" t="e">
        <f>+W805-X805-Y805</f>
        <v>#REF!</v>
      </c>
    </row>
    <row r="806" spans="1:26" ht="12.75" customHeight="1" thickBot="1">
      <c r="A806" s="106"/>
      <c r="B806" s="111"/>
      <c r="F806" s="126">
        <f aca="true" t="shared" si="213" ref="F806:P806">SUM(F804:F805)</f>
        <v>0</v>
      </c>
      <c r="G806" s="126">
        <f t="shared" si="213"/>
        <v>0</v>
      </c>
      <c r="H806" s="126">
        <f t="shared" si="213"/>
        <v>0</v>
      </c>
      <c r="I806" s="126">
        <f t="shared" si="213"/>
        <v>0</v>
      </c>
      <c r="J806" s="126">
        <f t="shared" si="213"/>
        <v>0</v>
      </c>
      <c r="K806" s="126">
        <f t="shared" si="213"/>
        <v>0</v>
      </c>
      <c r="L806" s="126">
        <f t="shared" si="213"/>
        <v>0</v>
      </c>
      <c r="M806" s="126">
        <f t="shared" si="213"/>
        <v>0</v>
      </c>
      <c r="N806" s="126">
        <f t="shared" si="213"/>
        <v>0</v>
      </c>
      <c r="O806" s="126">
        <f t="shared" si="213"/>
        <v>0</v>
      </c>
      <c r="P806" s="126">
        <f t="shared" si="213"/>
        <v>0</v>
      </c>
      <c r="Q806" s="83"/>
      <c r="R806" s="126" t="e">
        <f>SUM(R804:R805)</f>
        <v>#REF!</v>
      </c>
      <c r="S806" s="126">
        <f>SUM(S804:S805)</f>
        <v>0</v>
      </c>
      <c r="T806" s="126">
        <f>SUM(T804:T805)</f>
        <v>0</v>
      </c>
      <c r="U806" s="126" t="e">
        <f>SUM(U804:U805)</f>
        <v>#REF!</v>
      </c>
      <c r="V806" s="83"/>
      <c r="W806" s="126" t="e">
        <f>SUM(W804:W805)</f>
        <v>#REF!</v>
      </c>
      <c r="X806" s="126">
        <f>SUM(X804:X805)</f>
        <v>0</v>
      </c>
      <c r="Y806" s="126">
        <f>SUM(Y804:Y805)</f>
        <v>0</v>
      </c>
      <c r="Z806" s="126" t="e">
        <f>SUM(Z804:Z805)</f>
        <v>#REF!</v>
      </c>
    </row>
    <row r="807" spans="1:26" ht="12.75" customHeight="1" thickBot="1" thickTop="1">
      <c r="A807" s="106"/>
      <c r="B807" s="118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3"/>
      <c r="R807" s="82"/>
      <c r="S807" s="82"/>
      <c r="T807" s="82"/>
      <c r="U807" s="82"/>
      <c r="V807" s="83"/>
      <c r="W807" s="82"/>
      <c r="X807" s="82"/>
      <c r="Y807" s="82"/>
      <c r="Z807" s="82"/>
    </row>
    <row r="808" spans="1:26" ht="12.75" customHeight="1">
      <c r="A808" s="106"/>
      <c r="B808" s="121" t="s">
        <v>77</v>
      </c>
      <c r="D808" s="109" t="s">
        <v>71</v>
      </c>
      <c r="E808" s="97" t="s">
        <v>72</v>
      </c>
      <c r="F808" s="97" t="s">
        <v>72</v>
      </c>
      <c r="G808" s="97" t="s">
        <v>73</v>
      </c>
      <c r="H808" s="97" t="s">
        <v>1</v>
      </c>
      <c r="I808" s="97" t="s">
        <v>74</v>
      </c>
      <c r="J808" s="97" t="s">
        <v>66</v>
      </c>
      <c r="K808" s="97" t="s">
        <v>59</v>
      </c>
      <c r="L808" s="97" t="s">
        <v>18</v>
      </c>
      <c r="M808" s="97" t="s">
        <v>1</v>
      </c>
      <c r="N808" s="97" t="s">
        <v>7</v>
      </c>
      <c r="O808" s="97" t="s">
        <v>75</v>
      </c>
      <c r="P808" s="97" t="s">
        <v>76</v>
      </c>
      <c r="Q808" s="108"/>
      <c r="R808" s="97" t="s">
        <v>1</v>
      </c>
      <c r="S808" s="97" t="s">
        <v>7</v>
      </c>
      <c r="T808" s="97" t="s">
        <v>75</v>
      </c>
      <c r="U808" s="97" t="s">
        <v>76</v>
      </c>
      <c r="V808" s="83"/>
      <c r="W808" s="97" t="s">
        <v>1</v>
      </c>
      <c r="X808" s="97" t="s">
        <v>7</v>
      </c>
      <c r="Y808" s="97" t="s">
        <v>75</v>
      </c>
      <c r="Z808" s="97" t="s">
        <v>76</v>
      </c>
    </row>
    <row r="809" spans="1:26" ht="12.75" customHeight="1">
      <c r="A809" s="106"/>
      <c r="B809" s="121"/>
      <c r="D809" s="131"/>
      <c r="E809" s="94"/>
      <c r="F809" s="90">
        <f>E809*D809</f>
        <v>0</v>
      </c>
      <c r="G809" s="94">
        <f>+F809*$C$4</f>
        <v>0</v>
      </c>
      <c r="H809" s="90">
        <f>+G809+F809</f>
        <v>0</v>
      </c>
      <c r="I809" s="94"/>
      <c r="J809" s="94">
        <f>D809*$C$7</f>
        <v>0</v>
      </c>
      <c r="K809" s="94">
        <f>D809*$C$5</f>
        <v>0</v>
      </c>
      <c r="L809" s="94">
        <f>D809*$C$6</f>
        <v>0</v>
      </c>
      <c r="M809" s="90">
        <f>SUM(H809:L809)</f>
        <v>0</v>
      </c>
      <c r="N809" s="94">
        <f>M809*$C$2</f>
        <v>0</v>
      </c>
      <c r="O809" s="90"/>
      <c r="P809" s="90">
        <f>M809-N809-O809</f>
        <v>0</v>
      </c>
      <c r="Q809" s="83"/>
      <c r="R809" s="90" t="e">
        <f>+#REF!</f>
        <v>#REF!</v>
      </c>
      <c r="S809" s="90" t="e">
        <f>+#REF!</f>
        <v>#REF!</v>
      </c>
      <c r="T809" s="90"/>
      <c r="U809" s="90" t="e">
        <f>R809-S809-T809</f>
        <v>#REF!</v>
      </c>
      <c r="V809" s="83"/>
      <c r="W809" s="90" t="e">
        <f>+#REF!</f>
        <v>#REF!</v>
      </c>
      <c r="X809" s="90" t="e">
        <f>+#REF!</f>
        <v>#REF!</v>
      </c>
      <c r="Y809" s="90"/>
      <c r="Z809" s="90" t="e">
        <f>W809-X809-Y809</f>
        <v>#REF!</v>
      </c>
    </row>
    <row r="810" spans="1:26" ht="12.75" customHeight="1" thickBot="1">
      <c r="A810" s="106"/>
      <c r="F810" s="123">
        <f>E810*D810</f>
        <v>0</v>
      </c>
      <c r="G810" s="143">
        <f>+F810*$C$4</f>
        <v>0</v>
      </c>
      <c r="H810" s="123">
        <f>+G810+F810</f>
        <v>0</v>
      </c>
      <c r="I810" s="143"/>
      <c r="J810" s="143">
        <f>D810*$C$7</f>
        <v>0</v>
      </c>
      <c r="K810" s="143">
        <f>D810*$C$5</f>
        <v>0</v>
      </c>
      <c r="L810" s="143">
        <f>D810*$C$6</f>
        <v>0</v>
      </c>
      <c r="M810" s="123">
        <f>SUM(H810:L810)</f>
        <v>0</v>
      </c>
      <c r="N810" s="143">
        <f>M810*$C$2</f>
        <v>0</v>
      </c>
      <c r="O810" s="123"/>
      <c r="P810" s="123">
        <f>M810-N810-O810</f>
        <v>0</v>
      </c>
      <c r="Q810" s="138"/>
      <c r="R810" s="123" t="e">
        <f>+#REF!</f>
        <v>#REF!</v>
      </c>
      <c r="S810" s="123" t="e">
        <f>+#REF!</f>
        <v>#REF!</v>
      </c>
      <c r="T810" s="123"/>
      <c r="U810" s="123" t="e">
        <f>R810-S810-T810</f>
        <v>#REF!</v>
      </c>
      <c r="V810" s="83"/>
      <c r="W810" s="123" t="e">
        <f>+#REF!</f>
        <v>#REF!</v>
      </c>
      <c r="X810" s="123" t="e">
        <f>+#REF!</f>
        <v>#REF!</v>
      </c>
      <c r="Y810" s="123"/>
      <c r="Z810" s="123" t="e">
        <f>W810-X810-Y810</f>
        <v>#REF!</v>
      </c>
    </row>
    <row r="811" spans="1:26" ht="12.75" customHeight="1">
      <c r="A811" s="106"/>
      <c r="F811" s="82">
        <f aca="true" t="shared" si="214" ref="F811:P811">SUM(F809:F810)</f>
        <v>0</v>
      </c>
      <c r="G811" s="82">
        <f t="shared" si="214"/>
        <v>0</v>
      </c>
      <c r="H811" s="82">
        <f t="shared" si="214"/>
        <v>0</v>
      </c>
      <c r="I811" s="82">
        <f t="shared" si="214"/>
        <v>0</v>
      </c>
      <c r="J811" s="82">
        <f t="shared" si="214"/>
        <v>0</v>
      </c>
      <c r="K811" s="82">
        <f t="shared" si="214"/>
        <v>0</v>
      </c>
      <c r="L811" s="82">
        <f t="shared" si="214"/>
        <v>0</v>
      </c>
      <c r="M811" s="82">
        <f t="shared" si="214"/>
        <v>0</v>
      </c>
      <c r="N811" s="82">
        <f t="shared" si="214"/>
        <v>0</v>
      </c>
      <c r="O811" s="82">
        <f t="shared" si="214"/>
        <v>0</v>
      </c>
      <c r="P811" s="82">
        <f t="shared" si="214"/>
        <v>0</v>
      </c>
      <c r="Q811" s="83"/>
      <c r="R811" s="82" t="e">
        <f>SUM(R809:R810)</f>
        <v>#REF!</v>
      </c>
      <c r="S811" s="82" t="e">
        <f>SUM(S809:S810)</f>
        <v>#REF!</v>
      </c>
      <c r="T811" s="82">
        <f>SUM(T809:T810)</f>
        <v>0</v>
      </c>
      <c r="U811" s="82" t="e">
        <f>SUM(U809:U810)</f>
        <v>#REF!</v>
      </c>
      <c r="V811" s="83"/>
      <c r="W811" s="82" t="e">
        <f>SUM(W809:W810)</f>
        <v>#REF!</v>
      </c>
      <c r="X811" s="82" t="e">
        <f>SUM(X809:X810)</f>
        <v>#REF!</v>
      </c>
      <c r="Y811" s="82">
        <f>SUM(Y809:Y810)</f>
        <v>0</v>
      </c>
      <c r="Z811" s="82" t="e">
        <f>SUM(Z809:Z810)</f>
        <v>#REF!</v>
      </c>
    </row>
    <row r="812" spans="1:26" ht="12.75" customHeight="1">
      <c r="A812" s="106"/>
      <c r="F812" s="82">
        <f>SUM(F811:F811)</f>
        <v>0</v>
      </c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3"/>
      <c r="R812" s="82"/>
      <c r="S812" s="82"/>
      <c r="T812" s="82"/>
      <c r="U812" s="82"/>
      <c r="V812" s="83"/>
      <c r="W812" s="82"/>
      <c r="X812" s="82"/>
      <c r="Y812" s="82"/>
      <c r="Z812" s="82"/>
    </row>
    <row r="813" spans="1:26" ht="12.75" customHeight="1">
      <c r="A813" s="106"/>
      <c r="B813" s="83"/>
      <c r="F813" s="82"/>
      <c r="G813" s="82"/>
      <c r="H813" s="82"/>
      <c r="I813" s="82"/>
      <c r="J813" s="82"/>
      <c r="K813" s="82"/>
      <c r="L813" s="82"/>
      <c r="M813" s="90">
        <f>SUM(H813:L813)</f>
        <v>0</v>
      </c>
      <c r="N813" s="82"/>
      <c r="O813" s="82"/>
      <c r="P813" s="82">
        <f>+M813-N813-O813</f>
        <v>0</v>
      </c>
      <c r="Q813" s="83"/>
      <c r="R813" s="90" t="e">
        <f>+#REF!</f>
        <v>#REF!</v>
      </c>
      <c r="S813" s="82"/>
      <c r="T813" s="82"/>
      <c r="U813" s="82" t="e">
        <f>+R813-S813-T813</f>
        <v>#REF!</v>
      </c>
      <c r="V813" s="83"/>
      <c r="W813" s="90" t="e">
        <f>+#REF!</f>
        <v>#REF!</v>
      </c>
      <c r="X813" s="82"/>
      <c r="Y813" s="82"/>
      <c r="Z813" s="82" t="e">
        <f>+W813-X813-Y813</f>
        <v>#REF!</v>
      </c>
    </row>
    <row r="814" spans="1:26" ht="12.75" customHeight="1">
      <c r="A814" s="106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3"/>
      <c r="R814" s="82"/>
      <c r="S814" s="82"/>
      <c r="T814" s="82"/>
      <c r="U814" s="82"/>
      <c r="V814" s="83"/>
      <c r="W814" s="82"/>
      <c r="X814" s="82"/>
      <c r="Y814" s="82"/>
      <c r="Z814" s="82"/>
    </row>
    <row r="815" spans="1:26" ht="12.75" customHeight="1" thickBot="1">
      <c r="A815" s="106"/>
      <c r="B815" s="111" t="s">
        <v>79</v>
      </c>
      <c r="F815" s="126">
        <f>SUM(F811:F814)</f>
        <v>0</v>
      </c>
      <c r="G815" s="126">
        <f>SUM(G811:G814)</f>
        <v>0</v>
      </c>
      <c r="H815" s="126"/>
      <c r="I815" s="126"/>
      <c r="J815" s="126">
        <f>SUM(J811:J814)</f>
        <v>0</v>
      </c>
      <c r="K815" s="126"/>
      <c r="L815" s="126"/>
      <c r="M815" s="126">
        <f>SUM(M811:M814)</f>
        <v>0</v>
      </c>
      <c r="N815" s="126">
        <f>SUM(N811:N814)</f>
        <v>0</v>
      </c>
      <c r="O815" s="126"/>
      <c r="P815" s="126">
        <f>SUM(P811:P814)</f>
        <v>0</v>
      </c>
      <c r="Q815" s="83"/>
      <c r="R815" s="126" t="e">
        <f>SUM(R811:R814)</f>
        <v>#REF!</v>
      </c>
      <c r="S815" s="126" t="e">
        <f>SUM(S811:S814)</f>
        <v>#REF!</v>
      </c>
      <c r="T815" s="126">
        <f>SUM(T811:T814)</f>
        <v>0</v>
      </c>
      <c r="U815" s="126" t="e">
        <f>SUM(U811:U814)</f>
        <v>#REF!</v>
      </c>
      <c r="V815" s="83"/>
      <c r="W815" s="126" t="e">
        <f>SUM(W811:W814)</f>
        <v>#REF!</v>
      </c>
      <c r="X815" s="126" t="e">
        <f>SUM(X811:X814)</f>
        <v>#REF!</v>
      </c>
      <c r="Y815" s="126">
        <f>SUM(Y811:Y814)</f>
        <v>0</v>
      </c>
      <c r="Z815" s="126" t="e">
        <f>SUM(Z811:Z814)</f>
        <v>#REF!</v>
      </c>
    </row>
    <row r="816" spans="1:26" ht="12.75" customHeight="1" thickTop="1">
      <c r="A816" s="106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3"/>
      <c r="R816" s="82"/>
      <c r="S816" s="82"/>
      <c r="T816" s="82"/>
      <c r="U816" s="82"/>
      <c r="V816" s="83"/>
      <c r="W816" s="82"/>
      <c r="X816" s="82"/>
      <c r="Y816" s="82"/>
      <c r="Z816" s="82"/>
    </row>
    <row r="817" spans="1:26" ht="12.75" customHeight="1">
      <c r="A817" s="106"/>
      <c r="B817" s="128" t="s">
        <v>80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3"/>
      <c r="R817" s="82"/>
      <c r="S817" s="82"/>
      <c r="T817" s="82"/>
      <c r="U817" s="82"/>
      <c r="V817" s="83"/>
      <c r="W817" s="82"/>
      <c r="X817" s="82"/>
      <c r="Y817" s="82"/>
      <c r="Z817" s="82"/>
    </row>
    <row r="818" spans="1:26" ht="12.75" customHeight="1">
      <c r="A818" s="106"/>
      <c r="B818" s="157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3"/>
      <c r="R818" s="82"/>
      <c r="S818" s="82"/>
      <c r="T818" s="82"/>
      <c r="U818" s="82"/>
      <c r="V818" s="83"/>
      <c r="W818" s="82"/>
      <c r="X818" s="82"/>
      <c r="Y818" s="82"/>
      <c r="Z818" s="82"/>
    </row>
    <row r="819" spans="1:26" ht="12.75" customHeight="1">
      <c r="A819" s="106"/>
      <c r="B819" s="83"/>
      <c r="F819" s="82"/>
      <c r="G819" s="82"/>
      <c r="H819" s="82"/>
      <c r="I819" s="82"/>
      <c r="J819" s="82">
        <f>+J813</f>
        <v>0</v>
      </c>
      <c r="K819" s="82"/>
      <c r="L819" s="82"/>
      <c r="M819" s="90">
        <f>SUM(H819:L819)</f>
        <v>0</v>
      </c>
      <c r="N819" s="82">
        <f>+M819*0.5</f>
        <v>0</v>
      </c>
      <c r="O819" s="82"/>
      <c r="P819" s="82">
        <f>+M819-N819</f>
        <v>0</v>
      </c>
      <c r="Q819" s="83"/>
      <c r="R819" s="90" t="e">
        <f>+#REF!</f>
        <v>#REF!</v>
      </c>
      <c r="S819" s="82"/>
      <c r="T819" s="82"/>
      <c r="U819" s="82" t="e">
        <f>+R819-S819-T819</f>
        <v>#REF!</v>
      </c>
      <c r="V819" s="83"/>
      <c r="W819" s="90" t="e">
        <f>+#REF!</f>
        <v>#REF!</v>
      </c>
      <c r="X819" s="82"/>
      <c r="Y819" s="82"/>
      <c r="Z819" s="82" t="e">
        <f>+W819-X819-Y819</f>
        <v>#REF!</v>
      </c>
    </row>
    <row r="820" spans="1:26" ht="12.75" customHeight="1" thickBot="1">
      <c r="A820" s="106"/>
      <c r="B820" s="111"/>
      <c r="F820" s="126">
        <f aca="true" t="shared" si="215" ref="F820:P820">SUM(F818:F819)</f>
        <v>0</v>
      </c>
      <c r="G820" s="126">
        <f t="shared" si="215"/>
        <v>0</v>
      </c>
      <c r="H820" s="126">
        <f t="shared" si="215"/>
        <v>0</v>
      </c>
      <c r="I820" s="126">
        <f t="shared" si="215"/>
        <v>0</v>
      </c>
      <c r="J820" s="126">
        <f t="shared" si="215"/>
        <v>0</v>
      </c>
      <c r="K820" s="126">
        <f t="shared" si="215"/>
        <v>0</v>
      </c>
      <c r="L820" s="126">
        <f t="shared" si="215"/>
        <v>0</v>
      </c>
      <c r="M820" s="126">
        <f t="shared" si="215"/>
        <v>0</v>
      </c>
      <c r="N820" s="126">
        <f t="shared" si="215"/>
        <v>0</v>
      </c>
      <c r="O820" s="126">
        <f t="shared" si="215"/>
        <v>0</v>
      </c>
      <c r="P820" s="126">
        <f t="shared" si="215"/>
        <v>0</v>
      </c>
      <c r="Q820" s="83"/>
      <c r="R820" s="126" t="e">
        <f>SUM(R818:R819)</f>
        <v>#REF!</v>
      </c>
      <c r="S820" s="126">
        <f>SUM(S818:S819)</f>
        <v>0</v>
      </c>
      <c r="T820" s="126">
        <f>SUM(T818:T819)</f>
        <v>0</v>
      </c>
      <c r="U820" s="126" t="e">
        <f>SUM(U818:U819)</f>
        <v>#REF!</v>
      </c>
      <c r="V820" s="83"/>
      <c r="W820" s="126" t="e">
        <f>SUM(W818:W819)</f>
        <v>#REF!</v>
      </c>
      <c r="X820" s="126">
        <f>SUM(X818:X819)</f>
        <v>0</v>
      </c>
      <c r="Y820" s="126">
        <f>SUM(Y818:Y819)</f>
        <v>0</v>
      </c>
      <c r="Z820" s="126" t="e">
        <f>SUM(Z818:Z819)</f>
        <v>#REF!</v>
      </c>
    </row>
    <row r="821" spans="1:26" ht="12.75" customHeight="1" thickBot="1" thickTop="1">
      <c r="A821" s="106"/>
      <c r="B821" s="118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3"/>
      <c r="R821" s="82"/>
      <c r="S821" s="82"/>
      <c r="T821" s="82"/>
      <c r="U821" s="82"/>
      <c r="V821" s="83"/>
      <c r="W821" s="82"/>
      <c r="X821" s="82"/>
      <c r="Y821" s="82"/>
      <c r="Z821" s="82"/>
    </row>
    <row r="822" spans="1:26" ht="12.75" customHeight="1">
      <c r="A822" s="106"/>
      <c r="B822" s="121" t="s">
        <v>77</v>
      </c>
      <c r="D822" s="109" t="s">
        <v>71</v>
      </c>
      <c r="E822" s="97" t="s">
        <v>72</v>
      </c>
      <c r="F822" s="97" t="s">
        <v>72</v>
      </c>
      <c r="G822" s="97" t="s">
        <v>73</v>
      </c>
      <c r="H822" s="97" t="s">
        <v>1</v>
      </c>
      <c r="I822" s="97" t="s">
        <v>74</v>
      </c>
      <c r="J822" s="97" t="s">
        <v>66</v>
      </c>
      <c r="K822" s="97" t="s">
        <v>59</v>
      </c>
      <c r="L822" s="97" t="s">
        <v>18</v>
      </c>
      <c r="M822" s="97" t="s">
        <v>1</v>
      </c>
      <c r="N822" s="97" t="s">
        <v>7</v>
      </c>
      <c r="O822" s="97" t="s">
        <v>75</v>
      </c>
      <c r="P822" s="97" t="s">
        <v>76</v>
      </c>
      <c r="Q822" s="108"/>
      <c r="R822" s="97" t="s">
        <v>1</v>
      </c>
      <c r="S822" s="97" t="s">
        <v>7</v>
      </c>
      <c r="T822" s="97" t="s">
        <v>75</v>
      </c>
      <c r="U822" s="97" t="s">
        <v>76</v>
      </c>
      <c r="V822" s="83"/>
      <c r="W822" s="97" t="s">
        <v>1</v>
      </c>
      <c r="X822" s="97" t="s">
        <v>7</v>
      </c>
      <c r="Y822" s="97" t="s">
        <v>75</v>
      </c>
      <c r="Z822" s="97" t="s">
        <v>76</v>
      </c>
    </row>
    <row r="823" spans="1:26" ht="12.75" customHeight="1">
      <c r="A823" s="106"/>
      <c r="B823" s="121"/>
      <c r="D823" s="131"/>
      <c r="E823" s="94"/>
      <c r="F823" s="90">
        <f>E823*D823</f>
        <v>0</v>
      </c>
      <c r="G823" s="94">
        <f>+F823*$C$4</f>
        <v>0</v>
      </c>
      <c r="H823" s="90">
        <f>+G823+F823</f>
        <v>0</v>
      </c>
      <c r="I823" s="94"/>
      <c r="J823" s="94">
        <f>D823*$C$7</f>
        <v>0</v>
      </c>
      <c r="K823" s="94">
        <f>D823*$C$5</f>
        <v>0</v>
      </c>
      <c r="L823" s="94">
        <f>D823*$C$6</f>
        <v>0</v>
      </c>
      <c r="M823" s="90">
        <f>SUM(H823:L823)</f>
        <v>0</v>
      </c>
      <c r="N823" s="94">
        <f>M823*$C$2</f>
        <v>0</v>
      </c>
      <c r="O823" s="90"/>
      <c r="P823" s="90">
        <f>M823-N823-O823</f>
        <v>0</v>
      </c>
      <c r="Q823" s="83"/>
      <c r="R823" s="90" t="e">
        <f>+#REF!</f>
        <v>#REF!</v>
      </c>
      <c r="S823" s="90" t="e">
        <f>+#REF!</f>
        <v>#REF!</v>
      </c>
      <c r="T823" s="90"/>
      <c r="U823" s="90" t="e">
        <f>R823-S823-T823</f>
        <v>#REF!</v>
      </c>
      <c r="V823" s="83"/>
      <c r="W823" s="90" t="e">
        <f>+#REF!</f>
        <v>#REF!</v>
      </c>
      <c r="X823" s="90" t="e">
        <f>+#REF!</f>
        <v>#REF!</v>
      </c>
      <c r="Y823" s="90"/>
      <c r="Z823" s="90" t="e">
        <f>W823-X823-Y823</f>
        <v>#REF!</v>
      </c>
    </row>
    <row r="824" spans="1:26" ht="12.75" customHeight="1" thickBot="1">
      <c r="A824" s="106"/>
      <c r="F824" s="123">
        <f>E824*D824</f>
        <v>0</v>
      </c>
      <c r="G824" s="143">
        <f>+F824*$C$4</f>
        <v>0</v>
      </c>
      <c r="H824" s="123">
        <f>+G824+F824</f>
        <v>0</v>
      </c>
      <c r="I824" s="143"/>
      <c r="J824" s="143">
        <f>D824*$C$7</f>
        <v>0</v>
      </c>
      <c r="K824" s="143">
        <f>D824*$C$5</f>
        <v>0</v>
      </c>
      <c r="L824" s="143">
        <f>D824*$C$6</f>
        <v>0</v>
      </c>
      <c r="M824" s="123">
        <f>SUM(H824:L824)</f>
        <v>0</v>
      </c>
      <c r="N824" s="143">
        <f>M824*$C$2</f>
        <v>0</v>
      </c>
      <c r="O824" s="123"/>
      <c r="P824" s="123">
        <f>M824-N824-O824</f>
        <v>0</v>
      </c>
      <c r="Q824" s="138"/>
      <c r="R824" s="123" t="e">
        <f>+#REF!</f>
        <v>#REF!</v>
      </c>
      <c r="S824" s="123" t="e">
        <f>+#REF!</f>
        <v>#REF!</v>
      </c>
      <c r="T824" s="123"/>
      <c r="U824" s="123" t="e">
        <f>R824-S824-T824</f>
        <v>#REF!</v>
      </c>
      <c r="V824" s="83"/>
      <c r="W824" s="123" t="e">
        <f>+#REF!</f>
        <v>#REF!</v>
      </c>
      <c r="X824" s="123" t="e">
        <f>+#REF!</f>
        <v>#REF!</v>
      </c>
      <c r="Y824" s="123"/>
      <c r="Z824" s="123" t="e">
        <f>W824-X824-Y824</f>
        <v>#REF!</v>
      </c>
    </row>
    <row r="825" spans="1:26" ht="12.75" customHeight="1">
      <c r="A825" s="106"/>
      <c r="F825" s="82">
        <f aca="true" t="shared" si="216" ref="F825:P825">SUM(F823:F824)</f>
        <v>0</v>
      </c>
      <c r="G825" s="82">
        <f t="shared" si="216"/>
        <v>0</v>
      </c>
      <c r="H825" s="82">
        <f t="shared" si="216"/>
        <v>0</v>
      </c>
      <c r="I825" s="82">
        <f t="shared" si="216"/>
        <v>0</v>
      </c>
      <c r="J825" s="82">
        <f t="shared" si="216"/>
        <v>0</v>
      </c>
      <c r="K825" s="82">
        <f t="shared" si="216"/>
        <v>0</v>
      </c>
      <c r="L825" s="82">
        <f t="shared" si="216"/>
        <v>0</v>
      </c>
      <c r="M825" s="82">
        <f t="shared" si="216"/>
        <v>0</v>
      </c>
      <c r="N825" s="82">
        <f t="shared" si="216"/>
        <v>0</v>
      </c>
      <c r="O825" s="82">
        <f t="shared" si="216"/>
        <v>0</v>
      </c>
      <c r="P825" s="82">
        <f t="shared" si="216"/>
        <v>0</v>
      </c>
      <c r="Q825" s="83"/>
      <c r="R825" s="82" t="e">
        <f>SUM(R823:R824)</f>
        <v>#REF!</v>
      </c>
      <c r="S825" s="82" t="e">
        <f>SUM(S823:S824)</f>
        <v>#REF!</v>
      </c>
      <c r="T825" s="82">
        <f>SUM(T823:T824)</f>
        <v>0</v>
      </c>
      <c r="U825" s="82" t="e">
        <f>SUM(U823:U824)</f>
        <v>#REF!</v>
      </c>
      <c r="V825" s="83"/>
      <c r="W825" s="82" t="e">
        <f>SUM(W823:W824)</f>
        <v>#REF!</v>
      </c>
      <c r="X825" s="82" t="e">
        <f>SUM(X823:X824)</f>
        <v>#REF!</v>
      </c>
      <c r="Y825" s="82">
        <f>SUM(Y823:Y824)</f>
        <v>0</v>
      </c>
      <c r="Z825" s="82" t="e">
        <f>SUM(Z823:Z824)</f>
        <v>#REF!</v>
      </c>
    </row>
    <row r="826" spans="1:26" ht="12.75" customHeight="1">
      <c r="A826" s="106"/>
      <c r="F826" s="82">
        <f>SUM(F825:F825)</f>
        <v>0</v>
      </c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3"/>
      <c r="R826" s="82"/>
      <c r="S826" s="82"/>
      <c r="T826" s="82"/>
      <c r="U826" s="82"/>
      <c r="V826" s="83"/>
      <c r="W826" s="82"/>
      <c r="X826" s="82"/>
      <c r="Y826" s="82"/>
      <c r="Z826" s="82"/>
    </row>
    <row r="827" spans="1:26" ht="12.75" customHeight="1">
      <c r="A827" s="106"/>
      <c r="B827" s="83"/>
      <c r="F827" s="82"/>
      <c r="G827" s="82"/>
      <c r="H827" s="82"/>
      <c r="I827" s="82"/>
      <c r="J827" s="82"/>
      <c r="K827" s="82"/>
      <c r="L827" s="82"/>
      <c r="M827" s="90">
        <f>SUM(H827:L827)</f>
        <v>0</v>
      </c>
      <c r="N827" s="82"/>
      <c r="O827" s="82"/>
      <c r="P827" s="82">
        <f>+M827-N827-O827</f>
        <v>0</v>
      </c>
      <c r="Q827" s="83"/>
      <c r="R827" s="90" t="e">
        <f>+#REF!</f>
        <v>#REF!</v>
      </c>
      <c r="S827" s="82"/>
      <c r="T827" s="82"/>
      <c r="U827" s="82" t="e">
        <f>+R827-S827-T827</f>
        <v>#REF!</v>
      </c>
      <c r="V827" s="83"/>
      <c r="W827" s="90" t="e">
        <f>+#REF!</f>
        <v>#REF!</v>
      </c>
      <c r="X827" s="82"/>
      <c r="Y827" s="82"/>
      <c r="Z827" s="82" t="e">
        <f>+W827-X827-Y827</f>
        <v>#REF!</v>
      </c>
    </row>
    <row r="828" spans="1:26" ht="12.75" customHeight="1">
      <c r="A828" s="106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3"/>
      <c r="R828" s="82"/>
      <c r="S828" s="82"/>
      <c r="T828" s="82"/>
      <c r="U828" s="82"/>
      <c r="V828" s="83"/>
      <c r="W828" s="82"/>
      <c r="X828" s="82"/>
      <c r="Y828" s="82"/>
      <c r="Z828" s="82"/>
    </row>
    <row r="829" spans="1:26" ht="12.75" customHeight="1" thickBot="1">
      <c r="A829" s="106"/>
      <c r="B829" s="111" t="s">
        <v>79</v>
      </c>
      <c r="F829" s="126">
        <f>SUM(F825:F828)</f>
        <v>0</v>
      </c>
      <c r="G829" s="126">
        <f>SUM(G825:G828)</f>
        <v>0</v>
      </c>
      <c r="H829" s="126"/>
      <c r="I829" s="126"/>
      <c r="J829" s="126">
        <f>SUM(J825:J828)</f>
        <v>0</v>
      </c>
      <c r="K829" s="126"/>
      <c r="L829" s="126"/>
      <c r="M829" s="126">
        <f>SUM(M825:M828)</f>
        <v>0</v>
      </c>
      <c r="N829" s="126">
        <f>SUM(N825:N828)</f>
        <v>0</v>
      </c>
      <c r="O829" s="126"/>
      <c r="P829" s="126">
        <f>SUM(P825:P828)</f>
        <v>0</v>
      </c>
      <c r="Q829" s="83"/>
      <c r="R829" s="126" t="e">
        <f>SUM(R825:R828)</f>
        <v>#REF!</v>
      </c>
      <c r="S829" s="126" t="e">
        <f>SUM(S825:S828)</f>
        <v>#REF!</v>
      </c>
      <c r="T829" s="126">
        <f>SUM(T825:T828)</f>
        <v>0</v>
      </c>
      <c r="U829" s="126" t="e">
        <f>SUM(U825:U828)</f>
        <v>#REF!</v>
      </c>
      <c r="V829" s="83"/>
      <c r="W829" s="126" t="e">
        <f>SUM(W825:W828)</f>
        <v>#REF!</v>
      </c>
      <c r="X829" s="126" t="e">
        <f>SUM(X825:X828)</f>
        <v>#REF!</v>
      </c>
      <c r="Y829" s="126">
        <f>SUM(Y825:Y828)</f>
        <v>0</v>
      </c>
      <c r="Z829" s="126" t="e">
        <f>SUM(Z825:Z828)</f>
        <v>#REF!</v>
      </c>
    </row>
    <row r="830" spans="1:26" ht="12.75" customHeight="1" thickTop="1">
      <c r="A830" s="106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3"/>
      <c r="R830" s="82"/>
      <c r="S830" s="82"/>
      <c r="T830" s="82"/>
      <c r="U830" s="82"/>
      <c r="V830" s="83"/>
      <c r="W830" s="82"/>
      <c r="X830" s="82"/>
      <c r="Y830" s="82"/>
      <c r="Z830" s="82"/>
    </row>
    <row r="831" spans="1:26" ht="12.75" customHeight="1">
      <c r="A831" s="106"/>
      <c r="B831" s="128" t="s">
        <v>80</v>
      </c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3"/>
      <c r="R831" s="82"/>
      <c r="S831" s="82"/>
      <c r="T831" s="82"/>
      <c r="U831" s="82"/>
      <c r="V831" s="83"/>
      <c r="W831" s="82"/>
      <c r="X831" s="82"/>
      <c r="Y831" s="82"/>
      <c r="Z831" s="82"/>
    </row>
    <row r="832" spans="1:26" ht="12.75" customHeight="1">
      <c r="A832" s="106"/>
      <c r="B832" s="157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3"/>
      <c r="R832" s="82"/>
      <c r="S832" s="82"/>
      <c r="T832" s="82"/>
      <c r="U832" s="82"/>
      <c r="V832" s="83"/>
      <c r="W832" s="82"/>
      <c r="X832" s="82"/>
      <c r="Y832" s="82"/>
      <c r="Z832" s="82"/>
    </row>
    <row r="833" spans="1:26" ht="12.75" customHeight="1">
      <c r="A833" s="106"/>
      <c r="B833" s="83"/>
      <c r="F833" s="82"/>
      <c r="G833" s="82"/>
      <c r="H833" s="82"/>
      <c r="I833" s="82"/>
      <c r="J833" s="82">
        <f>+J827</f>
        <v>0</v>
      </c>
      <c r="K833" s="82"/>
      <c r="L833" s="82"/>
      <c r="M833" s="90">
        <f>SUM(H833:L833)</f>
        <v>0</v>
      </c>
      <c r="N833" s="82">
        <f>+M833*0.5</f>
        <v>0</v>
      </c>
      <c r="O833" s="82"/>
      <c r="P833" s="82">
        <f>+M833-N833</f>
        <v>0</v>
      </c>
      <c r="Q833" s="83"/>
      <c r="R833" s="90" t="e">
        <f>+#REF!</f>
        <v>#REF!</v>
      </c>
      <c r="S833" s="82"/>
      <c r="T833" s="82"/>
      <c r="U833" s="82" t="e">
        <f>+R833-S833-T833</f>
        <v>#REF!</v>
      </c>
      <c r="V833" s="83"/>
      <c r="W833" s="90" t="e">
        <f>+#REF!</f>
        <v>#REF!</v>
      </c>
      <c r="X833" s="82"/>
      <c r="Y833" s="82"/>
      <c r="Z833" s="82" t="e">
        <f>+W833-X833-Y833</f>
        <v>#REF!</v>
      </c>
    </row>
    <row r="834" spans="1:26" ht="12.75" customHeight="1" thickBot="1">
      <c r="A834" s="106"/>
      <c r="B834" s="111"/>
      <c r="F834" s="126">
        <f aca="true" t="shared" si="217" ref="F834:P834">SUM(F832:F833)</f>
        <v>0</v>
      </c>
      <c r="G834" s="126">
        <f t="shared" si="217"/>
        <v>0</v>
      </c>
      <c r="H834" s="126">
        <f t="shared" si="217"/>
        <v>0</v>
      </c>
      <c r="I834" s="126">
        <f t="shared" si="217"/>
        <v>0</v>
      </c>
      <c r="J834" s="126">
        <f t="shared" si="217"/>
        <v>0</v>
      </c>
      <c r="K834" s="126">
        <f t="shared" si="217"/>
        <v>0</v>
      </c>
      <c r="L834" s="126">
        <f t="shared" si="217"/>
        <v>0</v>
      </c>
      <c r="M834" s="126">
        <f t="shared" si="217"/>
        <v>0</v>
      </c>
      <c r="N834" s="126">
        <f t="shared" si="217"/>
        <v>0</v>
      </c>
      <c r="O834" s="126">
        <f t="shared" si="217"/>
        <v>0</v>
      </c>
      <c r="P834" s="126">
        <f t="shared" si="217"/>
        <v>0</v>
      </c>
      <c r="Q834" s="83"/>
      <c r="R834" s="126" t="e">
        <f>SUM(R832:R833)</f>
        <v>#REF!</v>
      </c>
      <c r="S834" s="126">
        <f>SUM(S832:S833)</f>
        <v>0</v>
      </c>
      <c r="T834" s="126">
        <f>SUM(T832:T833)</f>
        <v>0</v>
      </c>
      <c r="U834" s="126" t="e">
        <f>SUM(U832:U833)</f>
        <v>#REF!</v>
      </c>
      <c r="V834" s="83"/>
      <c r="W834" s="126" t="e">
        <f>SUM(W832:W833)</f>
        <v>#REF!</v>
      </c>
      <c r="X834" s="126">
        <f>SUM(X832:X833)</f>
        <v>0</v>
      </c>
      <c r="Y834" s="126">
        <f>SUM(Y832:Y833)</f>
        <v>0</v>
      </c>
      <c r="Z834" s="126" t="e">
        <f>SUM(Z832:Z833)</f>
        <v>#REF!</v>
      </c>
    </row>
    <row r="835" spans="1:26" ht="12.75" customHeight="1" thickBot="1" thickTop="1">
      <c r="A835" s="106"/>
      <c r="B835" s="118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3"/>
      <c r="R835" s="82"/>
      <c r="S835" s="82"/>
      <c r="T835" s="82"/>
      <c r="U835" s="82"/>
      <c r="V835" s="83"/>
      <c r="W835" s="82"/>
      <c r="X835" s="82"/>
      <c r="Y835" s="82"/>
      <c r="Z835" s="82"/>
    </row>
    <row r="836" spans="1:26" ht="12.75" customHeight="1">
      <c r="A836" s="106"/>
      <c r="B836" s="121" t="s">
        <v>77</v>
      </c>
      <c r="D836" s="109" t="s">
        <v>71</v>
      </c>
      <c r="E836" s="97" t="s">
        <v>72</v>
      </c>
      <c r="F836" s="97" t="s">
        <v>72</v>
      </c>
      <c r="G836" s="97" t="s">
        <v>73</v>
      </c>
      <c r="H836" s="97" t="s">
        <v>1</v>
      </c>
      <c r="I836" s="97" t="s">
        <v>74</v>
      </c>
      <c r="J836" s="97" t="s">
        <v>66</v>
      </c>
      <c r="K836" s="97" t="s">
        <v>59</v>
      </c>
      <c r="L836" s="97" t="s">
        <v>18</v>
      </c>
      <c r="M836" s="97" t="s">
        <v>1</v>
      </c>
      <c r="N836" s="97" t="s">
        <v>7</v>
      </c>
      <c r="O836" s="97" t="s">
        <v>75</v>
      </c>
      <c r="P836" s="97" t="s">
        <v>76</v>
      </c>
      <c r="Q836" s="108"/>
      <c r="R836" s="97" t="s">
        <v>1</v>
      </c>
      <c r="S836" s="97" t="s">
        <v>7</v>
      </c>
      <c r="T836" s="97" t="s">
        <v>75</v>
      </c>
      <c r="U836" s="97" t="s">
        <v>76</v>
      </c>
      <c r="V836" s="83"/>
      <c r="W836" s="97" t="s">
        <v>1</v>
      </c>
      <c r="X836" s="97" t="s">
        <v>7</v>
      </c>
      <c r="Y836" s="97" t="s">
        <v>75</v>
      </c>
      <c r="Z836" s="97" t="s">
        <v>76</v>
      </c>
    </row>
    <row r="837" spans="1:26" ht="12.75" customHeight="1">
      <c r="A837" s="106"/>
      <c r="B837" s="121"/>
      <c r="D837" s="131"/>
      <c r="E837" s="94"/>
      <c r="F837" s="90">
        <f>E837*D837</f>
        <v>0</v>
      </c>
      <c r="G837" s="94">
        <f>+F837*$C$4</f>
        <v>0</v>
      </c>
      <c r="H837" s="90">
        <f>+G837+F837</f>
        <v>0</v>
      </c>
      <c r="I837" s="94"/>
      <c r="J837" s="94">
        <f>D837*$C$7</f>
        <v>0</v>
      </c>
      <c r="K837" s="94">
        <f>D837*$C$5</f>
        <v>0</v>
      </c>
      <c r="L837" s="94">
        <f>D837*$C$6</f>
        <v>0</v>
      </c>
      <c r="M837" s="90">
        <f>SUM(H837:L837)</f>
        <v>0</v>
      </c>
      <c r="N837" s="94">
        <f>M837*$C$2</f>
        <v>0</v>
      </c>
      <c r="O837" s="90"/>
      <c r="P837" s="90">
        <f>M837-N837-O837</f>
        <v>0</v>
      </c>
      <c r="Q837" s="83"/>
      <c r="R837" s="90" t="e">
        <f>+#REF!</f>
        <v>#REF!</v>
      </c>
      <c r="S837" s="90" t="e">
        <f>+#REF!</f>
        <v>#REF!</v>
      </c>
      <c r="T837" s="90"/>
      <c r="U837" s="90" t="e">
        <f>R837-S837-T837</f>
        <v>#REF!</v>
      </c>
      <c r="V837" s="83"/>
      <c r="W837" s="90" t="e">
        <f>+#REF!</f>
        <v>#REF!</v>
      </c>
      <c r="X837" s="90" t="e">
        <f>+#REF!</f>
        <v>#REF!</v>
      </c>
      <c r="Y837" s="90"/>
      <c r="Z837" s="90" t="e">
        <f>W837-X837-Y837</f>
        <v>#REF!</v>
      </c>
    </row>
    <row r="838" spans="1:26" ht="12.75" customHeight="1" thickBot="1">
      <c r="A838" s="106"/>
      <c r="F838" s="123">
        <f>E838*D838</f>
        <v>0</v>
      </c>
      <c r="G838" s="143">
        <f>+F838*$C$4</f>
        <v>0</v>
      </c>
      <c r="H838" s="123">
        <f>+G838+F838</f>
        <v>0</v>
      </c>
      <c r="I838" s="143"/>
      <c r="J838" s="143">
        <f>D838*$C$7</f>
        <v>0</v>
      </c>
      <c r="K838" s="143">
        <f>D838*$C$5</f>
        <v>0</v>
      </c>
      <c r="L838" s="143">
        <f>D838*$C$6</f>
        <v>0</v>
      </c>
      <c r="M838" s="123">
        <f>SUM(H838:L838)</f>
        <v>0</v>
      </c>
      <c r="N838" s="143">
        <f>M838*$C$2</f>
        <v>0</v>
      </c>
      <c r="O838" s="123"/>
      <c r="P838" s="123">
        <f>M838-N838-O838</f>
        <v>0</v>
      </c>
      <c r="Q838" s="138"/>
      <c r="R838" s="123" t="e">
        <f>+#REF!</f>
        <v>#REF!</v>
      </c>
      <c r="S838" s="123" t="e">
        <f>+#REF!</f>
        <v>#REF!</v>
      </c>
      <c r="T838" s="123"/>
      <c r="U838" s="123" t="e">
        <f>R838-S838-T838</f>
        <v>#REF!</v>
      </c>
      <c r="V838" s="83"/>
      <c r="W838" s="123" t="e">
        <f>+#REF!</f>
        <v>#REF!</v>
      </c>
      <c r="X838" s="123" t="e">
        <f>+#REF!</f>
        <v>#REF!</v>
      </c>
      <c r="Y838" s="123"/>
      <c r="Z838" s="123" t="e">
        <f>W838-X838-Y838</f>
        <v>#REF!</v>
      </c>
    </row>
    <row r="839" spans="1:26" ht="12.75" customHeight="1">
      <c r="A839" s="106"/>
      <c r="F839" s="82">
        <f aca="true" t="shared" si="218" ref="F839:P839">SUM(F837:F838)</f>
        <v>0</v>
      </c>
      <c r="G839" s="82">
        <f t="shared" si="218"/>
        <v>0</v>
      </c>
      <c r="H839" s="82">
        <f t="shared" si="218"/>
        <v>0</v>
      </c>
      <c r="I839" s="82">
        <f t="shared" si="218"/>
        <v>0</v>
      </c>
      <c r="J839" s="82">
        <f t="shared" si="218"/>
        <v>0</v>
      </c>
      <c r="K839" s="82">
        <f t="shared" si="218"/>
        <v>0</v>
      </c>
      <c r="L839" s="82">
        <f t="shared" si="218"/>
        <v>0</v>
      </c>
      <c r="M839" s="82">
        <f t="shared" si="218"/>
        <v>0</v>
      </c>
      <c r="N839" s="82">
        <f t="shared" si="218"/>
        <v>0</v>
      </c>
      <c r="O839" s="82">
        <f t="shared" si="218"/>
        <v>0</v>
      </c>
      <c r="P839" s="82">
        <f t="shared" si="218"/>
        <v>0</v>
      </c>
      <c r="Q839" s="83"/>
      <c r="R839" s="82" t="e">
        <f>SUM(R837:R838)</f>
        <v>#REF!</v>
      </c>
      <c r="S839" s="82" t="e">
        <f>SUM(S837:S838)</f>
        <v>#REF!</v>
      </c>
      <c r="T839" s="82">
        <f>SUM(T837:T838)</f>
        <v>0</v>
      </c>
      <c r="U839" s="82" t="e">
        <f>SUM(U837:U838)</f>
        <v>#REF!</v>
      </c>
      <c r="V839" s="83"/>
      <c r="W839" s="82" t="e">
        <f>SUM(W837:W838)</f>
        <v>#REF!</v>
      </c>
      <c r="X839" s="82" t="e">
        <f>SUM(X837:X838)</f>
        <v>#REF!</v>
      </c>
      <c r="Y839" s="82">
        <f>SUM(Y837:Y838)</f>
        <v>0</v>
      </c>
      <c r="Z839" s="82" t="e">
        <f>SUM(Z837:Z838)</f>
        <v>#REF!</v>
      </c>
    </row>
    <row r="840" spans="1:26" ht="12.75" customHeight="1">
      <c r="A840" s="106"/>
      <c r="F840" s="82">
        <f>SUM(F839:F839)</f>
        <v>0</v>
      </c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3"/>
      <c r="R840" s="82"/>
      <c r="S840" s="82"/>
      <c r="T840" s="82"/>
      <c r="U840" s="82"/>
      <c r="V840" s="83"/>
      <c r="W840" s="82"/>
      <c r="X840" s="82"/>
      <c r="Y840" s="82"/>
      <c r="Z840" s="82"/>
    </row>
    <row r="841" spans="1:26" ht="12.75" customHeight="1">
      <c r="A841" s="106"/>
      <c r="B841" s="83"/>
      <c r="F841" s="82"/>
      <c r="G841" s="82"/>
      <c r="H841" s="82"/>
      <c r="I841" s="82"/>
      <c r="J841" s="82"/>
      <c r="K841" s="82"/>
      <c r="L841" s="82"/>
      <c r="M841" s="90">
        <f>SUM(H841:L841)</f>
        <v>0</v>
      </c>
      <c r="N841" s="82"/>
      <c r="O841" s="82"/>
      <c r="P841" s="82">
        <f>+M841-N841-O841</f>
        <v>0</v>
      </c>
      <c r="Q841" s="83"/>
      <c r="R841" s="90" t="e">
        <f>+#REF!</f>
        <v>#REF!</v>
      </c>
      <c r="S841" s="82"/>
      <c r="T841" s="82"/>
      <c r="U841" s="82" t="e">
        <f>+R841-S841-T841</f>
        <v>#REF!</v>
      </c>
      <c r="V841" s="83"/>
      <c r="W841" s="90" t="e">
        <f>+#REF!</f>
        <v>#REF!</v>
      </c>
      <c r="X841" s="82"/>
      <c r="Y841" s="82"/>
      <c r="Z841" s="82" t="e">
        <f>+W841-X841-Y841</f>
        <v>#REF!</v>
      </c>
    </row>
    <row r="842" spans="1:26" ht="12.75" customHeight="1">
      <c r="A842" s="106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3"/>
      <c r="R842" s="82"/>
      <c r="S842" s="82"/>
      <c r="T842" s="82"/>
      <c r="U842" s="82"/>
      <c r="V842" s="83"/>
      <c r="W842" s="82"/>
      <c r="X842" s="82"/>
      <c r="Y842" s="82"/>
      <c r="Z842" s="82"/>
    </row>
    <row r="843" spans="1:26" ht="12.75" customHeight="1" thickBot="1">
      <c r="A843" s="106"/>
      <c r="B843" s="111" t="s">
        <v>79</v>
      </c>
      <c r="F843" s="126">
        <f>SUM(F839:F842)</f>
        <v>0</v>
      </c>
      <c r="G843" s="126">
        <f>SUM(G839:G842)</f>
        <v>0</v>
      </c>
      <c r="H843" s="126"/>
      <c r="I843" s="126"/>
      <c r="J843" s="126">
        <f>SUM(J839:J842)</f>
        <v>0</v>
      </c>
      <c r="K843" s="126"/>
      <c r="L843" s="126"/>
      <c r="M843" s="126">
        <f>SUM(M839:M842)</f>
        <v>0</v>
      </c>
      <c r="N843" s="126">
        <f>SUM(N839:N842)</f>
        <v>0</v>
      </c>
      <c r="O843" s="126"/>
      <c r="P843" s="126">
        <f>SUM(P839:P842)</f>
        <v>0</v>
      </c>
      <c r="Q843" s="83"/>
      <c r="R843" s="126" t="e">
        <f>SUM(R839:R842)</f>
        <v>#REF!</v>
      </c>
      <c r="S843" s="126" t="e">
        <f>SUM(S839:S842)</f>
        <v>#REF!</v>
      </c>
      <c r="T843" s="126">
        <f>SUM(T839:T842)</f>
        <v>0</v>
      </c>
      <c r="U843" s="126" t="e">
        <f>SUM(U839:U842)</f>
        <v>#REF!</v>
      </c>
      <c r="V843" s="83"/>
      <c r="W843" s="126" t="e">
        <f>SUM(W839:W842)</f>
        <v>#REF!</v>
      </c>
      <c r="X843" s="126" t="e">
        <f>SUM(X839:X842)</f>
        <v>#REF!</v>
      </c>
      <c r="Y843" s="126">
        <f>SUM(Y839:Y842)</f>
        <v>0</v>
      </c>
      <c r="Z843" s="126" t="e">
        <f>SUM(Z839:Z842)</f>
        <v>#REF!</v>
      </c>
    </row>
    <row r="844" spans="1:26" ht="12.75" customHeight="1" thickTop="1">
      <c r="A844" s="106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3"/>
      <c r="R844" s="82"/>
      <c r="S844" s="82"/>
      <c r="T844" s="82"/>
      <c r="U844" s="82"/>
      <c r="V844" s="83"/>
      <c r="W844" s="82"/>
      <c r="X844" s="82"/>
      <c r="Y844" s="82"/>
      <c r="Z844" s="82"/>
    </row>
    <row r="845" spans="1:26" ht="12.75" customHeight="1">
      <c r="A845" s="106"/>
      <c r="B845" s="128" t="s">
        <v>80</v>
      </c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3"/>
      <c r="R845" s="82"/>
      <c r="S845" s="82"/>
      <c r="T845" s="82"/>
      <c r="U845" s="82"/>
      <c r="V845" s="83"/>
      <c r="W845" s="82"/>
      <c r="X845" s="82"/>
      <c r="Y845" s="82"/>
      <c r="Z845" s="82"/>
    </row>
    <row r="846" spans="1:26" ht="12.75" customHeight="1">
      <c r="A846" s="106"/>
      <c r="B846" s="157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3"/>
      <c r="R846" s="82"/>
      <c r="S846" s="82"/>
      <c r="T846" s="82"/>
      <c r="U846" s="82"/>
      <c r="V846" s="83"/>
      <c r="W846" s="82"/>
      <c r="X846" s="82"/>
      <c r="Y846" s="82"/>
      <c r="Z846" s="82"/>
    </row>
    <row r="847" spans="1:26" ht="12.75" customHeight="1">
      <c r="A847" s="106"/>
      <c r="B847" s="83"/>
      <c r="F847" s="82"/>
      <c r="G847" s="82"/>
      <c r="H847" s="82"/>
      <c r="I847" s="82"/>
      <c r="J847" s="82">
        <f>+J841</f>
        <v>0</v>
      </c>
      <c r="K847" s="82"/>
      <c r="L847" s="82"/>
      <c r="M847" s="90">
        <f>SUM(H847:L847)</f>
        <v>0</v>
      </c>
      <c r="N847" s="82">
        <f>+M847*0.5</f>
        <v>0</v>
      </c>
      <c r="O847" s="82"/>
      <c r="P847" s="82">
        <f>+M847-N847</f>
        <v>0</v>
      </c>
      <c r="Q847" s="83"/>
      <c r="R847" s="90" t="e">
        <f>+#REF!</f>
        <v>#REF!</v>
      </c>
      <c r="S847" s="82"/>
      <c r="T847" s="82"/>
      <c r="U847" s="82" t="e">
        <f>+R847-S847-T847</f>
        <v>#REF!</v>
      </c>
      <c r="V847" s="83"/>
      <c r="W847" s="90" t="e">
        <f>+#REF!</f>
        <v>#REF!</v>
      </c>
      <c r="X847" s="82"/>
      <c r="Y847" s="82"/>
      <c r="Z847" s="82" t="e">
        <f>+W847-X847-Y847</f>
        <v>#REF!</v>
      </c>
    </row>
    <row r="848" spans="1:26" ht="12.75" customHeight="1" thickBot="1">
      <c r="A848" s="106"/>
      <c r="B848" s="111"/>
      <c r="F848" s="126">
        <f aca="true" t="shared" si="219" ref="F848:P848">SUM(F846:F847)</f>
        <v>0</v>
      </c>
      <c r="G848" s="126">
        <f t="shared" si="219"/>
        <v>0</v>
      </c>
      <c r="H848" s="126">
        <f t="shared" si="219"/>
        <v>0</v>
      </c>
      <c r="I848" s="126">
        <f t="shared" si="219"/>
        <v>0</v>
      </c>
      <c r="J848" s="126">
        <f t="shared" si="219"/>
        <v>0</v>
      </c>
      <c r="K848" s="126">
        <f t="shared" si="219"/>
        <v>0</v>
      </c>
      <c r="L848" s="126">
        <f t="shared" si="219"/>
        <v>0</v>
      </c>
      <c r="M848" s="126">
        <f t="shared" si="219"/>
        <v>0</v>
      </c>
      <c r="N848" s="126">
        <f t="shared" si="219"/>
        <v>0</v>
      </c>
      <c r="O848" s="126">
        <f t="shared" si="219"/>
        <v>0</v>
      </c>
      <c r="P848" s="126">
        <f t="shared" si="219"/>
        <v>0</v>
      </c>
      <c r="Q848" s="83"/>
      <c r="R848" s="126" t="e">
        <f>SUM(R846:R847)</f>
        <v>#REF!</v>
      </c>
      <c r="S848" s="126">
        <f>SUM(S846:S847)</f>
        <v>0</v>
      </c>
      <c r="T848" s="126">
        <f>SUM(T846:T847)</f>
        <v>0</v>
      </c>
      <c r="U848" s="126" t="e">
        <f>SUM(U846:U847)</f>
        <v>#REF!</v>
      </c>
      <c r="V848" s="83"/>
      <c r="W848" s="126" t="e">
        <f>SUM(W846:W847)</f>
        <v>#REF!</v>
      </c>
      <c r="X848" s="126">
        <f>SUM(X846:X847)</f>
        <v>0</v>
      </c>
      <c r="Y848" s="126">
        <f>SUM(Y846:Y847)</f>
        <v>0</v>
      </c>
      <c r="Z848" s="126" t="e">
        <f>SUM(Z846:Z847)</f>
        <v>#REF!</v>
      </c>
    </row>
    <row r="849" spans="1:26" ht="12.75" customHeight="1" thickBot="1" thickTop="1">
      <c r="A849" s="106"/>
      <c r="B849" s="118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3"/>
      <c r="R849" s="82"/>
      <c r="S849" s="82"/>
      <c r="T849" s="82"/>
      <c r="U849" s="82"/>
      <c r="V849" s="83"/>
      <c r="W849" s="82"/>
      <c r="X849" s="82"/>
      <c r="Y849" s="82"/>
      <c r="Z849" s="82"/>
    </row>
    <row r="850" spans="1:26" ht="12.75" customHeight="1">
      <c r="A850" s="106"/>
      <c r="B850" s="121" t="s">
        <v>77</v>
      </c>
      <c r="D850" s="109" t="s">
        <v>71</v>
      </c>
      <c r="E850" s="97" t="s">
        <v>72</v>
      </c>
      <c r="F850" s="97" t="s">
        <v>72</v>
      </c>
      <c r="G850" s="97" t="s">
        <v>73</v>
      </c>
      <c r="H850" s="97" t="s">
        <v>1</v>
      </c>
      <c r="I850" s="97" t="s">
        <v>74</v>
      </c>
      <c r="J850" s="97" t="s">
        <v>66</v>
      </c>
      <c r="K850" s="97" t="s">
        <v>59</v>
      </c>
      <c r="L850" s="97" t="s">
        <v>18</v>
      </c>
      <c r="M850" s="97" t="s">
        <v>1</v>
      </c>
      <c r="N850" s="97" t="s">
        <v>7</v>
      </c>
      <c r="O850" s="97" t="s">
        <v>75</v>
      </c>
      <c r="P850" s="97" t="s">
        <v>76</v>
      </c>
      <c r="Q850" s="108"/>
      <c r="R850" s="97" t="s">
        <v>1</v>
      </c>
      <c r="S850" s="97" t="s">
        <v>7</v>
      </c>
      <c r="T850" s="97" t="s">
        <v>75</v>
      </c>
      <c r="U850" s="97" t="s">
        <v>76</v>
      </c>
      <c r="V850" s="83"/>
      <c r="W850" s="97" t="s">
        <v>1</v>
      </c>
      <c r="X850" s="97" t="s">
        <v>7</v>
      </c>
      <c r="Y850" s="97" t="s">
        <v>75</v>
      </c>
      <c r="Z850" s="97" t="s">
        <v>76</v>
      </c>
    </row>
    <row r="851" spans="1:26" ht="12.75" customHeight="1">
      <c r="A851" s="106"/>
      <c r="B851" s="121"/>
      <c r="D851" s="131"/>
      <c r="E851" s="94"/>
      <c r="F851" s="90">
        <f>E851*D851</f>
        <v>0</v>
      </c>
      <c r="G851" s="94">
        <f>+F851*$C$4</f>
        <v>0</v>
      </c>
      <c r="H851" s="90">
        <f>+G851+F851</f>
        <v>0</v>
      </c>
      <c r="I851" s="94"/>
      <c r="J851" s="94">
        <f>D851*$C$7</f>
        <v>0</v>
      </c>
      <c r="K851" s="94">
        <f>D851*$C$5</f>
        <v>0</v>
      </c>
      <c r="L851" s="94">
        <f>D851*$C$6</f>
        <v>0</v>
      </c>
      <c r="M851" s="90">
        <f>SUM(H851:L851)</f>
        <v>0</v>
      </c>
      <c r="N851" s="94">
        <f>M851*$C$2</f>
        <v>0</v>
      </c>
      <c r="O851" s="90"/>
      <c r="P851" s="90">
        <f>M851-N851-O851</f>
        <v>0</v>
      </c>
      <c r="Q851" s="83"/>
      <c r="R851" s="90" t="e">
        <f>+#REF!</f>
        <v>#REF!</v>
      </c>
      <c r="S851" s="90" t="e">
        <f>+#REF!</f>
        <v>#REF!</v>
      </c>
      <c r="T851" s="90"/>
      <c r="U851" s="90" t="e">
        <f>R851-S851-T851</f>
        <v>#REF!</v>
      </c>
      <c r="V851" s="83"/>
      <c r="W851" s="90" t="e">
        <f>+#REF!</f>
        <v>#REF!</v>
      </c>
      <c r="X851" s="90" t="e">
        <f>+#REF!</f>
        <v>#REF!</v>
      </c>
      <c r="Y851" s="90"/>
      <c r="Z851" s="90" t="e">
        <f>W851-X851-Y851</f>
        <v>#REF!</v>
      </c>
    </row>
    <row r="852" spans="1:26" ht="12.75" customHeight="1" thickBot="1">
      <c r="A852" s="106"/>
      <c r="F852" s="123">
        <f>E852*D852</f>
        <v>0</v>
      </c>
      <c r="G852" s="143">
        <f>+F852*$C$4</f>
        <v>0</v>
      </c>
      <c r="H852" s="123">
        <f>+G852+F852</f>
        <v>0</v>
      </c>
      <c r="I852" s="143"/>
      <c r="J852" s="143">
        <f>D852*$C$7</f>
        <v>0</v>
      </c>
      <c r="K852" s="143">
        <f>D852*$C$5</f>
        <v>0</v>
      </c>
      <c r="L852" s="143">
        <f>D852*$C$6</f>
        <v>0</v>
      </c>
      <c r="M852" s="123">
        <f>SUM(H852:L852)</f>
        <v>0</v>
      </c>
      <c r="N852" s="143">
        <f>M852*$C$2</f>
        <v>0</v>
      </c>
      <c r="O852" s="123"/>
      <c r="P852" s="123">
        <f>M852-N852-O852</f>
        <v>0</v>
      </c>
      <c r="Q852" s="138"/>
      <c r="R852" s="123" t="e">
        <f>+#REF!</f>
        <v>#REF!</v>
      </c>
      <c r="S852" s="123" t="e">
        <f>+#REF!</f>
        <v>#REF!</v>
      </c>
      <c r="T852" s="123"/>
      <c r="U852" s="123" t="e">
        <f>R852-S852-T852</f>
        <v>#REF!</v>
      </c>
      <c r="V852" s="83"/>
      <c r="W852" s="123" t="e">
        <f>+#REF!</f>
        <v>#REF!</v>
      </c>
      <c r="X852" s="123" t="e">
        <f>+#REF!</f>
        <v>#REF!</v>
      </c>
      <c r="Y852" s="123"/>
      <c r="Z852" s="123" t="e">
        <f>W852-X852-Y852</f>
        <v>#REF!</v>
      </c>
    </row>
    <row r="853" spans="1:26" ht="12.75" customHeight="1">
      <c r="A853" s="106"/>
      <c r="F853" s="82">
        <f aca="true" t="shared" si="220" ref="F853:P853">SUM(F851:F852)</f>
        <v>0</v>
      </c>
      <c r="G853" s="82">
        <f t="shared" si="220"/>
        <v>0</v>
      </c>
      <c r="H853" s="82">
        <f t="shared" si="220"/>
        <v>0</v>
      </c>
      <c r="I853" s="82">
        <f t="shared" si="220"/>
        <v>0</v>
      </c>
      <c r="J853" s="82">
        <f t="shared" si="220"/>
        <v>0</v>
      </c>
      <c r="K853" s="82">
        <f t="shared" si="220"/>
        <v>0</v>
      </c>
      <c r="L853" s="82">
        <f t="shared" si="220"/>
        <v>0</v>
      </c>
      <c r="M853" s="82">
        <f t="shared" si="220"/>
        <v>0</v>
      </c>
      <c r="N853" s="82">
        <f t="shared" si="220"/>
        <v>0</v>
      </c>
      <c r="O853" s="82">
        <f t="shared" si="220"/>
        <v>0</v>
      </c>
      <c r="P853" s="82">
        <f t="shared" si="220"/>
        <v>0</v>
      </c>
      <c r="Q853" s="83"/>
      <c r="R853" s="82" t="e">
        <f>SUM(R851:R852)</f>
        <v>#REF!</v>
      </c>
      <c r="S853" s="82" t="e">
        <f>SUM(S851:S852)</f>
        <v>#REF!</v>
      </c>
      <c r="T853" s="82">
        <f>SUM(T851:T852)</f>
        <v>0</v>
      </c>
      <c r="U853" s="82" t="e">
        <f>SUM(U851:U852)</f>
        <v>#REF!</v>
      </c>
      <c r="V853" s="83"/>
      <c r="W853" s="82" t="e">
        <f>SUM(W851:W852)</f>
        <v>#REF!</v>
      </c>
      <c r="X853" s="82" t="e">
        <f>SUM(X851:X852)</f>
        <v>#REF!</v>
      </c>
      <c r="Y853" s="82">
        <f>SUM(Y851:Y852)</f>
        <v>0</v>
      </c>
      <c r="Z853" s="82" t="e">
        <f>SUM(Z851:Z852)</f>
        <v>#REF!</v>
      </c>
    </row>
    <row r="854" spans="1:26" ht="12.75" customHeight="1">
      <c r="A854" s="106"/>
      <c r="F854" s="82">
        <f>SUM(F853:F853)</f>
        <v>0</v>
      </c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3"/>
      <c r="R854" s="82"/>
      <c r="S854" s="82"/>
      <c r="T854" s="82"/>
      <c r="U854" s="82"/>
      <c r="V854" s="83"/>
      <c r="W854" s="82"/>
      <c r="X854" s="82"/>
      <c r="Y854" s="82"/>
      <c r="Z854" s="82"/>
    </row>
    <row r="855" spans="1:26" ht="12.75" customHeight="1">
      <c r="A855" s="106"/>
      <c r="B855" s="83"/>
      <c r="F855" s="82"/>
      <c r="G855" s="82"/>
      <c r="H855" s="82"/>
      <c r="I855" s="82"/>
      <c r="J855" s="82"/>
      <c r="K855" s="82"/>
      <c r="L855" s="82"/>
      <c r="M855" s="90">
        <f>SUM(H855:L855)</f>
        <v>0</v>
      </c>
      <c r="N855" s="82"/>
      <c r="O855" s="82"/>
      <c r="P855" s="82">
        <f>+M855-N855-O855</f>
        <v>0</v>
      </c>
      <c r="Q855" s="83"/>
      <c r="R855" s="90" t="e">
        <f>+#REF!</f>
        <v>#REF!</v>
      </c>
      <c r="S855" s="82"/>
      <c r="T855" s="82"/>
      <c r="U855" s="82" t="e">
        <f>+R855-S855-T855</f>
        <v>#REF!</v>
      </c>
      <c r="V855" s="83"/>
      <c r="W855" s="90" t="e">
        <f>+#REF!</f>
        <v>#REF!</v>
      </c>
      <c r="X855" s="82"/>
      <c r="Y855" s="82"/>
      <c r="Z855" s="82" t="e">
        <f>+W855-X855-Y855</f>
        <v>#REF!</v>
      </c>
    </row>
    <row r="856" spans="1:26" ht="12.75" customHeight="1">
      <c r="A856" s="106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3"/>
      <c r="R856" s="82"/>
      <c r="S856" s="82"/>
      <c r="T856" s="82"/>
      <c r="U856" s="82"/>
      <c r="V856" s="83"/>
      <c r="W856" s="82"/>
      <c r="X856" s="82"/>
      <c r="Y856" s="82"/>
      <c r="Z856" s="82"/>
    </row>
    <row r="857" spans="1:26" ht="12.75" customHeight="1" thickBot="1">
      <c r="A857" s="106"/>
      <c r="B857" s="111" t="s">
        <v>79</v>
      </c>
      <c r="F857" s="126">
        <f>SUM(F853:F856)</f>
        <v>0</v>
      </c>
      <c r="G857" s="126">
        <f>SUM(G853:G856)</f>
        <v>0</v>
      </c>
      <c r="H857" s="126"/>
      <c r="I857" s="126"/>
      <c r="J857" s="126">
        <f>SUM(J853:J856)</f>
        <v>0</v>
      </c>
      <c r="K857" s="126"/>
      <c r="L857" s="126"/>
      <c r="M857" s="126">
        <f>SUM(M853:M856)</f>
        <v>0</v>
      </c>
      <c r="N857" s="126">
        <f>SUM(N853:N856)</f>
        <v>0</v>
      </c>
      <c r="O857" s="126"/>
      <c r="P857" s="126">
        <f>SUM(P853:P856)</f>
        <v>0</v>
      </c>
      <c r="Q857" s="83"/>
      <c r="R857" s="126" t="e">
        <f>SUM(R853:R856)</f>
        <v>#REF!</v>
      </c>
      <c r="S857" s="126" t="e">
        <f>SUM(S853:S856)</f>
        <v>#REF!</v>
      </c>
      <c r="T857" s="126">
        <f>SUM(T853:T856)</f>
        <v>0</v>
      </c>
      <c r="U857" s="126" t="e">
        <f>SUM(U853:U856)</f>
        <v>#REF!</v>
      </c>
      <c r="V857" s="83"/>
      <c r="W857" s="126" t="e">
        <f>SUM(W853:W856)</f>
        <v>#REF!</v>
      </c>
      <c r="X857" s="126" t="e">
        <f>SUM(X853:X856)</f>
        <v>#REF!</v>
      </c>
      <c r="Y857" s="126">
        <f>SUM(Y853:Y856)</f>
        <v>0</v>
      </c>
      <c r="Z857" s="126" t="e">
        <f>SUM(Z853:Z856)</f>
        <v>#REF!</v>
      </c>
    </row>
    <row r="858" spans="1:26" ht="12.75" customHeight="1" thickTop="1">
      <c r="A858" s="106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3"/>
      <c r="R858" s="82"/>
      <c r="S858" s="82"/>
      <c r="T858" s="82"/>
      <c r="U858" s="82"/>
      <c r="V858" s="83"/>
      <c r="W858" s="82"/>
      <c r="X858" s="82"/>
      <c r="Y858" s="82"/>
      <c r="Z858" s="82"/>
    </row>
    <row r="859" spans="1:26" ht="12.75" customHeight="1">
      <c r="A859" s="106"/>
      <c r="B859" s="128" t="s">
        <v>80</v>
      </c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3"/>
      <c r="R859" s="82"/>
      <c r="S859" s="82"/>
      <c r="T859" s="82"/>
      <c r="U859" s="82"/>
      <c r="V859" s="83"/>
      <c r="W859" s="82"/>
      <c r="X859" s="82"/>
      <c r="Y859" s="82"/>
      <c r="Z859" s="82"/>
    </row>
    <row r="860" spans="1:26" ht="12.75" customHeight="1">
      <c r="A860" s="106"/>
      <c r="B860" s="157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3"/>
      <c r="R860" s="82"/>
      <c r="S860" s="82"/>
      <c r="T860" s="82"/>
      <c r="U860" s="82"/>
      <c r="V860" s="83"/>
      <c r="W860" s="82"/>
      <c r="X860" s="82"/>
      <c r="Y860" s="82"/>
      <c r="Z860" s="82"/>
    </row>
    <row r="861" spans="1:26" ht="12.75" customHeight="1">
      <c r="A861" s="106"/>
      <c r="B861" s="83"/>
      <c r="F861" s="82"/>
      <c r="G861" s="82"/>
      <c r="H861" s="82"/>
      <c r="I861" s="82"/>
      <c r="J861" s="82">
        <f>+J855</f>
        <v>0</v>
      </c>
      <c r="K861" s="82"/>
      <c r="L861" s="82"/>
      <c r="M861" s="90">
        <f>SUM(H861:L861)</f>
        <v>0</v>
      </c>
      <c r="N861" s="82">
        <f>+M861*0.5</f>
        <v>0</v>
      </c>
      <c r="O861" s="82"/>
      <c r="P861" s="82">
        <f>+M861-N861</f>
        <v>0</v>
      </c>
      <c r="Q861" s="83"/>
      <c r="R861" s="90" t="e">
        <f>+#REF!</f>
        <v>#REF!</v>
      </c>
      <c r="S861" s="82"/>
      <c r="T861" s="82"/>
      <c r="U861" s="82" t="e">
        <f>+R861-S861-T861</f>
        <v>#REF!</v>
      </c>
      <c r="V861" s="83"/>
      <c r="W861" s="90" t="e">
        <f>+#REF!</f>
        <v>#REF!</v>
      </c>
      <c r="X861" s="82"/>
      <c r="Y861" s="82"/>
      <c r="Z861" s="82" t="e">
        <f>+W861-X861-Y861</f>
        <v>#REF!</v>
      </c>
    </row>
    <row r="862" spans="1:26" ht="12.75" customHeight="1" thickBot="1">
      <c r="A862" s="106"/>
      <c r="B862" s="111"/>
      <c r="F862" s="126">
        <f aca="true" t="shared" si="221" ref="F862:P862">SUM(F860:F861)</f>
        <v>0</v>
      </c>
      <c r="G862" s="126">
        <f t="shared" si="221"/>
        <v>0</v>
      </c>
      <c r="H862" s="126">
        <f t="shared" si="221"/>
        <v>0</v>
      </c>
      <c r="I862" s="126">
        <f t="shared" si="221"/>
        <v>0</v>
      </c>
      <c r="J862" s="126">
        <f t="shared" si="221"/>
        <v>0</v>
      </c>
      <c r="K862" s="126">
        <f t="shared" si="221"/>
        <v>0</v>
      </c>
      <c r="L862" s="126">
        <f t="shared" si="221"/>
        <v>0</v>
      </c>
      <c r="M862" s="126">
        <f t="shared" si="221"/>
        <v>0</v>
      </c>
      <c r="N862" s="126">
        <f t="shared" si="221"/>
        <v>0</v>
      </c>
      <c r="O862" s="126">
        <f t="shared" si="221"/>
        <v>0</v>
      </c>
      <c r="P862" s="126">
        <f t="shared" si="221"/>
        <v>0</v>
      </c>
      <c r="Q862" s="83"/>
      <c r="R862" s="126" t="e">
        <f>SUM(R860:R861)</f>
        <v>#REF!</v>
      </c>
      <c r="S862" s="126">
        <f>SUM(S860:S861)</f>
        <v>0</v>
      </c>
      <c r="T862" s="126">
        <f>SUM(T860:T861)</f>
        <v>0</v>
      </c>
      <c r="U862" s="126" t="e">
        <f>SUM(U860:U861)</f>
        <v>#REF!</v>
      </c>
      <c r="V862" s="83"/>
      <c r="W862" s="126" t="e">
        <f>SUM(W860:W861)</f>
        <v>#REF!</v>
      </c>
      <c r="X862" s="126">
        <f>SUM(X860:X861)</f>
        <v>0</v>
      </c>
      <c r="Y862" s="126">
        <f>SUM(Y860:Y861)</f>
        <v>0</v>
      </c>
      <c r="Z862" s="126" t="e">
        <f>SUM(Z860:Z861)</f>
        <v>#REF!</v>
      </c>
    </row>
    <row r="863" spans="1:26" ht="12.75" customHeight="1" thickBot="1" thickTop="1">
      <c r="A863" s="106"/>
      <c r="B863" s="118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3"/>
      <c r="R863" s="82"/>
      <c r="S863" s="82"/>
      <c r="T863" s="82"/>
      <c r="U863" s="82"/>
      <c r="V863" s="83"/>
      <c r="W863" s="82"/>
      <c r="X863" s="82"/>
      <c r="Y863" s="82"/>
      <c r="Z863" s="82"/>
    </row>
    <row r="864" spans="1:26" ht="12.75" customHeight="1">
      <c r="A864" s="106"/>
      <c r="B864" s="121" t="s">
        <v>77</v>
      </c>
      <c r="D864" s="109" t="s">
        <v>71</v>
      </c>
      <c r="E864" s="97" t="s">
        <v>72</v>
      </c>
      <c r="F864" s="97" t="s">
        <v>72</v>
      </c>
      <c r="G864" s="97" t="s">
        <v>73</v>
      </c>
      <c r="H864" s="97" t="s">
        <v>1</v>
      </c>
      <c r="I864" s="97" t="s">
        <v>74</v>
      </c>
      <c r="J864" s="97" t="s">
        <v>66</v>
      </c>
      <c r="K864" s="97" t="s">
        <v>59</v>
      </c>
      <c r="L864" s="97" t="s">
        <v>18</v>
      </c>
      <c r="M864" s="97" t="s">
        <v>1</v>
      </c>
      <c r="N864" s="97" t="s">
        <v>7</v>
      </c>
      <c r="O864" s="97" t="s">
        <v>75</v>
      </c>
      <c r="P864" s="97" t="s">
        <v>76</v>
      </c>
      <c r="Q864" s="108"/>
      <c r="R864" s="97" t="s">
        <v>1</v>
      </c>
      <c r="S864" s="97" t="s">
        <v>7</v>
      </c>
      <c r="T864" s="97" t="s">
        <v>75</v>
      </c>
      <c r="U864" s="97" t="s">
        <v>76</v>
      </c>
      <c r="V864" s="83"/>
      <c r="W864" s="97" t="s">
        <v>1</v>
      </c>
      <c r="X864" s="97" t="s">
        <v>7</v>
      </c>
      <c r="Y864" s="97" t="s">
        <v>75</v>
      </c>
      <c r="Z864" s="97" t="s">
        <v>76</v>
      </c>
    </row>
    <row r="865" spans="1:26" ht="12.75" customHeight="1">
      <c r="A865" s="106"/>
      <c r="B865" s="121"/>
      <c r="D865" s="131"/>
      <c r="E865" s="94"/>
      <c r="F865" s="90">
        <f>E865*D865</f>
        <v>0</v>
      </c>
      <c r="G865" s="94">
        <f>+F865*$C$4</f>
        <v>0</v>
      </c>
      <c r="H865" s="90">
        <f>+G865+F865</f>
        <v>0</v>
      </c>
      <c r="I865" s="94"/>
      <c r="J865" s="94">
        <f>D865*$C$7</f>
        <v>0</v>
      </c>
      <c r="K865" s="94">
        <f>D865*$C$5</f>
        <v>0</v>
      </c>
      <c r="L865" s="94">
        <f>D865*$C$6</f>
        <v>0</v>
      </c>
      <c r="M865" s="90">
        <f>SUM(H865:L865)</f>
        <v>0</v>
      </c>
      <c r="N865" s="94">
        <f>M865*$C$2</f>
        <v>0</v>
      </c>
      <c r="O865" s="90"/>
      <c r="P865" s="90">
        <f>M865-N865-O865</f>
        <v>0</v>
      </c>
      <c r="Q865" s="83"/>
      <c r="R865" s="90" t="e">
        <f>+#REF!</f>
        <v>#REF!</v>
      </c>
      <c r="S865" s="90" t="e">
        <f>+#REF!</f>
        <v>#REF!</v>
      </c>
      <c r="T865" s="90"/>
      <c r="U865" s="90" t="e">
        <f>R865-S865-T865</f>
        <v>#REF!</v>
      </c>
      <c r="V865" s="83"/>
      <c r="W865" s="90" t="e">
        <f>+#REF!</f>
        <v>#REF!</v>
      </c>
      <c r="X865" s="90" t="e">
        <f>+#REF!</f>
        <v>#REF!</v>
      </c>
      <c r="Y865" s="90"/>
      <c r="Z865" s="90" t="e">
        <f>W865-X865-Y865</f>
        <v>#REF!</v>
      </c>
    </row>
    <row r="866" spans="1:26" ht="12.75" customHeight="1" thickBot="1">
      <c r="A866" s="106"/>
      <c r="F866" s="123">
        <f>E866*D866</f>
        <v>0</v>
      </c>
      <c r="G866" s="143">
        <f>+F866*$C$4</f>
        <v>0</v>
      </c>
      <c r="H866" s="123">
        <f>+G866+F866</f>
        <v>0</v>
      </c>
      <c r="I866" s="143"/>
      <c r="J866" s="143">
        <f>D866*$C$7</f>
        <v>0</v>
      </c>
      <c r="K866" s="143">
        <f>D866*$C$5</f>
        <v>0</v>
      </c>
      <c r="L866" s="143">
        <f>D866*$C$6</f>
        <v>0</v>
      </c>
      <c r="M866" s="123">
        <f>SUM(H866:L866)</f>
        <v>0</v>
      </c>
      <c r="N866" s="143">
        <f>M866*$C$2</f>
        <v>0</v>
      </c>
      <c r="O866" s="123"/>
      <c r="P866" s="123">
        <f>M866-N866-O866</f>
        <v>0</v>
      </c>
      <c r="Q866" s="138"/>
      <c r="R866" s="123" t="e">
        <f>+#REF!</f>
        <v>#REF!</v>
      </c>
      <c r="S866" s="123" t="e">
        <f>+#REF!</f>
        <v>#REF!</v>
      </c>
      <c r="T866" s="123"/>
      <c r="U866" s="123" t="e">
        <f>R866-S866-T866</f>
        <v>#REF!</v>
      </c>
      <c r="V866" s="83"/>
      <c r="W866" s="123" t="e">
        <f>+#REF!</f>
        <v>#REF!</v>
      </c>
      <c r="X866" s="123" t="e">
        <f>+#REF!</f>
        <v>#REF!</v>
      </c>
      <c r="Y866" s="123"/>
      <c r="Z866" s="123" t="e">
        <f>W866-X866-Y866</f>
        <v>#REF!</v>
      </c>
    </row>
    <row r="867" spans="1:26" ht="12.75" customHeight="1">
      <c r="A867" s="106"/>
      <c r="F867" s="82">
        <f aca="true" t="shared" si="222" ref="F867:P867">SUM(F865:F866)</f>
        <v>0</v>
      </c>
      <c r="G867" s="82">
        <f t="shared" si="222"/>
        <v>0</v>
      </c>
      <c r="H867" s="82">
        <f t="shared" si="222"/>
        <v>0</v>
      </c>
      <c r="I867" s="82">
        <f t="shared" si="222"/>
        <v>0</v>
      </c>
      <c r="J867" s="82">
        <f t="shared" si="222"/>
        <v>0</v>
      </c>
      <c r="K867" s="82">
        <f t="shared" si="222"/>
        <v>0</v>
      </c>
      <c r="L867" s="82">
        <f t="shared" si="222"/>
        <v>0</v>
      </c>
      <c r="M867" s="82">
        <f t="shared" si="222"/>
        <v>0</v>
      </c>
      <c r="N867" s="82">
        <f t="shared" si="222"/>
        <v>0</v>
      </c>
      <c r="O867" s="82">
        <f t="shared" si="222"/>
        <v>0</v>
      </c>
      <c r="P867" s="82">
        <f t="shared" si="222"/>
        <v>0</v>
      </c>
      <c r="Q867" s="83"/>
      <c r="R867" s="82" t="e">
        <f>SUM(R865:R866)</f>
        <v>#REF!</v>
      </c>
      <c r="S867" s="82" t="e">
        <f>SUM(S865:S866)</f>
        <v>#REF!</v>
      </c>
      <c r="T867" s="82">
        <f>SUM(T865:T866)</f>
        <v>0</v>
      </c>
      <c r="U867" s="82" t="e">
        <f>SUM(U865:U866)</f>
        <v>#REF!</v>
      </c>
      <c r="V867" s="83"/>
      <c r="W867" s="82" t="e">
        <f>SUM(W865:W866)</f>
        <v>#REF!</v>
      </c>
      <c r="X867" s="82" t="e">
        <f>SUM(X865:X866)</f>
        <v>#REF!</v>
      </c>
      <c r="Y867" s="82">
        <f>SUM(Y865:Y866)</f>
        <v>0</v>
      </c>
      <c r="Z867" s="82" t="e">
        <f>SUM(Z865:Z866)</f>
        <v>#REF!</v>
      </c>
    </row>
    <row r="868" spans="1:26" ht="12.75" customHeight="1">
      <c r="A868" s="106"/>
      <c r="F868" s="82">
        <f>SUM(F867:F867)</f>
        <v>0</v>
      </c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3"/>
      <c r="R868" s="82"/>
      <c r="S868" s="82"/>
      <c r="T868" s="82"/>
      <c r="U868" s="82"/>
      <c r="V868" s="83"/>
      <c r="W868" s="82"/>
      <c r="X868" s="82"/>
      <c r="Y868" s="82"/>
      <c r="Z868" s="82"/>
    </row>
    <row r="869" spans="1:26" ht="12.75" customHeight="1">
      <c r="A869" s="106"/>
      <c r="B869" s="83"/>
      <c r="F869" s="82"/>
      <c r="G869" s="82"/>
      <c r="H869" s="82"/>
      <c r="I869" s="82"/>
      <c r="J869" s="82"/>
      <c r="K869" s="82"/>
      <c r="L869" s="82"/>
      <c r="M869" s="90">
        <f>SUM(H869:L869)</f>
        <v>0</v>
      </c>
      <c r="N869" s="82"/>
      <c r="O869" s="82"/>
      <c r="P869" s="82">
        <f>+M869-N869-O869</f>
        <v>0</v>
      </c>
      <c r="Q869" s="83"/>
      <c r="R869" s="90" t="e">
        <f>+#REF!</f>
        <v>#REF!</v>
      </c>
      <c r="S869" s="82"/>
      <c r="T869" s="82"/>
      <c r="U869" s="82" t="e">
        <f>+R869-S869-T869</f>
        <v>#REF!</v>
      </c>
      <c r="V869" s="83"/>
      <c r="W869" s="90" t="e">
        <f>+#REF!</f>
        <v>#REF!</v>
      </c>
      <c r="X869" s="82"/>
      <c r="Y869" s="82"/>
      <c r="Z869" s="82" t="e">
        <f>+W869-X869-Y869</f>
        <v>#REF!</v>
      </c>
    </row>
    <row r="870" spans="1:26" ht="12.75" customHeight="1">
      <c r="A870" s="106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3"/>
      <c r="R870" s="82"/>
      <c r="S870" s="82"/>
      <c r="T870" s="82"/>
      <c r="U870" s="82"/>
      <c r="V870" s="83"/>
      <c r="W870" s="82"/>
      <c r="X870" s="82"/>
      <c r="Y870" s="82"/>
      <c r="Z870" s="82"/>
    </row>
    <row r="871" spans="1:26" ht="12.75" customHeight="1" thickBot="1">
      <c r="A871" s="106"/>
      <c r="B871" s="111" t="s">
        <v>79</v>
      </c>
      <c r="F871" s="126">
        <f>SUM(F867:F870)</f>
        <v>0</v>
      </c>
      <c r="G871" s="126">
        <f>SUM(G867:G870)</f>
        <v>0</v>
      </c>
      <c r="H871" s="126"/>
      <c r="I871" s="126"/>
      <c r="J871" s="126">
        <f>SUM(J867:J870)</f>
        <v>0</v>
      </c>
      <c r="K871" s="126"/>
      <c r="L871" s="126"/>
      <c r="M871" s="126">
        <f>SUM(M867:M870)</f>
        <v>0</v>
      </c>
      <c r="N871" s="126">
        <f>SUM(N867:N870)</f>
        <v>0</v>
      </c>
      <c r="O871" s="126"/>
      <c r="P871" s="126">
        <f>SUM(P867:P870)</f>
        <v>0</v>
      </c>
      <c r="Q871" s="83"/>
      <c r="R871" s="126" t="e">
        <f>SUM(R867:R870)</f>
        <v>#REF!</v>
      </c>
      <c r="S871" s="126" t="e">
        <f>SUM(S867:S870)</f>
        <v>#REF!</v>
      </c>
      <c r="T871" s="126">
        <f>SUM(T867:T870)</f>
        <v>0</v>
      </c>
      <c r="U871" s="126" t="e">
        <f>SUM(U867:U870)</f>
        <v>#REF!</v>
      </c>
      <c r="V871" s="83"/>
      <c r="W871" s="126" t="e">
        <f>SUM(W867:W870)</f>
        <v>#REF!</v>
      </c>
      <c r="X871" s="126" t="e">
        <f>SUM(X867:X870)</f>
        <v>#REF!</v>
      </c>
      <c r="Y871" s="126">
        <f>SUM(Y867:Y870)</f>
        <v>0</v>
      </c>
      <c r="Z871" s="126" t="e">
        <f>SUM(Z867:Z870)</f>
        <v>#REF!</v>
      </c>
    </row>
    <row r="872" spans="1:26" ht="12.75" customHeight="1" thickTop="1">
      <c r="A872" s="106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3"/>
      <c r="R872" s="82"/>
      <c r="S872" s="82"/>
      <c r="T872" s="82"/>
      <c r="U872" s="82"/>
      <c r="V872" s="83"/>
      <c r="W872" s="82"/>
      <c r="X872" s="82"/>
      <c r="Y872" s="82"/>
      <c r="Z872" s="82"/>
    </row>
    <row r="873" spans="1:26" ht="12.75" customHeight="1">
      <c r="A873" s="106"/>
      <c r="B873" s="128" t="s">
        <v>80</v>
      </c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3"/>
      <c r="R873" s="82"/>
      <c r="S873" s="82"/>
      <c r="T873" s="82"/>
      <c r="U873" s="82"/>
      <c r="V873" s="83"/>
      <c r="W873" s="82"/>
      <c r="X873" s="82"/>
      <c r="Y873" s="82"/>
      <c r="Z873" s="82"/>
    </row>
    <row r="874" spans="1:26" ht="12.75" customHeight="1">
      <c r="A874" s="106"/>
      <c r="B874" s="157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3"/>
      <c r="R874" s="82"/>
      <c r="S874" s="82"/>
      <c r="T874" s="82"/>
      <c r="U874" s="82"/>
      <c r="V874" s="83"/>
      <c r="W874" s="82"/>
      <c r="X874" s="82"/>
      <c r="Y874" s="82"/>
      <c r="Z874" s="82"/>
    </row>
    <row r="875" spans="1:26" ht="12.75" customHeight="1">
      <c r="A875" s="106"/>
      <c r="B875" s="83"/>
      <c r="F875" s="82"/>
      <c r="G875" s="82"/>
      <c r="H875" s="82"/>
      <c r="I875" s="82"/>
      <c r="J875" s="82">
        <f>+J869</f>
        <v>0</v>
      </c>
      <c r="K875" s="82"/>
      <c r="L875" s="82"/>
      <c r="M875" s="90">
        <f>SUM(H875:L875)</f>
        <v>0</v>
      </c>
      <c r="N875" s="82">
        <f>+M875*0.5</f>
        <v>0</v>
      </c>
      <c r="O875" s="82"/>
      <c r="P875" s="82">
        <f>+M875-N875</f>
        <v>0</v>
      </c>
      <c r="Q875" s="83"/>
      <c r="R875" s="90" t="e">
        <f>+#REF!</f>
        <v>#REF!</v>
      </c>
      <c r="S875" s="82"/>
      <c r="T875" s="82"/>
      <c r="U875" s="82" t="e">
        <f>+R875-S875-T875</f>
        <v>#REF!</v>
      </c>
      <c r="V875" s="83"/>
      <c r="W875" s="90" t="e">
        <f>+#REF!</f>
        <v>#REF!</v>
      </c>
      <c r="X875" s="82"/>
      <c r="Y875" s="82"/>
      <c r="Z875" s="82" t="e">
        <f>+W875-X875-Y875</f>
        <v>#REF!</v>
      </c>
    </row>
    <row r="876" spans="1:26" ht="12.75" customHeight="1" thickBot="1">
      <c r="A876" s="106"/>
      <c r="B876" s="111"/>
      <c r="F876" s="126">
        <f aca="true" t="shared" si="223" ref="F876:P876">SUM(F874:F875)</f>
        <v>0</v>
      </c>
      <c r="G876" s="126">
        <f t="shared" si="223"/>
        <v>0</v>
      </c>
      <c r="H876" s="126">
        <f t="shared" si="223"/>
        <v>0</v>
      </c>
      <c r="I876" s="126">
        <f t="shared" si="223"/>
        <v>0</v>
      </c>
      <c r="J876" s="126">
        <f t="shared" si="223"/>
        <v>0</v>
      </c>
      <c r="K876" s="126">
        <f t="shared" si="223"/>
        <v>0</v>
      </c>
      <c r="L876" s="126">
        <f t="shared" si="223"/>
        <v>0</v>
      </c>
      <c r="M876" s="126">
        <f t="shared" si="223"/>
        <v>0</v>
      </c>
      <c r="N876" s="126">
        <f t="shared" si="223"/>
        <v>0</v>
      </c>
      <c r="O876" s="126">
        <f t="shared" si="223"/>
        <v>0</v>
      </c>
      <c r="P876" s="126">
        <f t="shared" si="223"/>
        <v>0</v>
      </c>
      <c r="Q876" s="83"/>
      <c r="R876" s="126" t="e">
        <f>SUM(R874:R875)</f>
        <v>#REF!</v>
      </c>
      <c r="S876" s="126">
        <f>SUM(S874:S875)</f>
        <v>0</v>
      </c>
      <c r="T876" s="126">
        <f>SUM(T874:T875)</f>
        <v>0</v>
      </c>
      <c r="U876" s="126" t="e">
        <f>SUM(U874:U875)</f>
        <v>#REF!</v>
      </c>
      <c r="V876" s="83"/>
      <c r="W876" s="126" t="e">
        <f>SUM(W874:W875)</f>
        <v>#REF!</v>
      </c>
      <c r="X876" s="126">
        <f>SUM(X874:X875)</f>
        <v>0</v>
      </c>
      <c r="Y876" s="126">
        <f>SUM(Y874:Y875)</f>
        <v>0</v>
      </c>
      <c r="Z876" s="126" t="e">
        <f>SUM(Z874:Z875)</f>
        <v>#REF!</v>
      </c>
    </row>
    <row r="877" spans="1:26" ht="12.75" customHeight="1" thickTop="1">
      <c r="A877" s="106"/>
      <c r="B877" s="86"/>
      <c r="C877" s="133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3"/>
      <c r="W877" s="86"/>
      <c r="X877" s="86"/>
      <c r="Y877" s="86"/>
      <c r="Z877" s="86"/>
    </row>
    <row r="878" spans="1:26" ht="12.75" customHeight="1" thickBot="1">
      <c r="A878" s="106"/>
      <c r="B878" s="118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3"/>
      <c r="R878" s="82"/>
      <c r="S878" s="82"/>
      <c r="T878" s="82"/>
      <c r="U878" s="82"/>
      <c r="V878" s="83"/>
      <c r="W878" s="82"/>
      <c r="X878" s="82"/>
      <c r="Y878" s="82"/>
      <c r="Z878" s="82"/>
    </row>
    <row r="879" spans="1:26" ht="12.75" customHeight="1">
      <c r="A879" s="106"/>
      <c r="B879" s="121" t="s">
        <v>77</v>
      </c>
      <c r="D879" s="109" t="s">
        <v>71</v>
      </c>
      <c r="E879" s="97" t="s">
        <v>72</v>
      </c>
      <c r="F879" s="97" t="s">
        <v>72</v>
      </c>
      <c r="G879" s="97" t="s">
        <v>73</v>
      </c>
      <c r="H879" s="97" t="s">
        <v>1</v>
      </c>
      <c r="I879" s="97" t="s">
        <v>74</v>
      </c>
      <c r="J879" s="97" t="s">
        <v>66</v>
      </c>
      <c r="K879" s="97" t="s">
        <v>59</v>
      </c>
      <c r="L879" s="97" t="s">
        <v>18</v>
      </c>
      <c r="M879" s="97" t="s">
        <v>1</v>
      </c>
      <c r="N879" s="97" t="s">
        <v>7</v>
      </c>
      <c r="O879" s="97" t="s">
        <v>75</v>
      </c>
      <c r="P879" s="97" t="s">
        <v>76</v>
      </c>
      <c r="Q879" s="108"/>
      <c r="R879" s="97" t="s">
        <v>1</v>
      </c>
      <c r="S879" s="97" t="s">
        <v>7</v>
      </c>
      <c r="T879" s="97" t="s">
        <v>75</v>
      </c>
      <c r="U879" s="97" t="s">
        <v>76</v>
      </c>
      <c r="V879" s="83"/>
      <c r="W879" s="97" t="s">
        <v>1</v>
      </c>
      <c r="X879" s="97" t="s">
        <v>7</v>
      </c>
      <c r="Y879" s="97" t="s">
        <v>75</v>
      </c>
      <c r="Z879" s="97" t="s">
        <v>76</v>
      </c>
    </row>
    <row r="880" spans="1:26" ht="12.75" customHeight="1">
      <c r="A880" s="106"/>
      <c r="B880" s="121"/>
      <c r="D880" s="131"/>
      <c r="E880" s="94"/>
      <c r="F880" s="90">
        <f>E880*D880</f>
        <v>0</v>
      </c>
      <c r="G880" s="94">
        <f>+F880*$C$4</f>
        <v>0</v>
      </c>
      <c r="H880" s="90">
        <f>+G880+F880</f>
        <v>0</v>
      </c>
      <c r="I880" s="94"/>
      <c r="J880" s="94">
        <f>D880*$C$7</f>
        <v>0</v>
      </c>
      <c r="K880" s="94">
        <f>D880*$C$5</f>
        <v>0</v>
      </c>
      <c r="L880" s="94">
        <f>D880*$C$6</f>
        <v>0</v>
      </c>
      <c r="M880" s="90">
        <f>SUM(H880:L880)</f>
        <v>0</v>
      </c>
      <c r="N880" s="94">
        <f>M880*$C$2</f>
        <v>0</v>
      </c>
      <c r="O880" s="90"/>
      <c r="P880" s="90">
        <f>M880-N880-O880</f>
        <v>0</v>
      </c>
      <c r="Q880" s="83"/>
      <c r="R880" s="90" t="e">
        <f>+#REF!</f>
        <v>#REF!</v>
      </c>
      <c r="S880" s="90" t="e">
        <f>+#REF!</f>
        <v>#REF!</v>
      </c>
      <c r="T880" s="90"/>
      <c r="U880" s="90" t="e">
        <f>R880-S880-T880</f>
        <v>#REF!</v>
      </c>
      <c r="V880" s="83"/>
      <c r="W880" s="90" t="e">
        <f>+#REF!</f>
        <v>#REF!</v>
      </c>
      <c r="X880" s="90" t="e">
        <f>+#REF!</f>
        <v>#REF!</v>
      </c>
      <c r="Y880" s="90"/>
      <c r="Z880" s="90" t="e">
        <f>W880-X880-Y880</f>
        <v>#REF!</v>
      </c>
    </row>
    <row r="881" spans="1:26" ht="12.75" customHeight="1" thickBot="1">
      <c r="A881" s="106"/>
      <c r="F881" s="123">
        <f>E881*D881</f>
        <v>0</v>
      </c>
      <c r="G881" s="143">
        <f>+F881*$C$4</f>
        <v>0</v>
      </c>
      <c r="H881" s="123">
        <f>+G881+F881</f>
        <v>0</v>
      </c>
      <c r="I881" s="143"/>
      <c r="J881" s="143">
        <f>D881*$C$7</f>
        <v>0</v>
      </c>
      <c r="K881" s="143">
        <f>D881*$C$5</f>
        <v>0</v>
      </c>
      <c r="L881" s="143">
        <f>D881*$C$6</f>
        <v>0</v>
      </c>
      <c r="M881" s="123">
        <f>SUM(H881:L881)</f>
        <v>0</v>
      </c>
      <c r="N881" s="143">
        <f>M881*$C$2</f>
        <v>0</v>
      </c>
      <c r="O881" s="123"/>
      <c r="P881" s="123">
        <f>M881-N881-O881</f>
        <v>0</v>
      </c>
      <c r="Q881" s="138"/>
      <c r="R881" s="123" t="e">
        <f>+#REF!</f>
        <v>#REF!</v>
      </c>
      <c r="S881" s="123" t="e">
        <f>+#REF!</f>
        <v>#REF!</v>
      </c>
      <c r="T881" s="123"/>
      <c r="U881" s="123" t="e">
        <f>R881-S881-T881</f>
        <v>#REF!</v>
      </c>
      <c r="V881" s="83"/>
      <c r="W881" s="123" t="e">
        <f>+#REF!</f>
        <v>#REF!</v>
      </c>
      <c r="X881" s="123" t="e">
        <f>+#REF!</f>
        <v>#REF!</v>
      </c>
      <c r="Y881" s="123"/>
      <c r="Z881" s="123" t="e">
        <f>W881-X881-Y881</f>
        <v>#REF!</v>
      </c>
    </row>
    <row r="882" spans="1:26" ht="12.75" customHeight="1">
      <c r="A882" s="106"/>
      <c r="F882" s="82">
        <f aca="true" t="shared" si="224" ref="F882:P882">SUM(F880:F881)</f>
        <v>0</v>
      </c>
      <c r="G882" s="82">
        <f t="shared" si="224"/>
        <v>0</v>
      </c>
      <c r="H882" s="82">
        <f t="shared" si="224"/>
        <v>0</v>
      </c>
      <c r="I882" s="82">
        <f t="shared" si="224"/>
        <v>0</v>
      </c>
      <c r="J882" s="82">
        <f t="shared" si="224"/>
        <v>0</v>
      </c>
      <c r="K882" s="82">
        <f t="shared" si="224"/>
        <v>0</v>
      </c>
      <c r="L882" s="82">
        <f t="shared" si="224"/>
        <v>0</v>
      </c>
      <c r="M882" s="82">
        <f t="shared" si="224"/>
        <v>0</v>
      </c>
      <c r="N882" s="82">
        <f t="shared" si="224"/>
        <v>0</v>
      </c>
      <c r="O882" s="82">
        <f t="shared" si="224"/>
        <v>0</v>
      </c>
      <c r="P882" s="82">
        <f t="shared" si="224"/>
        <v>0</v>
      </c>
      <c r="Q882" s="83"/>
      <c r="R882" s="82" t="e">
        <f>SUM(R880:R881)</f>
        <v>#REF!</v>
      </c>
      <c r="S882" s="82" t="e">
        <f>SUM(S880:S881)</f>
        <v>#REF!</v>
      </c>
      <c r="T882" s="82">
        <f>SUM(T880:T881)</f>
        <v>0</v>
      </c>
      <c r="U882" s="82" t="e">
        <f>SUM(U880:U881)</f>
        <v>#REF!</v>
      </c>
      <c r="V882" s="83"/>
      <c r="W882" s="82" t="e">
        <f>SUM(W880:W881)</f>
        <v>#REF!</v>
      </c>
      <c r="X882" s="82" t="e">
        <f>SUM(X880:X881)</f>
        <v>#REF!</v>
      </c>
      <c r="Y882" s="82">
        <f>SUM(Y880:Y881)</f>
        <v>0</v>
      </c>
      <c r="Z882" s="82" t="e">
        <f>SUM(Z880:Z881)</f>
        <v>#REF!</v>
      </c>
    </row>
    <row r="883" spans="1:26" ht="12.75" customHeight="1">
      <c r="A883" s="106"/>
      <c r="F883" s="82">
        <f>SUM(F882:F882)</f>
        <v>0</v>
      </c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3"/>
      <c r="R883" s="82"/>
      <c r="S883" s="82"/>
      <c r="T883" s="82"/>
      <c r="U883" s="82"/>
      <c r="V883" s="83"/>
      <c r="W883" s="82"/>
      <c r="X883" s="82"/>
      <c r="Y883" s="82"/>
      <c r="Z883" s="82"/>
    </row>
    <row r="884" spans="1:26" ht="12.75" customHeight="1">
      <c r="A884" s="106"/>
      <c r="B884" s="83"/>
      <c r="F884" s="82"/>
      <c r="G884" s="82"/>
      <c r="H884" s="82"/>
      <c r="I884" s="82"/>
      <c r="J884" s="82"/>
      <c r="K884" s="82"/>
      <c r="L884" s="82"/>
      <c r="M884" s="90">
        <f>SUM(H884:L884)</f>
        <v>0</v>
      </c>
      <c r="N884" s="82"/>
      <c r="O884" s="82"/>
      <c r="P884" s="82">
        <f>+M884-N884-O884</f>
        <v>0</v>
      </c>
      <c r="Q884" s="83"/>
      <c r="R884" s="90" t="e">
        <f>+#REF!</f>
        <v>#REF!</v>
      </c>
      <c r="S884" s="82"/>
      <c r="T884" s="82"/>
      <c r="U884" s="82" t="e">
        <f>+R884-S884-T884</f>
        <v>#REF!</v>
      </c>
      <c r="V884" s="83"/>
      <c r="W884" s="90" t="e">
        <f>+#REF!</f>
        <v>#REF!</v>
      </c>
      <c r="X884" s="82"/>
      <c r="Y884" s="82"/>
      <c r="Z884" s="82" t="e">
        <f>+W884-X884-Y884</f>
        <v>#REF!</v>
      </c>
    </row>
    <row r="885" spans="1:26" ht="12.75" customHeight="1">
      <c r="A885" s="106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3"/>
      <c r="R885" s="82"/>
      <c r="S885" s="82"/>
      <c r="T885" s="82"/>
      <c r="U885" s="82"/>
      <c r="V885" s="83"/>
      <c r="W885" s="82"/>
      <c r="X885" s="82"/>
      <c r="Y885" s="82"/>
      <c r="Z885" s="82"/>
    </row>
    <row r="886" spans="1:26" ht="12.75" customHeight="1" thickBot="1">
      <c r="A886" s="106"/>
      <c r="B886" s="111" t="s">
        <v>79</v>
      </c>
      <c r="F886" s="126">
        <f aca="true" t="shared" si="225" ref="F886:N886">SUM(F882:F885)</f>
        <v>0</v>
      </c>
      <c r="G886" s="126">
        <f t="shared" si="225"/>
        <v>0</v>
      </c>
      <c r="H886" s="126">
        <f t="shared" si="225"/>
        <v>0</v>
      </c>
      <c r="I886" s="126">
        <f t="shared" si="225"/>
        <v>0</v>
      </c>
      <c r="J886" s="126">
        <f t="shared" si="225"/>
        <v>0</v>
      </c>
      <c r="K886" s="126">
        <f t="shared" si="225"/>
        <v>0</v>
      </c>
      <c r="L886" s="126">
        <f t="shared" si="225"/>
        <v>0</v>
      </c>
      <c r="M886" s="126">
        <f t="shared" si="225"/>
        <v>0</v>
      </c>
      <c r="N886" s="126">
        <f t="shared" si="225"/>
        <v>0</v>
      </c>
      <c r="O886" s="126"/>
      <c r="P886" s="126">
        <f>SUM(P882:P885)</f>
        <v>0</v>
      </c>
      <c r="Q886" s="83"/>
      <c r="R886" s="126" t="e">
        <f>SUM(R882:R885)</f>
        <v>#REF!</v>
      </c>
      <c r="S886" s="126" t="e">
        <f>SUM(S882:S885)</f>
        <v>#REF!</v>
      </c>
      <c r="T886" s="126">
        <f>SUM(T882:T885)</f>
        <v>0</v>
      </c>
      <c r="U886" s="126" t="e">
        <f>SUM(U882:U885)</f>
        <v>#REF!</v>
      </c>
      <c r="V886" s="83"/>
      <c r="W886" s="126" t="e">
        <f>SUM(W882:W885)</f>
        <v>#REF!</v>
      </c>
      <c r="X886" s="126" t="e">
        <f>SUM(X882:X885)</f>
        <v>#REF!</v>
      </c>
      <c r="Y886" s="126">
        <f>SUM(Y882:Y885)</f>
        <v>0</v>
      </c>
      <c r="Z886" s="126" t="e">
        <f>SUM(Z882:Z885)</f>
        <v>#REF!</v>
      </c>
    </row>
    <row r="887" spans="1:26" ht="12.75" customHeight="1" thickTop="1">
      <c r="A887" s="106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3"/>
      <c r="R887" s="82"/>
      <c r="S887" s="82"/>
      <c r="T887" s="82"/>
      <c r="U887" s="82"/>
      <c r="V887" s="83"/>
      <c r="W887" s="82"/>
      <c r="X887" s="82"/>
      <c r="Y887" s="82"/>
      <c r="Z887" s="82"/>
    </row>
    <row r="888" spans="1:26" ht="12.75" customHeight="1">
      <c r="A888" s="106"/>
      <c r="B888" s="128" t="s">
        <v>80</v>
      </c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3"/>
      <c r="R888" s="82"/>
      <c r="S888" s="82"/>
      <c r="T888" s="82"/>
      <c r="U888" s="82"/>
      <c r="V888" s="83"/>
      <c r="W888" s="82"/>
      <c r="X888" s="82"/>
      <c r="Y888" s="82"/>
      <c r="Z888" s="82"/>
    </row>
    <row r="889" spans="1:26" ht="12.75" customHeight="1">
      <c r="A889" s="106"/>
      <c r="B889" s="157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3"/>
      <c r="R889" s="82"/>
      <c r="S889" s="82"/>
      <c r="T889" s="82"/>
      <c r="U889" s="82"/>
      <c r="V889" s="83"/>
      <c r="W889" s="82"/>
      <c r="X889" s="82"/>
      <c r="Y889" s="82"/>
      <c r="Z889" s="82"/>
    </row>
    <row r="890" spans="1:26" ht="12.75" customHeight="1">
      <c r="A890" s="106"/>
      <c r="B890" s="129" t="s">
        <v>60</v>
      </c>
      <c r="F890" s="82">
        <f aca="true" t="shared" si="226" ref="F890:L890">F886</f>
        <v>0</v>
      </c>
      <c r="G890" s="82">
        <f t="shared" si="226"/>
        <v>0</v>
      </c>
      <c r="H890" s="82">
        <f t="shared" si="226"/>
        <v>0</v>
      </c>
      <c r="I890" s="82">
        <f t="shared" si="226"/>
        <v>0</v>
      </c>
      <c r="J890" s="82">
        <f t="shared" si="226"/>
        <v>0</v>
      </c>
      <c r="K890" s="82">
        <f t="shared" si="226"/>
        <v>0</v>
      </c>
      <c r="L890" s="82">
        <f t="shared" si="226"/>
        <v>0</v>
      </c>
      <c r="M890" s="90">
        <f>SUM(H890:L890)</f>
        <v>0</v>
      </c>
      <c r="N890" s="82">
        <f>+M890*0.5</f>
        <v>0</v>
      </c>
      <c r="O890" s="82"/>
      <c r="P890" s="82">
        <f>+M890-N890</f>
        <v>0</v>
      </c>
      <c r="Q890" s="83"/>
      <c r="R890" s="90" t="e">
        <f>+#REF!</f>
        <v>#REF!</v>
      </c>
      <c r="S890" s="82"/>
      <c r="T890" s="82"/>
      <c r="U890" s="82" t="e">
        <f>+R890-S890-T890</f>
        <v>#REF!</v>
      </c>
      <c r="V890" s="83"/>
      <c r="W890" s="90" t="e">
        <f>+#REF!</f>
        <v>#REF!</v>
      </c>
      <c r="X890" s="82"/>
      <c r="Y890" s="82"/>
      <c r="Z890" s="82" t="e">
        <f>+W890-X890-Y890</f>
        <v>#REF!</v>
      </c>
    </row>
    <row r="891" spans="1:26" ht="12.75" customHeight="1" thickBot="1">
      <c r="A891" s="106"/>
      <c r="B891" s="111"/>
      <c r="F891" s="126">
        <f aca="true" t="shared" si="227" ref="F891:P891">SUM(F889:F890)</f>
        <v>0</v>
      </c>
      <c r="G891" s="126">
        <f t="shared" si="227"/>
        <v>0</v>
      </c>
      <c r="H891" s="126">
        <f t="shared" si="227"/>
        <v>0</v>
      </c>
      <c r="I891" s="126">
        <f t="shared" si="227"/>
        <v>0</v>
      </c>
      <c r="J891" s="126">
        <f t="shared" si="227"/>
        <v>0</v>
      </c>
      <c r="K891" s="126">
        <f t="shared" si="227"/>
        <v>0</v>
      </c>
      <c r="L891" s="126">
        <f t="shared" si="227"/>
        <v>0</v>
      </c>
      <c r="M891" s="126">
        <f t="shared" si="227"/>
        <v>0</v>
      </c>
      <c r="N891" s="126">
        <f t="shared" si="227"/>
        <v>0</v>
      </c>
      <c r="O891" s="126">
        <f t="shared" si="227"/>
        <v>0</v>
      </c>
      <c r="P891" s="126">
        <f t="shared" si="227"/>
        <v>0</v>
      </c>
      <c r="Q891" s="83"/>
      <c r="R891" s="126" t="e">
        <f>SUM(R889:R890)</f>
        <v>#REF!</v>
      </c>
      <c r="S891" s="126">
        <f>SUM(S889:S890)</f>
        <v>0</v>
      </c>
      <c r="T891" s="126">
        <f>SUM(T889:T890)</f>
        <v>0</v>
      </c>
      <c r="U891" s="126" t="e">
        <f>SUM(U889:U890)</f>
        <v>#REF!</v>
      </c>
      <c r="V891" s="83"/>
      <c r="W891" s="126" t="e">
        <f>SUM(W889:W890)</f>
        <v>#REF!</v>
      </c>
      <c r="X891" s="126">
        <f>SUM(X889:X890)</f>
        <v>0</v>
      </c>
      <c r="Y891" s="126">
        <f>SUM(Y889:Y890)</f>
        <v>0</v>
      </c>
      <c r="Z891" s="126" t="e">
        <f>SUM(Z889:Z890)</f>
        <v>#REF!</v>
      </c>
    </row>
    <row r="892" ht="12.75" customHeight="1" thickTop="1"/>
  </sheetData>
  <printOptions gridLines="1"/>
  <pageMargins left="0.45" right="0" top="0.5" bottom="0.5" header="0" footer="0"/>
  <pageSetup fitToHeight="20" fitToWidth="2" horizontalDpi="300" verticalDpi="300" orientation="landscape" paperSize="5" r:id="rId3"/>
  <rowBreaks count="1" manualBreakCount="1">
    <brk id="394" max="255" man="1"/>
  </rowBreaks>
  <colBreaks count="1" manualBreakCount="1">
    <brk id="1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zoomScale="85" zoomScaleNormal="85" workbookViewId="0" topLeftCell="A1">
      <pane xSplit="1" ySplit="1" topLeftCell="B5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7" sqref="D7:E7"/>
    </sheetView>
  </sheetViews>
  <sheetFormatPr defaultColWidth="9.140625" defaultRowHeight="12.75"/>
  <cols>
    <col min="1" max="1" width="8.00390625" style="11" customWidth="1"/>
    <col min="2" max="2" width="82.00390625" style="11" customWidth="1"/>
    <col min="3" max="3" width="11.7109375" style="186" customWidth="1"/>
    <col min="4" max="4" width="21.8515625" style="10" customWidth="1"/>
    <col min="5" max="5" width="20.28125" style="10" customWidth="1"/>
    <col min="6" max="6" width="12.140625" style="187" customWidth="1"/>
    <col min="7" max="7" width="21.8515625" style="4" customWidth="1"/>
    <col min="8" max="10" width="6.57421875" style="4" customWidth="1"/>
    <col min="11" max="16384" width="6.57421875" style="7" customWidth="1"/>
  </cols>
  <sheetData>
    <row r="1" spans="1:10" ht="20.25">
      <c r="A1" s="181" t="s">
        <v>5</v>
      </c>
      <c r="B1" s="181"/>
      <c r="C1" s="191" t="s">
        <v>0</v>
      </c>
      <c r="D1" s="182" t="s">
        <v>7</v>
      </c>
      <c r="E1" s="182" t="s">
        <v>1</v>
      </c>
      <c r="F1" s="183" t="s">
        <v>6</v>
      </c>
      <c r="G1" s="7"/>
      <c r="H1" s="7"/>
      <c r="I1" s="7"/>
      <c r="J1" s="7"/>
    </row>
    <row r="2" spans="1:10" ht="20.25">
      <c r="A2" s="5" t="s">
        <v>196</v>
      </c>
      <c r="B2" s="5"/>
      <c r="C2" s="177"/>
      <c r="D2" s="3">
        <v>23528966.55038293</v>
      </c>
      <c r="E2" s="3">
        <v>4088523.8145612557</v>
      </c>
      <c r="F2" s="6">
        <v>1</v>
      </c>
      <c r="G2" s="7"/>
      <c r="H2" s="7"/>
      <c r="I2" s="7"/>
      <c r="J2" s="7"/>
    </row>
    <row r="3" spans="1:10" ht="20.25">
      <c r="A3" s="5"/>
      <c r="B3" s="5" t="s">
        <v>197</v>
      </c>
      <c r="C3" s="190"/>
      <c r="D3" s="3">
        <v>22116688.21173811</v>
      </c>
      <c r="E3" s="3">
        <v>0</v>
      </c>
      <c r="F3" s="6"/>
      <c r="G3" s="7"/>
      <c r="H3" s="7"/>
      <c r="I3" s="7"/>
      <c r="J3" s="7"/>
    </row>
    <row r="4" spans="1:10" ht="20.25">
      <c r="A4" s="5"/>
      <c r="B4" s="5" t="s">
        <v>198</v>
      </c>
      <c r="C4" s="190"/>
      <c r="D4" s="3">
        <v>1412278.3386448214</v>
      </c>
      <c r="E4" s="3">
        <v>4088523.8145612557</v>
      </c>
      <c r="F4" s="6"/>
      <c r="G4" s="7"/>
      <c r="H4" s="7"/>
      <c r="I4" s="7"/>
      <c r="J4" s="7"/>
    </row>
    <row r="5" spans="1:10" ht="20.25">
      <c r="A5" s="5"/>
      <c r="B5" s="5"/>
      <c r="C5" s="190"/>
      <c r="D5" s="3"/>
      <c r="E5" s="3"/>
      <c r="F5" s="6"/>
      <c r="G5" s="7"/>
      <c r="H5" s="7"/>
      <c r="I5" s="7"/>
      <c r="J5" s="7"/>
    </row>
    <row r="6" spans="1:10" ht="20.25">
      <c r="A6" s="5"/>
      <c r="B6" s="5"/>
      <c r="C6" s="190"/>
      <c r="D6" s="3"/>
      <c r="E6" s="3"/>
      <c r="F6" s="6"/>
      <c r="G6" s="7"/>
      <c r="H6" s="7"/>
      <c r="I6" s="7"/>
      <c r="J6" s="7"/>
    </row>
    <row r="7" spans="1:10" ht="20.25">
      <c r="A7" s="5" t="s">
        <v>3</v>
      </c>
      <c r="B7" s="5"/>
      <c r="C7" s="190"/>
      <c r="D7" s="3">
        <v>56245426.34372779</v>
      </c>
      <c r="E7" s="3">
        <v>122735146.55236806</v>
      </c>
      <c r="F7" s="6">
        <v>2</v>
      </c>
      <c r="G7" s="7"/>
      <c r="H7" s="7"/>
      <c r="I7" s="7"/>
      <c r="J7" s="7"/>
    </row>
    <row r="8" spans="1:10" ht="20.25">
      <c r="A8" s="5"/>
      <c r="B8" s="5" t="s">
        <v>11</v>
      </c>
      <c r="C8" s="190"/>
      <c r="D8" s="3">
        <v>36095770.858995445</v>
      </c>
      <c r="E8" s="3">
        <v>109698939.00242038</v>
      </c>
      <c r="F8" s="6"/>
      <c r="G8" s="7"/>
      <c r="H8" s="7"/>
      <c r="I8" s="7"/>
      <c r="J8" s="7"/>
    </row>
    <row r="9" spans="1:10" ht="20.25">
      <c r="A9" s="5"/>
      <c r="B9" s="5" t="s">
        <v>13</v>
      </c>
      <c r="C9" s="190"/>
      <c r="D9" s="3">
        <v>1988251.1511585875</v>
      </c>
      <c r="E9" s="3">
        <v>5731482.130754072</v>
      </c>
      <c r="F9" s="6"/>
      <c r="G9" s="7"/>
      <c r="H9" s="7"/>
      <c r="I9" s="7"/>
      <c r="J9" s="7"/>
    </row>
    <row r="10" spans="1:10" ht="20.25">
      <c r="A10" s="5"/>
      <c r="B10" s="5" t="s">
        <v>12</v>
      </c>
      <c r="C10" s="190"/>
      <c r="D10" s="3">
        <v>2537376.7791936174</v>
      </c>
      <c r="E10" s="3">
        <v>2537376.7791936174</v>
      </c>
      <c r="F10" s="6"/>
      <c r="G10" s="7"/>
      <c r="H10" s="7"/>
      <c r="I10" s="7"/>
      <c r="J10" s="7"/>
    </row>
    <row r="11" spans="1:10" ht="20.25">
      <c r="A11" s="5"/>
      <c r="B11" s="5" t="s">
        <v>83</v>
      </c>
      <c r="C11" s="190"/>
      <c r="D11" s="3">
        <v>13661593.38138014</v>
      </c>
      <c r="E11" s="3">
        <v>0</v>
      </c>
      <c r="F11" s="6"/>
      <c r="G11" s="7"/>
      <c r="H11" s="7"/>
      <c r="I11" s="7"/>
      <c r="J11" s="7"/>
    </row>
    <row r="12" spans="1:10" ht="20.25">
      <c r="A12" s="5"/>
      <c r="B12" s="5" t="s">
        <v>84</v>
      </c>
      <c r="C12" s="190"/>
      <c r="D12" s="3">
        <v>217345.5</v>
      </c>
      <c r="E12" s="3">
        <v>859691</v>
      </c>
      <c r="F12" s="6"/>
      <c r="G12" s="7"/>
      <c r="H12" s="7"/>
      <c r="I12" s="7"/>
      <c r="J12" s="7"/>
    </row>
    <row r="13" spans="1:10" ht="20.25">
      <c r="A13" s="5"/>
      <c r="B13" s="5" t="s">
        <v>85</v>
      </c>
      <c r="C13" s="190"/>
      <c r="D13" s="3">
        <v>21500</v>
      </c>
      <c r="E13" s="3">
        <v>43000</v>
      </c>
      <c r="F13" s="6"/>
      <c r="G13" s="7"/>
      <c r="H13" s="7"/>
      <c r="I13" s="7"/>
      <c r="J13" s="7"/>
    </row>
    <row r="14" spans="1:10" ht="20.25">
      <c r="A14" s="5"/>
      <c r="B14" s="5" t="s">
        <v>199</v>
      </c>
      <c r="C14" s="190"/>
      <c r="D14" s="3">
        <v>466357.35300000006</v>
      </c>
      <c r="E14" s="3">
        <v>1350195</v>
      </c>
      <c r="F14" s="6"/>
      <c r="G14" s="7"/>
      <c r="H14" s="7"/>
      <c r="I14" s="7"/>
      <c r="J14" s="7"/>
    </row>
    <row r="15" spans="1:10" ht="20.25">
      <c r="A15" s="5"/>
      <c r="B15" s="5" t="s">
        <v>200</v>
      </c>
      <c r="C15" s="190"/>
      <c r="D15" s="3">
        <v>1232231.32</v>
      </c>
      <c r="E15" s="3">
        <v>2464462.64</v>
      </c>
      <c r="F15" s="6"/>
      <c r="G15" s="7"/>
      <c r="H15" s="7"/>
      <c r="I15" s="7"/>
      <c r="J15" s="7"/>
    </row>
    <row r="16" spans="2:10" ht="20.25">
      <c r="B16" s="2" t="s">
        <v>201</v>
      </c>
      <c r="C16" s="190"/>
      <c r="D16" s="3">
        <v>10000</v>
      </c>
      <c r="E16" s="3">
        <v>20000</v>
      </c>
      <c r="F16" s="6"/>
      <c r="G16" s="7"/>
      <c r="H16" s="7"/>
      <c r="I16" s="7"/>
      <c r="J16" s="7"/>
    </row>
    <row r="17" spans="2:10" ht="20.25">
      <c r="B17" s="175" t="s">
        <v>202</v>
      </c>
      <c r="C17" s="190"/>
      <c r="D17" s="3">
        <v>15000</v>
      </c>
      <c r="E17" s="3">
        <v>30000</v>
      </c>
      <c r="F17" s="6"/>
      <c r="G17" s="7"/>
      <c r="H17" s="7"/>
      <c r="I17" s="7"/>
      <c r="J17" s="7"/>
    </row>
    <row r="18" spans="2:10" ht="20.25">
      <c r="B18" s="5"/>
      <c r="C18" s="190"/>
      <c r="D18" s="3"/>
      <c r="E18" s="3"/>
      <c r="F18" s="6"/>
      <c r="G18" s="7"/>
      <c r="H18" s="7"/>
      <c r="I18" s="7"/>
      <c r="J18" s="7"/>
    </row>
    <row r="19" spans="1:10" ht="20.25">
      <c r="A19" s="4" t="s">
        <v>203</v>
      </c>
      <c r="B19" s="5"/>
      <c r="C19" s="190"/>
      <c r="D19" s="3"/>
      <c r="E19" s="3"/>
      <c r="F19" s="6">
        <v>3</v>
      </c>
      <c r="G19" s="7"/>
      <c r="H19" s="7"/>
      <c r="I19" s="7"/>
      <c r="J19" s="7"/>
    </row>
    <row r="20" spans="1:10" ht="20.25">
      <c r="A20" s="7"/>
      <c r="B20" s="4" t="s">
        <v>204</v>
      </c>
      <c r="C20" s="190"/>
      <c r="D20" s="3">
        <v>108217090</v>
      </c>
      <c r="E20" s="3">
        <v>108217090</v>
      </c>
      <c r="F20" s="7"/>
      <c r="G20" s="7"/>
      <c r="H20" s="7"/>
      <c r="I20" s="7"/>
      <c r="J20" s="7"/>
    </row>
    <row r="21" spans="1:10" ht="20.25">
      <c r="A21" s="7"/>
      <c r="B21" s="4" t="s">
        <v>205</v>
      </c>
      <c r="C21" s="190"/>
      <c r="D21" s="3">
        <v>33438657</v>
      </c>
      <c r="E21" s="3">
        <v>33438657</v>
      </c>
      <c r="F21" s="7"/>
      <c r="G21" s="7"/>
      <c r="H21" s="7"/>
      <c r="I21" s="7"/>
      <c r="J21" s="7"/>
    </row>
    <row r="22" spans="1:10" ht="20.25">
      <c r="A22" s="4"/>
      <c r="B22" s="3"/>
      <c r="C22" s="190"/>
      <c r="D22" s="3"/>
      <c r="E22" s="3"/>
      <c r="F22" s="6"/>
      <c r="G22" s="7"/>
      <c r="H22" s="7"/>
      <c r="I22" s="7"/>
      <c r="J22" s="7"/>
    </row>
    <row r="23" spans="1:10" ht="20.25">
      <c r="A23" s="11" t="s">
        <v>4</v>
      </c>
      <c r="B23" s="5"/>
      <c r="C23" s="190"/>
      <c r="D23" s="3"/>
      <c r="E23" s="3"/>
      <c r="F23" s="6">
        <v>4</v>
      </c>
      <c r="G23" s="7"/>
      <c r="H23" s="7"/>
      <c r="I23" s="7"/>
      <c r="J23" s="7"/>
    </row>
    <row r="24" spans="1:10" ht="20.25">
      <c r="A24" s="5"/>
      <c r="B24" s="5" t="s">
        <v>91</v>
      </c>
      <c r="C24" s="190"/>
      <c r="D24" s="3">
        <v>37500</v>
      </c>
      <c r="E24" s="3">
        <v>75000</v>
      </c>
      <c r="F24" s="6"/>
      <c r="G24" s="7"/>
      <c r="H24" s="7"/>
      <c r="I24" s="7"/>
      <c r="J24" s="7"/>
    </row>
    <row r="25" spans="1:10" ht="20.25">
      <c r="A25" s="5"/>
      <c r="B25" s="5" t="s">
        <v>92</v>
      </c>
      <c r="C25" s="190"/>
      <c r="D25" s="3">
        <v>3675000</v>
      </c>
      <c r="E25" s="3">
        <v>24500000</v>
      </c>
      <c r="F25" s="6"/>
      <c r="G25" s="7"/>
      <c r="H25" s="7"/>
      <c r="I25" s="7"/>
      <c r="J25" s="7"/>
    </row>
    <row r="26" spans="1:10" ht="20.25">
      <c r="A26" s="5"/>
      <c r="B26" s="5"/>
      <c r="C26" s="190"/>
      <c r="D26" s="3"/>
      <c r="E26" s="3"/>
      <c r="F26" s="6"/>
      <c r="G26" s="7"/>
      <c r="H26" s="7"/>
      <c r="I26" s="7"/>
      <c r="J26" s="7"/>
    </row>
    <row r="27" spans="1:10" ht="20.25">
      <c r="A27" s="5" t="s">
        <v>8</v>
      </c>
      <c r="B27" s="5"/>
      <c r="C27" s="190"/>
      <c r="D27" s="8">
        <v>38177036.950508974</v>
      </c>
      <c r="E27" s="8">
        <v>110390692.72842763</v>
      </c>
      <c r="F27" s="6">
        <v>5</v>
      </c>
      <c r="G27" s="7"/>
      <c r="H27" s="7"/>
      <c r="I27" s="7"/>
      <c r="J27" s="7"/>
    </row>
    <row r="28" spans="1:10" ht="20.25">
      <c r="A28" s="5"/>
      <c r="B28" s="5" t="s">
        <v>15</v>
      </c>
      <c r="C28" s="190"/>
      <c r="D28" s="8"/>
      <c r="E28" s="8"/>
      <c r="F28" s="6"/>
      <c r="G28" s="7"/>
      <c r="H28" s="7"/>
      <c r="I28" s="7"/>
      <c r="J28" s="7"/>
    </row>
    <row r="29" spans="1:10" ht="20.25">
      <c r="A29" s="5"/>
      <c r="B29" s="5" t="s">
        <v>94</v>
      </c>
      <c r="C29" s="190"/>
      <c r="D29" s="8">
        <v>2528704.340934582</v>
      </c>
      <c r="E29" s="8">
        <v>7289433.095804503</v>
      </c>
      <c r="F29" s="6"/>
      <c r="G29" s="7"/>
      <c r="H29" s="7"/>
      <c r="I29" s="7"/>
      <c r="J29" s="7"/>
    </row>
    <row r="30" spans="1:10" ht="20.25">
      <c r="A30" s="5"/>
      <c r="B30" s="5" t="s">
        <v>95</v>
      </c>
      <c r="C30" s="190"/>
      <c r="D30" s="8">
        <v>6667949.594112383</v>
      </c>
      <c r="E30" s="8">
        <v>19221532.41312304</v>
      </c>
      <c r="F30" s="6"/>
      <c r="G30" s="7"/>
      <c r="H30" s="7"/>
      <c r="I30" s="7"/>
      <c r="J30" s="7"/>
    </row>
    <row r="31" spans="1:10" ht="20.25">
      <c r="A31" s="5"/>
      <c r="B31" s="5" t="s">
        <v>16</v>
      </c>
      <c r="C31" s="190"/>
      <c r="D31" s="8">
        <v>22054350.387005474</v>
      </c>
      <c r="E31" s="8">
        <v>63851622.429083586</v>
      </c>
      <c r="F31" s="6"/>
      <c r="G31" s="7"/>
      <c r="H31" s="7"/>
      <c r="I31" s="7"/>
      <c r="J31" s="7"/>
    </row>
    <row r="32" spans="1:10" ht="20.25">
      <c r="A32" s="5"/>
      <c r="B32" s="5" t="s">
        <v>17</v>
      </c>
      <c r="C32" s="190"/>
      <c r="D32" s="8">
        <v>2227608.2532</v>
      </c>
      <c r="E32" s="8">
        <v>6449358</v>
      </c>
      <c r="F32" s="6"/>
      <c r="G32" s="7"/>
      <c r="H32" s="7"/>
      <c r="I32" s="7"/>
      <c r="J32" s="7"/>
    </row>
    <row r="33" spans="1:10" ht="20.25">
      <c r="A33" s="5"/>
      <c r="B33" s="5" t="s">
        <v>97</v>
      </c>
      <c r="C33" s="190"/>
      <c r="D33" s="8">
        <v>591160.6668289476</v>
      </c>
      <c r="E33" s="8">
        <v>1711524.8026315793</v>
      </c>
      <c r="F33" s="6"/>
      <c r="G33" s="7"/>
      <c r="H33" s="7"/>
      <c r="I33" s="7"/>
      <c r="J33" s="7"/>
    </row>
    <row r="34" spans="1:10" ht="20.25">
      <c r="A34" s="5"/>
      <c r="B34" s="5" t="s">
        <v>206</v>
      </c>
      <c r="C34" s="190"/>
      <c r="D34" s="8">
        <v>1925349.0809415842</v>
      </c>
      <c r="E34" s="8">
        <v>5550155.897784907</v>
      </c>
      <c r="F34" s="6"/>
      <c r="G34" s="7"/>
      <c r="H34" s="7"/>
      <c r="I34" s="7"/>
      <c r="J34" s="7"/>
    </row>
    <row r="35" spans="1:10" ht="20.25">
      <c r="A35" s="5"/>
      <c r="B35" s="175" t="s">
        <v>99</v>
      </c>
      <c r="C35" s="190"/>
      <c r="D35" s="8">
        <v>700072.9538000001</v>
      </c>
      <c r="E35" s="176">
        <v>2026847</v>
      </c>
      <c r="F35" s="6"/>
      <c r="G35" s="7"/>
      <c r="H35" s="7"/>
      <c r="I35" s="7"/>
      <c r="J35" s="7"/>
    </row>
    <row r="36" spans="1:10" ht="20.25">
      <c r="A36" s="5"/>
      <c r="B36" s="175" t="s">
        <v>207</v>
      </c>
      <c r="C36" s="190"/>
      <c r="D36" s="8">
        <v>2763200</v>
      </c>
      <c r="E36" s="176">
        <v>8000000</v>
      </c>
      <c r="F36" s="6"/>
      <c r="G36" s="7"/>
      <c r="H36" s="7"/>
      <c r="I36" s="7"/>
      <c r="J36" s="7"/>
    </row>
    <row r="37" spans="1:10" ht="20.25">
      <c r="A37" s="5"/>
      <c r="B37" s="5" t="s">
        <v>100</v>
      </c>
      <c r="C37" s="190"/>
      <c r="D37" s="8">
        <v>1481841.6736859996</v>
      </c>
      <c r="E37" s="8">
        <v>4290219.09</v>
      </c>
      <c r="F37" s="6"/>
      <c r="G37" s="7"/>
      <c r="H37" s="7"/>
      <c r="I37" s="7"/>
      <c r="J37" s="7"/>
    </row>
    <row r="38" spans="1:10" ht="20.25">
      <c r="A38" s="5"/>
      <c r="B38" s="5"/>
      <c r="C38" s="190"/>
      <c r="D38" s="8"/>
      <c r="E38" s="8"/>
      <c r="F38" s="6"/>
      <c r="G38" s="7"/>
      <c r="H38" s="7"/>
      <c r="I38" s="7"/>
      <c r="J38" s="7"/>
    </row>
    <row r="39" spans="1:10" ht="20.25">
      <c r="A39" s="7"/>
      <c r="B39" s="2" t="s">
        <v>208</v>
      </c>
      <c r="C39" s="190">
        <v>9</v>
      </c>
      <c r="D39" s="3">
        <v>285044</v>
      </c>
      <c r="E39" s="3">
        <v>570088</v>
      </c>
      <c r="F39" s="6">
        <v>6</v>
      </c>
      <c r="G39" s="7"/>
      <c r="H39" s="7"/>
      <c r="I39" s="7"/>
      <c r="J39" s="7"/>
    </row>
    <row r="40" spans="1:10" ht="20.25">
      <c r="A40" s="5"/>
      <c r="B40" s="2" t="s">
        <v>109</v>
      </c>
      <c r="C40" s="190">
        <v>16</v>
      </c>
      <c r="D40" s="3">
        <v>3816150.475</v>
      </c>
      <c r="E40" s="3">
        <v>7971050.95</v>
      </c>
      <c r="F40" s="6">
        <v>7</v>
      </c>
      <c r="G40" s="7"/>
      <c r="H40" s="7"/>
      <c r="I40" s="7"/>
      <c r="J40" s="7"/>
    </row>
    <row r="41" spans="1:10" ht="20.25">
      <c r="A41" s="5"/>
      <c r="B41" s="2" t="s">
        <v>209</v>
      </c>
      <c r="C41" s="190">
        <v>17</v>
      </c>
      <c r="D41" s="178">
        <v>6227018.325200001</v>
      </c>
      <c r="E41" s="3">
        <v>16238038</v>
      </c>
      <c r="F41" s="6">
        <v>8</v>
      </c>
      <c r="G41" s="7"/>
      <c r="H41" s="7"/>
      <c r="I41" s="7"/>
      <c r="J41" s="7"/>
    </row>
    <row r="42" spans="1:10" ht="20.25">
      <c r="A42" s="5"/>
      <c r="B42" s="2" t="s">
        <v>128</v>
      </c>
      <c r="C42" s="190">
        <v>1</v>
      </c>
      <c r="D42" s="3">
        <v>758776.5</v>
      </c>
      <c r="E42" s="3">
        <v>907244</v>
      </c>
      <c r="F42" s="6">
        <v>9</v>
      </c>
      <c r="G42" s="7"/>
      <c r="H42" s="7"/>
      <c r="I42" s="7"/>
      <c r="J42" s="7"/>
    </row>
    <row r="43" spans="1:10" ht="20.25">
      <c r="A43" s="5"/>
      <c r="B43" s="2" t="s">
        <v>10</v>
      </c>
      <c r="C43" s="190"/>
      <c r="D43" s="178">
        <v>518137.5</v>
      </c>
      <c r="E43" s="3">
        <v>1500000</v>
      </c>
      <c r="F43" s="6">
        <v>10</v>
      </c>
      <c r="G43" s="7"/>
      <c r="H43" s="7"/>
      <c r="I43" s="7"/>
      <c r="J43" s="7"/>
    </row>
    <row r="44" spans="1:10" ht="20.25">
      <c r="A44" s="1"/>
      <c r="B44" s="2" t="s">
        <v>210</v>
      </c>
      <c r="C44" s="190"/>
      <c r="D44" s="3">
        <v>1235811.13295</v>
      </c>
      <c r="E44" s="3">
        <v>3577654</v>
      </c>
      <c r="F44" s="6">
        <v>11</v>
      </c>
      <c r="G44" s="7"/>
      <c r="H44" s="7"/>
      <c r="I44" s="7"/>
      <c r="J44" s="7"/>
    </row>
    <row r="45" spans="1:10" ht="20.25">
      <c r="A45" s="1"/>
      <c r="B45" s="2" t="s">
        <v>137</v>
      </c>
      <c r="C45" s="190"/>
      <c r="D45" s="3">
        <v>8371041.175200001</v>
      </c>
      <c r="E45" s="3">
        <v>24235788</v>
      </c>
      <c r="F45" s="6">
        <v>12</v>
      </c>
      <c r="G45" s="7"/>
      <c r="H45" s="7"/>
      <c r="I45" s="7"/>
      <c r="J45" s="7"/>
    </row>
    <row r="46" spans="1:10" ht="20.25">
      <c r="A46" s="1"/>
      <c r="B46" s="5" t="s">
        <v>145</v>
      </c>
      <c r="C46" s="190"/>
      <c r="D46" s="3">
        <v>104504.22400000002</v>
      </c>
      <c r="E46" s="3">
        <v>302560</v>
      </c>
      <c r="F46" s="6">
        <v>13</v>
      </c>
      <c r="G46" s="7"/>
      <c r="H46" s="7"/>
      <c r="I46" s="7"/>
      <c r="J46" s="7"/>
    </row>
    <row r="47" spans="1:10" ht="20.25">
      <c r="A47" s="1"/>
      <c r="B47" s="2" t="s">
        <v>146</v>
      </c>
      <c r="C47" s="190"/>
      <c r="D47" s="178">
        <v>350000</v>
      </c>
      <c r="E47" s="3">
        <v>700000</v>
      </c>
      <c r="F47" s="6">
        <v>14</v>
      </c>
      <c r="G47" s="7"/>
      <c r="H47" s="7"/>
      <c r="I47" s="7"/>
      <c r="J47" s="7"/>
    </row>
    <row r="48" spans="1:10" ht="20.25">
      <c r="A48" s="1"/>
      <c r="B48" s="2" t="s">
        <v>211</v>
      </c>
      <c r="C48" s="190">
        <v>8</v>
      </c>
      <c r="D48" s="3">
        <v>288426</v>
      </c>
      <c r="E48" s="3">
        <v>576852</v>
      </c>
      <c r="F48" s="6">
        <v>15</v>
      </c>
      <c r="G48" s="7"/>
      <c r="H48" s="7"/>
      <c r="I48" s="7"/>
      <c r="J48" s="7"/>
    </row>
    <row r="49" spans="1:10" ht="20.25">
      <c r="A49" s="1"/>
      <c r="B49" s="2" t="s">
        <v>212</v>
      </c>
      <c r="C49" s="190"/>
      <c r="D49" s="3">
        <v>100930.5</v>
      </c>
      <c r="E49" s="3">
        <v>201861</v>
      </c>
      <c r="F49" s="6">
        <v>16</v>
      </c>
      <c r="G49" s="7"/>
      <c r="H49" s="7"/>
      <c r="I49" s="7"/>
      <c r="J49" s="7"/>
    </row>
    <row r="50" spans="1:10" ht="20.25">
      <c r="A50" s="5"/>
      <c r="B50" s="2" t="s">
        <v>213</v>
      </c>
      <c r="C50" s="190"/>
      <c r="D50" s="3">
        <v>172700</v>
      </c>
      <c r="E50" s="3">
        <v>500000</v>
      </c>
      <c r="F50" s="6">
        <v>17</v>
      </c>
      <c r="G50" s="7"/>
      <c r="H50" s="7"/>
      <c r="I50" s="7"/>
      <c r="J50" s="7"/>
    </row>
    <row r="51" spans="1:10" ht="20.25">
      <c r="A51" s="5"/>
      <c r="B51" s="2" t="s">
        <v>214</v>
      </c>
      <c r="C51" s="190"/>
      <c r="D51" s="3">
        <v>64762.5</v>
      </c>
      <c r="E51" s="3">
        <v>187500</v>
      </c>
      <c r="F51" s="6">
        <v>18</v>
      </c>
      <c r="G51" s="7"/>
      <c r="H51" s="7"/>
      <c r="I51" s="7"/>
      <c r="J51" s="7"/>
    </row>
    <row r="52" spans="1:10" ht="20.25">
      <c r="A52" s="5"/>
      <c r="B52" s="2"/>
      <c r="C52" s="190"/>
      <c r="D52" s="177"/>
      <c r="E52" s="3"/>
      <c r="F52" s="6"/>
      <c r="G52" s="7"/>
      <c r="H52" s="7"/>
      <c r="I52" s="7"/>
      <c r="J52" s="7"/>
    </row>
    <row r="53" spans="1:10" ht="20.25">
      <c r="A53" s="5"/>
      <c r="B53" s="2"/>
      <c r="C53" s="190"/>
      <c r="D53" s="177"/>
      <c r="E53" s="3"/>
      <c r="F53" s="6"/>
      <c r="G53" s="7"/>
      <c r="H53" s="7"/>
      <c r="I53" s="7"/>
      <c r="J53" s="7"/>
    </row>
    <row r="54" spans="1:10" ht="20.25">
      <c r="A54" s="5"/>
      <c r="B54" s="2" t="s">
        <v>215</v>
      </c>
      <c r="C54" s="190"/>
      <c r="D54" s="3">
        <v>2626502.4236000003</v>
      </c>
      <c r="E54" s="3">
        <v>7604234</v>
      </c>
      <c r="F54" s="6">
        <v>19</v>
      </c>
      <c r="G54" s="7"/>
      <c r="H54" s="7"/>
      <c r="I54" s="7"/>
      <c r="J54" s="7"/>
    </row>
    <row r="55" spans="1:10" ht="20.25">
      <c r="A55" s="5"/>
      <c r="B55" s="2" t="s">
        <v>216</v>
      </c>
      <c r="C55" s="190"/>
      <c r="E55" s="3"/>
      <c r="F55" s="6">
        <v>20</v>
      </c>
      <c r="G55" s="7"/>
      <c r="H55" s="7"/>
      <c r="I55" s="7"/>
      <c r="J55" s="7"/>
    </row>
    <row r="56" spans="1:10" ht="20.25">
      <c r="A56" s="5"/>
      <c r="B56" s="2" t="s">
        <v>217</v>
      </c>
      <c r="C56" s="190"/>
      <c r="D56" s="10">
        <v>2000000</v>
      </c>
      <c r="E56" s="3">
        <v>8000000</v>
      </c>
      <c r="F56" s="6">
        <v>21</v>
      </c>
      <c r="G56" s="7"/>
      <c r="H56" s="7"/>
      <c r="I56" s="7"/>
      <c r="J56" s="7"/>
    </row>
    <row r="57" spans="1:10" ht="20.25">
      <c r="A57" s="1"/>
      <c r="B57" s="2" t="s">
        <v>165</v>
      </c>
      <c r="C57" s="190">
        <v>1</v>
      </c>
      <c r="D57" s="10">
        <v>1157590.83</v>
      </c>
      <c r="E57" s="3">
        <v>3352350</v>
      </c>
      <c r="F57" s="6">
        <v>22</v>
      </c>
      <c r="G57" s="7"/>
      <c r="H57" s="7"/>
      <c r="I57" s="7"/>
      <c r="J57" s="7"/>
    </row>
    <row r="58" spans="1:10" ht="20.25">
      <c r="A58" s="1"/>
      <c r="B58" s="2" t="s">
        <v>218</v>
      </c>
      <c r="C58" s="190">
        <v>1</v>
      </c>
      <c r="D58" s="3">
        <v>39150</v>
      </c>
      <c r="E58" s="3">
        <v>78300</v>
      </c>
      <c r="F58" s="6">
        <v>23</v>
      </c>
      <c r="G58" s="7"/>
      <c r="H58" s="7"/>
      <c r="I58" s="7"/>
      <c r="J58" s="7"/>
    </row>
    <row r="59" spans="1:10" ht="20.25">
      <c r="A59" s="179"/>
      <c r="B59" s="2" t="s">
        <v>170</v>
      </c>
      <c r="C59" s="190">
        <v>1</v>
      </c>
      <c r="D59" s="3">
        <v>97875</v>
      </c>
      <c r="E59" s="3">
        <v>195750</v>
      </c>
      <c r="F59" s="6">
        <v>24</v>
      </c>
      <c r="G59" s="7"/>
      <c r="H59" s="7"/>
      <c r="I59" s="7"/>
      <c r="J59" s="7"/>
    </row>
    <row r="60" spans="1:10" ht="20.25">
      <c r="A60" s="180"/>
      <c r="B60" s="5" t="s">
        <v>219</v>
      </c>
      <c r="C60" s="190">
        <v>6</v>
      </c>
      <c r="D60" s="3">
        <v>184167</v>
      </c>
      <c r="E60" s="3">
        <v>368334</v>
      </c>
      <c r="F60" s="6">
        <v>25</v>
      </c>
      <c r="G60" s="7"/>
      <c r="H60" s="7"/>
      <c r="I60" s="7"/>
      <c r="J60" s="7"/>
    </row>
    <row r="61" spans="1:10" ht="20.25">
      <c r="A61" s="180"/>
      <c r="B61" s="2" t="s">
        <v>220</v>
      </c>
      <c r="C61" s="190"/>
      <c r="D61" s="3">
        <v>192387.8</v>
      </c>
      <c r="E61" s="3">
        <v>557000</v>
      </c>
      <c r="F61" s="6">
        <v>26</v>
      </c>
      <c r="G61" s="7"/>
      <c r="H61" s="7"/>
      <c r="I61" s="7"/>
      <c r="J61" s="7"/>
    </row>
    <row r="62" spans="1:10" ht="20.25">
      <c r="A62" s="180"/>
      <c r="B62" s="2"/>
      <c r="C62" s="190"/>
      <c r="D62" s="3"/>
      <c r="E62" s="3"/>
      <c r="F62" s="6"/>
      <c r="G62" s="7"/>
      <c r="H62" s="7"/>
      <c r="I62" s="7"/>
      <c r="J62" s="7"/>
    </row>
    <row r="63" spans="1:10" ht="20.25">
      <c r="A63" s="180"/>
      <c r="B63" s="2"/>
      <c r="C63" s="190"/>
      <c r="D63" s="3"/>
      <c r="E63" s="3"/>
      <c r="F63" s="6"/>
      <c r="G63" s="7"/>
      <c r="H63" s="7"/>
      <c r="I63" s="7"/>
      <c r="J63" s="7"/>
    </row>
    <row r="64" spans="1:10" ht="20.25">
      <c r="A64" s="5"/>
      <c r="B64" s="2" t="s">
        <v>221</v>
      </c>
      <c r="C64" s="190"/>
      <c r="D64" s="3">
        <v>500000</v>
      </c>
      <c r="E64" s="3">
        <v>1000000</v>
      </c>
      <c r="F64" s="6">
        <v>27</v>
      </c>
      <c r="G64" s="7"/>
      <c r="H64" s="7"/>
      <c r="I64" s="7"/>
      <c r="J64" s="7"/>
    </row>
    <row r="65" spans="1:10" ht="20.25">
      <c r="A65" s="5"/>
      <c r="B65" s="2" t="s">
        <v>222</v>
      </c>
      <c r="C65" s="190"/>
      <c r="D65" s="3">
        <v>59961.44</v>
      </c>
      <c r="E65" s="3">
        <v>173600</v>
      </c>
      <c r="F65" s="6">
        <v>28</v>
      </c>
      <c r="G65" s="7"/>
      <c r="H65" s="7"/>
      <c r="I65" s="7"/>
      <c r="J65" s="7"/>
    </row>
    <row r="66" spans="1:10" ht="20.25">
      <c r="A66" s="5"/>
      <c r="B66" s="2" t="s">
        <v>223</v>
      </c>
      <c r="C66" s="190"/>
      <c r="D66" s="178"/>
      <c r="E66" s="3"/>
      <c r="F66" s="6">
        <v>29</v>
      </c>
      <c r="G66" s="7"/>
      <c r="H66" s="7"/>
      <c r="I66" s="7"/>
      <c r="J66" s="7"/>
    </row>
    <row r="67" spans="1:10" ht="20.25">
      <c r="A67" s="1"/>
      <c r="B67" s="2" t="s">
        <v>181</v>
      </c>
      <c r="C67" s="190"/>
      <c r="D67" s="3">
        <v>89804</v>
      </c>
      <c r="E67" s="3">
        <v>260000</v>
      </c>
      <c r="F67" s="6">
        <v>30</v>
      </c>
      <c r="G67" s="7"/>
      <c r="H67" s="7"/>
      <c r="I67" s="7"/>
      <c r="J67" s="7"/>
    </row>
    <row r="68" spans="1:10" ht="20.25">
      <c r="A68" s="1"/>
      <c r="B68" s="2" t="s">
        <v>9</v>
      </c>
      <c r="C68" s="190"/>
      <c r="D68" s="178">
        <v>120000</v>
      </c>
      <c r="E68" s="3">
        <v>240000</v>
      </c>
      <c r="F68" s="6">
        <v>31</v>
      </c>
      <c r="G68" s="7"/>
      <c r="H68" s="7"/>
      <c r="I68" s="7"/>
      <c r="J68" s="7"/>
    </row>
    <row r="69" spans="1:10" ht="20.25">
      <c r="A69" s="5"/>
      <c r="B69" s="2" t="s">
        <v>224</v>
      </c>
      <c r="C69" s="190">
        <v>4</v>
      </c>
      <c r="D69" s="3">
        <v>250000</v>
      </c>
      <c r="E69" s="3">
        <v>500000</v>
      </c>
      <c r="F69" s="6">
        <v>32</v>
      </c>
      <c r="G69" s="7"/>
      <c r="H69" s="7"/>
      <c r="I69" s="7"/>
      <c r="J69" s="7"/>
    </row>
    <row r="70" spans="1:10" ht="20.25">
      <c r="A70" s="5"/>
      <c r="B70" s="5" t="s">
        <v>186</v>
      </c>
      <c r="C70" s="190"/>
      <c r="D70" s="3">
        <v>44902</v>
      </c>
      <c r="E70" s="3">
        <v>130000</v>
      </c>
      <c r="F70" s="6">
        <v>33</v>
      </c>
      <c r="G70" s="7"/>
      <c r="H70" s="7"/>
      <c r="I70" s="7"/>
      <c r="J70" s="7"/>
    </row>
    <row r="71" spans="1:10" ht="20.25">
      <c r="A71" s="5"/>
      <c r="B71" s="2" t="s">
        <v>187</v>
      </c>
      <c r="C71" s="190"/>
      <c r="D71" s="3">
        <v>69080</v>
      </c>
      <c r="E71" s="3">
        <v>200000</v>
      </c>
      <c r="F71" s="6">
        <v>34</v>
      </c>
      <c r="G71" s="7"/>
      <c r="H71" s="7"/>
      <c r="I71" s="7"/>
      <c r="J71" s="7"/>
    </row>
    <row r="72" spans="1:10" ht="20.25">
      <c r="A72" s="5"/>
      <c r="B72" s="2"/>
      <c r="C72" s="177"/>
      <c r="D72" s="3"/>
      <c r="E72" s="3"/>
      <c r="F72" s="6"/>
      <c r="G72" s="7"/>
      <c r="H72" s="7"/>
      <c r="I72" s="7"/>
      <c r="J72" s="7"/>
    </row>
    <row r="73" spans="1:10" ht="20.25">
      <c r="A73" s="5"/>
      <c r="B73" s="5"/>
      <c r="D73" s="3"/>
      <c r="E73" s="3"/>
      <c r="F73" s="6"/>
      <c r="G73" s="7"/>
      <c r="H73" s="7"/>
      <c r="I73" s="7"/>
      <c r="J73" s="7"/>
    </row>
    <row r="74" spans="1:10" ht="20.25">
      <c r="A74" s="5"/>
      <c r="B74" s="5"/>
      <c r="C74" s="177"/>
      <c r="D74" s="3"/>
      <c r="E74" s="3"/>
      <c r="F74" s="6"/>
      <c r="G74" s="7"/>
      <c r="H74" s="7"/>
      <c r="I74" s="7"/>
      <c r="J74" s="7"/>
    </row>
    <row r="75" spans="1:10" ht="20.25">
      <c r="A75" s="1"/>
      <c r="B75" s="1"/>
      <c r="C75" s="177"/>
      <c r="D75" s="177"/>
      <c r="E75" s="1"/>
      <c r="F75" s="6"/>
      <c r="G75" s="7"/>
      <c r="H75" s="7"/>
      <c r="I75" s="7"/>
      <c r="J75" s="7"/>
    </row>
    <row r="76" spans="1:10" ht="20.25">
      <c r="A76" s="5"/>
      <c r="B76" s="2"/>
      <c r="C76" s="177"/>
      <c r="D76" s="177"/>
      <c r="E76" s="3"/>
      <c r="F76" s="6"/>
      <c r="G76" s="7"/>
      <c r="H76" s="7"/>
      <c r="I76" s="7"/>
      <c r="J76" s="7"/>
    </row>
    <row r="77" spans="1:10" ht="20.25">
      <c r="A77" s="5"/>
      <c r="B77" s="2"/>
      <c r="C77" s="177"/>
      <c r="D77" s="177"/>
      <c r="E77" s="3"/>
      <c r="F77" s="6"/>
      <c r="G77" s="7"/>
      <c r="H77" s="7"/>
      <c r="I77" s="7"/>
      <c r="J77" s="7"/>
    </row>
    <row r="78" spans="1:10" ht="20.25">
      <c r="A78" s="5"/>
      <c r="B78" s="1"/>
      <c r="C78" s="177"/>
      <c r="D78" s="177"/>
      <c r="E78" s="1"/>
      <c r="F78" s="6"/>
      <c r="G78" s="7"/>
      <c r="H78" s="7"/>
      <c r="I78" s="7"/>
      <c r="J78" s="7"/>
    </row>
    <row r="79" spans="1:10" ht="20.25">
      <c r="A79" s="5"/>
      <c r="B79" s="1"/>
      <c r="C79" s="177"/>
      <c r="D79" s="177"/>
      <c r="E79" s="1"/>
      <c r="F79" s="6"/>
      <c r="G79" s="7"/>
      <c r="H79" s="7"/>
      <c r="I79" s="7"/>
      <c r="J79" s="7"/>
    </row>
    <row r="80" spans="1:10" ht="20.25">
      <c r="A80" s="5"/>
      <c r="B80" s="2"/>
      <c r="C80" s="177"/>
      <c r="D80" s="177"/>
      <c r="E80" s="3"/>
      <c r="F80" s="6"/>
      <c r="G80" s="7"/>
      <c r="H80" s="7"/>
      <c r="I80" s="7"/>
      <c r="J80" s="7"/>
    </row>
    <row r="81" spans="1:10" ht="20.25">
      <c r="A81" s="5"/>
      <c r="B81" s="5"/>
      <c r="C81" s="192"/>
      <c r="D81" s="177"/>
      <c r="E81" s="3"/>
      <c r="F81" s="6"/>
      <c r="G81" s="7"/>
      <c r="H81" s="7"/>
      <c r="I81" s="7"/>
      <c r="J81" s="7"/>
    </row>
    <row r="82" spans="1:10" ht="20.25">
      <c r="A82" s="5"/>
      <c r="B82" s="2"/>
      <c r="C82" s="192"/>
      <c r="D82" s="3"/>
      <c r="E82" s="3"/>
      <c r="F82" s="6"/>
      <c r="G82" s="7"/>
      <c r="H82" s="7"/>
      <c r="I82" s="7"/>
      <c r="J82" s="7"/>
    </row>
    <row r="83" spans="1:10" ht="20.25">
      <c r="A83" s="5"/>
      <c r="B83" s="2"/>
      <c r="C83" s="192"/>
      <c r="D83" s="177"/>
      <c r="E83" s="3"/>
      <c r="F83" s="6"/>
      <c r="G83" s="7"/>
      <c r="H83" s="7"/>
      <c r="I83" s="7"/>
      <c r="J83" s="7"/>
    </row>
    <row r="84" spans="1:10" ht="20.25">
      <c r="A84" s="1"/>
      <c r="B84" s="2"/>
      <c r="C84" s="192"/>
      <c r="D84" s="177"/>
      <c r="E84" s="3"/>
      <c r="F84" s="6"/>
      <c r="G84" s="7"/>
      <c r="H84" s="7"/>
      <c r="I84" s="7"/>
      <c r="J84" s="7"/>
    </row>
    <row r="85" spans="1:10" ht="20.25">
      <c r="A85" s="1"/>
      <c r="B85" s="2"/>
      <c r="C85" s="177"/>
      <c r="D85" s="2"/>
      <c r="E85" s="2"/>
      <c r="F85" s="6"/>
      <c r="G85" s="7"/>
      <c r="H85" s="7"/>
      <c r="I85" s="7"/>
      <c r="J85" s="7"/>
    </row>
    <row r="86" spans="1:10" ht="20.25">
      <c r="A86" s="1"/>
      <c r="B86" s="2"/>
      <c r="C86" s="177"/>
      <c r="D86" s="2"/>
      <c r="E86" s="2"/>
      <c r="F86" s="6"/>
      <c r="G86" s="7"/>
      <c r="H86" s="7"/>
      <c r="I86" s="7"/>
      <c r="J86" s="7"/>
    </row>
    <row r="87" spans="1:10" ht="20.25">
      <c r="A87" s="1"/>
      <c r="B87" s="2"/>
      <c r="C87" s="177"/>
      <c r="D87" s="2"/>
      <c r="E87" s="2"/>
      <c r="F87" s="6"/>
      <c r="G87" s="7"/>
      <c r="H87" s="7"/>
      <c r="I87" s="7"/>
      <c r="J87" s="7"/>
    </row>
    <row r="88" spans="1:10" ht="20.25">
      <c r="A88" s="1"/>
      <c r="B88" s="2"/>
      <c r="C88" s="177"/>
      <c r="D88" s="2"/>
      <c r="E88" s="2"/>
      <c r="F88" s="6"/>
      <c r="G88" s="7"/>
      <c r="H88" s="7"/>
      <c r="I88" s="7"/>
      <c r="J88" s="7"/>
    </row>
    <row r="89" spans="1:10" ht="20.25">
      <c r="A89" s="1"/>
      <c r="B89" s="5"/>
      <c r="C89" s="177"/>
      <c r="D89" s="2"/>
      <c r="E89" s="2"/>
      <c r="F89" s="6"/>
      <c r="G89" s="7"/>
      <c r="H89" s="7"/>
      <c r="I89" s="7"/>
      <c r="J89" s="7"/>
    </row>
    <row r="90" spans="1:10" ht="20.25">
      <c r="A90" s="1"/>
      <c r="B90" s="5"/>
      <c r="C90" s="177"/>
      <c r="D90" s="2"/>
      <c r="E90" s="2"/>
      <c r="F90" s="6"/>
      <c r="G90" s="7"/>
      <c r="H90" s="7"/>
      <c r="I90" s="7"/>
      <c r="J90" s="7"/>
    </row>
    <row r="91" spans="1:10" ht="20.25">
      <c r="A91" s="1"/>
      <c r="B91" s="5"/>
      <c r="C91" s="177"/>
      <c r="D91" s="2"/>
      <c r="E91" s="2"/>
      <c r="F91" s="6"/>
      <c r="G91" s="7"/>
      <c r="H91" s="7"/>
      <c r="I91" s="7"/>
      <c r="J91" s="7"/>
    </row>
    <row r="92" spans="1:10" ht="20.25">
      <c r="A92" s="1"/>
      <c r="B92" s="5"/>
      <c r="C92" s="177"/>
      <c r="D92" s="2"/>
      <c r="E92" s="2"/>
      <c r="F92" s="6"/>
      <c r="G92" s="7"/>
      <c r="H92" s="7"/>
      <c r="I92" s="7"/>
      <c r="J92" s="7"/>
    </row>
    <row r="93" spans="3:10" ht="20.25">
      <c r="C93" s="186">
        <f>SUM(C2:C92)</f>
        <v>64</v>
      </c>
      <c r="D93" s="10">
        <v>337612512.3016597</v>
      </c>
      <c r="E93" s="10">
        <v>612023621.0453569</v>
      </c>
      <c r="F93" s="184"/>
      <c r="G93" s="7"/>
      <c r="H93" s="7"/>
      <c r="I93" s="7"/>
      <c r="J93" s="7"/>
    </row>
    <row r="94" spans="6:10" ht="20.25">
      <c r="F94" s="184"/>
      <c r="G94" s="7"/>
      <c r="H94" s="7"/>
      <c r="I94" s="7"/>
      <c r="J94" s="7"/>
    </row>
    <row r="95" spans="4:10" ht="20.25">
      <c r="D95" s="10" t="s">
        <v>7</v>
      </c>
      <c r="E95" s="10" t="s">
        <v>225</v>
      </c>
      <c r="F95" s="184"/>
      <c r="G95" s="7"/>
      <c r="H95" s="7"/>
      <c r="I95" s="7"/>
      <c r="J95" s="7"/>
    </row>
    <row r="96" spans="2:10" ht="20.25">
      <c r="B96" s="11" t="s">
        <v>226</v>
      </c>
      <c r="D96" s="185">
        <v>0.3469</v>
      </c>
      <c r="E96" s="185">
        <v>0.6531</v>
      </c>
      <c r="F96" s="184"/>
      <c r="G96" s="7"/>
      <c r="H96" s="7"/>
      <c r="I96" s="7"/>
      <c r="J96" s="7"/>
    </row>
    <row r="97" spans="2:10" ht="20.25">
      <c r="B97" s="11" t="s">
        <v>227</v>
      </c>
      <c r="D97" s="185">
        <v>0.34540000000000004</v>
      </c>
      <c r="E97" s="185">
        <v>0.6546</v>
      </c>
      <c r="F97" s="184"/>
      <c r="G97" s="7"/>
      <c r="H97" s="7"/>
      <c r="I97" s="7"/>
      <c r="J97" s="7"/>
    </row>
    <row r="98" ht="20.25">
      <c r="B98" s="175"/>
    </row>
    <row r="99" spans="2:5" ht="20.25">
      <c r="B99" s="7"/>
      <c r="C99" s="193"/>
      <c r="D99" s="7"/>
      <c r="E99" s="7"/>
    </row>
    <row r="100" spans="1:5" ht="20.25">
      <c r="A100" s="7" t="s">
        <v>109</v>
      </c>
      <c r="B100" s="7"/>
      <c r="C100" s="193"/>
      <c r="D100" s="9"/>
      <c r="E100" s="9"/>
    </row>
    <row r="101" spans="2:5" ht="20.25">
      <c r="B101" s="7" t="s">
        <v>228</v>
      </c>
      <c r="C101" s="193"/>
      <c r="D101" s="9">
        <v>1395000</v>
      </c>
      <c r="E101" s="9">
        <v>2790000</v>
      </c>
    </row>
    <row r="102" spans="2:5" ht="20.25">
      <c r="B102" s="7" t="s">
        <v>229</v>
      </c>
      <c r="C102" s="193"/>
      <c r="D102" s="9">
        <v>169375</v>
      </c>
      <c r="E102" s="9">
        <v>677500</v>
      </c>
    </row>
    <row r="103" spans="1:5" ht="20.25">
      <c r="A103" s="7"/>
      <c r="B103" s="7" t="s">
        <v>230</v>
      </c>
      <c r="C103" s="193"/>
      <c r="D103" s="9">
        <v>1620000</v>
      </c>
      <c r="E103" s="9">
        <v>3240000</v>
      </c>
    </row>
    <row r="104" spans="2:5" ht="20.25">
      <c r="B104" s="7" t="s">
        <v>231</v>
      </c>
      <c r="C104" s="193"/>
      <c r="D104" s="9">
        <v>494975.475</v>
      </c>
      <c r="E104" s="9">
        <v>989950.95</v>
      </c>
    </row>
    <row r="105" spans="1:5" ht="20.25">
      <c r="A105" s="7"/>
      <c r="B105" s="7" t="s">
        <v>232</v>
      </c>
      <c r="C105" s="193"/>
      <c r="D105" s="188">
        <v>136800</v>
      </c>
      <c r="E105" s="188">
        <v>273600</v>
      </c>
    </row>
    <row r="106" spans="2:5" ht="20.25">
      <c r="B106" s="7"/>
      <c r="C106" s="193"/>
      <c r="D106" s="9">
        <v>3816150.475</v>
      </c>
      <c r="E106" s="9">
        <v>7971050.95</v>
      </c>
    </row>
    <row r="107" spans="2:5" ht="20.25">
      <c r="B107" s="7"/>
      <c r="C107" s="193"/>
      <c r="D107" s="9"/>
      <c r="E107" s="9"/>
    </row>
    <row r="108" spans="2:5" ht="20.25">
      <c r="B108" s="7"/>
      <c r="C108" s="193"/>
      <c r="D108" s="9"/>
      <c r="E108" s="9"/>
    </row>
    <row r="109" spans="1:5" ht="20.25">
      <c r="A109" s="11" t="s">
        <v>233</v>
      </c>
      <c r="B109" s="7"/>
      <c r="C109" s="193"/>
      <c r="D109" s="9"/>
      <c r="E109" s="9"/>
    </row>
    <row r="110" spans="1:5" ht="20.25">
      <c r="A110" s="7"/>
      <c r="B110" s="7" t="s">
        <v>71</v>
      </c>
      <c r="C110" s="193"/>
      <c r="D110" s="9">
        <v>570534.4</v>
      </c>
      <c r="E110" s="9">
        <v>1141068.8</v>
      </c>
    </row>
    <row r="111" spans="2:5" ht="20.25">
      <c r="B111" s="7" t="s">
        <v>234</v>
      </c>
      <c r="C111" s="193"/>
      <c r="D111" s="188">
        <v>3832893.1616800004</v>
      </c>
      <c r="E111" s="188">
        <v>11096969.2</v>
      </c>
    </row>
    <row r="112" spans="2:5" ht="20.25">
      <c r="B112" s="7"/>
      <c r="C112" s="193"/>
      <c r="D112" s="9">
        <v>4403427.56168</v>
      </c>
      <c r="E112" s="9">
        <v>12238038</v>
      </c>
    </row>
    <row r="113" spans="2:5" ht="20.25">
      <c r="B113" s="7"/>
      <c r="C113" s="193"/>
      <c r="D113" s="9"/>
      <c r="E113" s="9"/>
    </row>
    <row r="114" spans="1:5" ht="20.25">
      <c r="A114" s="11" t="s">
        <v>235</v>
      </c>
      <c r="B114" s="7"/>
      <c r="C114" s="193"/>
      <c r="D114" s="9"/>
      <c r="E114" s="9"/>
    </row>
    <row r="115" spans="2:5" ht="20.25">
      <c r="B115" s="7" t="s">
        <v>236</v>
      </c>
      <c r="C115" s="193"/>
      <c r="D115" s="9">
        <f>+E115*0.5</f>
        <v>2000000</v>
      </c>
      <c r="E115" s="9">
        <v>4000000</v>
      </c>
    </row>
    <row r="116" spans="2:5" ht="20.25">
      <c r="B116" s="7" t="s">
        <v>237</v>
      </c>
      <c r="C116" s="193"/>
      <c r="D116" s="188">
        <f>+E116*D97</f>
        <v>4227018.325200001</v>
      </c>
      <c r="E116" s="188">
        <v>12238038</v>
      </c>
    </row>
    <row r="117" spans="2:5" ht="20.25">
      <c r="B117" s="7"/>
      <c r="C117" s="193"/>
      <c r="D117" s="9">
        <f>SUM(D115:D116)</f>
        <v>6227018.325200001</v>
      </c>
      <c r="E117" s="9">
        <f>SUM(E115:E116)</f>
        <v>16238038</v>
      </c>
    </row>
    <row r="118" spans="2:5" ht="20.25">
      <c r="B118" s="7"/>
      <c r="C118" s="193"/>
      <c r="D118" s="7"/>
      <c r="E118" s="7"/>
    </row>
    <row r="119" spans="1:5" ht="20.25">
      <c r="A119" s="11" t="s">
        <v>238</v>
      </c>
      <c r="B119" s="7"/>
      <c r="C119" s="193"/>
      <c r="D119" s="7"/>
      <c r="E119" s="7"/>
    </row>
    <row r="120" spans="2:5" ht="20.25">
      <c r="B120" s="7" t="s">
        <v>130</v>
      </c>
      <c r="C120" s="193"/>
      <c r="D120" s="9">
        <v>18000</v>
      </c>
      <c r="E120" s="10">
        <v>72000</v>
      </c>
    </row>
    <row r="121" spans="2:5" ht="20.25">
      <c r="B121" s="7" t="s">
        <v>131</v>
      </c>
      <c r="C121" s="193"/>
      <c r="D121" s="9">
        <v>94467.5</v>
      </c>
      <c r="E121" s="10">
        <v>188935</v>
      </c>
    </row>
    <row r="122" spans="1:5" ht="20.25">
      <c r="A122" s="7"/>
      <c r="B122" s="7" t="s">
        <v>239</v>
      </c>
      <c r="C122" s="193"/>
      <c r="D122" s="188">
        <v>646309</v>
      </c>
      <c r="E122" s="188">
        <v>646309</v>
      </c>
    </row>
    <row r="123" spans="1:5" ht="20.25">
      <c r="A123" s="7"/>
      <c r="B123" s="7"/>
      <c r="C123" s="193"/>
      <c r="D123" s="189">
        <v>758776.5</v>
      </c>
      <c r="E123" s="189">
        <v>907244</v>
      </c>
    </row>
    <row r="124" spans="1:5" ht="20.25">
      <c r="A124" s="7"/>
      <c r="B124" s="7"/>
      <c r="C124" s="193"/>
      <c r="D124" s="9"/>
      <c r="E124" s="7"/>
    </row>
    <row r="126" ht="20.25">
      <c r="A126" s="11" t="s">
        <v>102</v>
      </c>
    </row>
    <row r="127" spans="2:5" ht="20.25">
      <c r="B127" s="11" t="s">
        <v>240</v>
      </c>
      <c r="C127" s="186">
        <v>3</v>
      </c>
      <c r="D127" s="10">
        <v>108750</v>
      </c>
      <c r="E127" s="10">
        <v>217500</v>
      </c>
    </row>
    <row r="128" spans="2:5" ht="20.25">
      <c r="B128" s="11" t="s">
        <v>241</v>
      </c>
      <c r="C128" s="186">
        <v>3</v>
      </c>
      <c r="D128" s="10">
        <v>95346.5</v>
      </c>
      <c r="E128" s="10">
        <v>190693</v>
      </c>
    </row>
    <row r="129" spans="2:5" ht="20.25">
      <c r="B129" s="11" t="s">
        <v>242</v>
      </c>
      <c r="D129" s="10">
        <v>10000</v>
      </c>
      <c r="E129" s="10">
        <v>20000</v>
      </c>
    </row>
    <row r="130" spans="2:5" ht="20.25">
      <c r="B130" s="11" t="s">
        <v>243</v>
      </c>
      <c r="C130" s="186">
        <v>3</v>
      </c>
      <c r="D130" s="188">
        <v>70947.5</v>
      </c>
      <c r="E130" s="188">
        <v>141895</v>
      </c>
    </row>
    <row r="131" spans="4:5" ht="20.25">
      <c r="D131" s="10">
        <v>285044</v>
      </c>
      <c r="E131" s="10">
        <v>570088</v>
      </c>
    </row>
    <row r="134" ht="20.25">
      <c r="A134" s="11" t="s">
        <v>244</v>
      </c>
    </row>
    <row r="135" spans="2:5" ht="20.25">
      <c r="B135" s="11" t="s">
        <v>245</v>
      </c>
      <c r="D135" s="10">
        <f aca="true" t="shared" si="0" ref="D135:D141">+D$97*E135</f>
        <v>27632.000000000004</v>
      </c>
      <c r="E135" s="10">
        <v>80000</v>
      </c>
    </row>
    <row r="136" spans="2:5" ht="20.25">
      <c r="B136" s="11" t="s">
        <v>246</v>
      </c>
      <c r="D136" s="10">
        <f t="shared" si="0"/>
        <v>912834.8636000002</v>
      </c>
      <c r="E136" s="10">
        <v>2642834</v>
      </c>
    </row>
    <row r="137" spans="2:5" ht="20.25">
      <c r="B137" s="11" t="s">
        <v>247</v>
      </c>
      <c r="D137" s="10">
        <f t="shared" si="0"/>
        <v>60928.560000000005</v>
      </c>
      <c r="E137" s="10">
        <v>176400</v>
      </c>
    </row>
    <row r="138" spans="2:5" ht="20.25">
      <c r="B138" s="11" t="s">
        <v>248</v>
      </c>
      <c r="D138" s="10">
        <f t="shared" si="0"/>
        <v>155977.1136</v>
      </c>
      <c r="E138" s="10">
        <v>451584</v>
      </c>
    </row>
    <row r="139" spans="2:5" ht="20.25">
      <c r="B139" s="11" t="s">
        <v>249</v>
      </c>
      <c r="D139" s="10">
        <f t="shared" si="0"/>
        <v>364742.4</v>
      </c>
      <c r="E139" s="10">
        <v>1056000</v>
      </c>
    </row>
    <row r="140" spans="2:5" ht="20.25">
      <c r="B140" s="11" t="s">
        <v>250</v>
      </c>
      <c r="D140" s="10">
        <f t="shared" si="0"/>
        <v>5886096.796800001</v>
      </c>
      <c r="E140" s="10">
        <v>17041392</v>
      </c>
    </row>
    <row r="141" spans="2:5" ht="20.25">
      <c r="B141" s="11" t="s">
        <v>251</v>
      </c>
      <c r="D141" s="188">
        <f t="shared" si="0"/>
        <v>962829.4412000001</v>
      </c>
      <c r="E141" s="188">
        <v>2787578</v>
      </c>
    </row>
    <row r="142" spans="4:5" ht="20.25">
      <c r="D142" s="10">
        <f>SUM(D135:D141)</f>
        <v>8371041.175200001</v>
      </c>
      <c r="E142" s="10">
        <f>SUM(E135:E141)</f>
        <v>24235788</v>
      </c>
    </row>
    <row r="145" ht="20.25">
      <c r="A145" s="11" t="s">
        <v>252</v>
      </c>
    </row>
    <row r="146" spans="2:5" ht="20.25">
      <c r="B146" s="11" t="s">
        <v>253</v>
      </c>
      <c r="D146" s="10">
        <f>+D$97*E146</f>
        <v>436332.0764000001</v>
      </c>
      <c r="E146" s="10">
        <v>1263266</v>
      </c>
    </row>
    <row r="147" spans="2:5" ht="20.25">
      <c r="B147" s="11" t="s">
        <v>254</v>
      </c>
      <c r="D147" s="10">
        <f>+D$97*E147</f>
        <v>155430.00000000003</v>
      </c>
      <c r="E147" s="10">
        <v>450000</v>
      </c>
    </row>
    <row r="148" spans="2:5" ht="20.25">
      <c r="B148" s="11" t="s">
        <v>255</v>
      </c>
      <c r="D148" s="188">
        <f>+D$97*E148</f>
        <v>2034740.3472000002</v>
      </c>
      <c r="E148" s="188">
        <v>5890968</v>
      </c>
    </row>
    <row r="149" spans="4:5" ht="20.25">
      <c r="D149" s="10">
        <f>SUM(D146:D148)</f>
        <v>2626502.4236000003</v>
      </c>
      <c r="E149" s="10">
        <f>SUM(E146:E148)</f>
        <v>7604234</v>
      </c>
    </row>
    <row r="152" ht="20.25">
      <c r="A152" s="11" t="s">
        <v>256</v>
      </c>
    </row>
    <row r="153" spans="2:5" ht="20.25">
      <c r="B153" s="11" t="s">
        <v>257</v>
      </c>
      <c r="C153" s="186">
        <v>2</v>
      </c>
      <c r="D153" s="10">
        <f>+E153*0.5</f>
        <v>67764.5</v>
      </c>
      <c r="E153" s="10">
        <v>135529</v>
      </c>
    </row>
    <row r="154" spans="2:5" ht="20.25">
      <c r="B154" s="11" t="s">
        <v>258</v>
      </c>
      <c r="C154" s="186">
        <v>1</v>
      </c>
      <c r="D154" s="10">
        <v>30000</v>
      </c>
      <c r="E154" s="10">
        <v>60000</v>
      </c>
    </row>
    <row r="155" spans="2:5" ht="20.25">
      <c r="B155" s="11" t="s">
        <v>259</v>
      </c>
      <c r="C155" s="186">
        <v>1</v>
      </c>
      <c r="D155" s="10">
        <f>+E155*0.5</f>
        <v>65000</v>
      </c>
      <c r="E155" s="10">
        <v>130000</v>
      </c>
    </row>
    <row r="156" spans="2:5" ht="20.25">
      <c r="B156" s="11" t="s">
        <v>260</v>
      </c>
      <c r="C156" s="186">
        <v>2</v>
      </c>
      <c r="D156" s="10">
        <f>+E156*0.5</f>
        <v>63652.5</v>
      </c>
      <c r="E156" s="10">
        <v>127305</v>
      </c>
    </row>
    <row r="157" spans="2:5" ht="20.25">
      <c r="B157" s="11" t="s">
        <v>261</v>
      </c>
      <c r="C157" s="186">
        <v>1</v>
      </c>
      <c r="D157" s="10">
        <f>+E157*0.5</f>
        <v>35500</v>
      </c>
      <c r="E157" s="10">
        <v>71000</v>
      </c>
    </row>
    <row r="158" spans="2:5" ht="20.25">
      <c r="B158" s="11" t="s">
        <v>262</v>
      </c>
      <c r="C158" s="194">
        <v>1</v>
      </c>
      <c r="D158" s="188">
        <f>+E158*0.5</f>
        <v>26509</v>
      </c>
      <c r="E158" s="188">
        <v>53018</v>
      </c>
    </row>
    <row r="159" spans="3:5" ht="20.25">
      <c r="C159" s="186">
        <f>SUM(C153:C158)</f>
        <v>8</v>
      </c>
      <c r="D159" s="10">
        <f>SUM(D153:D158)</f>
        <v>288426</v>
      </c>
      <c r="E159" s="10">
        <f>SUM(E153:E158)</f>
        <v>576852</v>
      </c>
    </row>
    <row r="161" ht="20.25">
      <c r="A161" s="7"/>
    </row>
    <row r="162" ht="20.25">
      <c r="A162" s="11" t="s">
        <v>263</v>
      </c>
    </row>
    <row r="163" spans="2:5" ht="20.25">
      <c r="B163" s="11" t="s">
        <v>264</v>
      </c>
      <c r="C163" s="186">
        <v>2</v>
      </c>
      <c r="D163" s="10">
        <f>+E163*0.5</f>
        <v>56794.5</v>
      </c>
      <c r="E163" s="10">
        <v>113589</v>
      </c>
    </row>
    <row r="164" spans="2:5" ht="20.25">
      <c r="B164" s="11" t="s">
        <v>265</v>
      </c>
      <c r="C164" s="186">
        <v>1</v>
      </c>
      <c r="D164" s="10">
        <f>+E164*0.5</f>
        <v>22500</v>
      </c>
      <c r="E164" s="10">
        <v>45000</v>
      </c>
    </row>
    <row r="165" spans="2:5" ht="20.25">
      <c r="B165" s="11" t="s">
        <v>266</v>
      </c>
      <c r="C165" s="186">
        <v>1</v>
      </c>
      <c r="D165" s="10">
        <f>+E165*0.5</f>
        <v>34560</v>
      </c>
      <c r="E165" s="10">
        <v>69120</v>
      </c>
    </row>
    <row r="166" spans="2:5" ht="20.25">
      <c r="B166" s="11" t="s">
        <v>267</v>
      </c>
      <c r="C166" s="186">
        <v>1</v>
      </c>
      <c r="D166" s="10">
        <f>+E166*0.5</f>
        <v>36430</v>
      </c>
      <c r="E166" s="10">
        <v>72860</v>
      </c>
    </row>
    <row r="167" spans="2:5" ht="20.25">
      <c r="B167" s="11" t="s">
        <v>268</v>
      </c>
      <c r="C167" s="194">
        <v>1</v>
      </c>
      <c r="D167" s="188">
        <f>+E167*0.5</f>
        <v>33882.5</v>
      </c>
      <c r="E167" s="188">
        <v>67765</v>
      </c>
    </row>
    <row r="168" spans="3:5" ht="20.25">
      <c r="C168" s="186">
        <f>SUM(C162:C167)</f>
        <v>6</v>
      </c>
      <c r="D168" s="10">
        <f>SUM(D162:D167)</f>
        <v>184167</v>
      </c>
      <c r="E168" s="10">
        <f>SUM(E162:E167)</f>
        <v>368334</v>
      </c>
    </row>
    <row r="171" ht="20.25">
      <c r="A171" s="11" t="s">
        <v>181</v>
      </c>
    </row>
    <row r="172" spans="2:5" ht="20.25">
      <c r="B172" s="11" t="s">
        <v>269</v>
      </c>
      <c r="D172" s="10">
        <f>+D$97*E172</f>
        <v>17270.000000000004</v>
      </c>
      <c r="E172" s="10">
        <v>50000</v>
      </c>
    </row>
    <row r="173" spans="2:5" ht="20.25">
      <c r="B173" s="11" t="s">
        <v>270</v>
      </c>
      <c r="D173" s="188">
        <f>+D$97*E173</f>
        <v>72534.00000000001</v>
      </c>
      <c r="E173" s="188">
        <v>210000</v>
      </c>
    </row>
    <row r="174" spans="4:5" ht="20.25">
      <c r="D174" s="10">
        <f>SUM(D172:D173)</f>
        <v>89804.00000000001</v>
      </c>
      <c r="E174" s="10">
        <f>SUM(E172:E173)</f>
        <v>260000</v>
      </c>
    </row>
    <row r="177" ht="20.25">
      <c r="A177" s="11" t="s">
        <v>85</v>
      </c>
    </row>
    <row r="178" spans="2:5" ht="20.25">
      <c r="B178" s="11" t="s">
        <v>271</v>
      </c>
      <c r="D178" s="10">
        <f>+E178*0.5</f>
        <v>7500</v>
      </c>
      <c r="E178" s="10">
        <v>15000</v>
      </c>
    </row>
    <row r="179" spans="2:5" ht="20.25">
      <c r="B179" s="11" t="s">
        <v>272</v>
      </c>
      <c r="D179" s="10">
        <f>+E179*0.5</f>
        <v>4000</v>
      </c>
      <c r="E179" s="10">
        <v>8000</v>
      </c>
    </row>
    <row r="180" spans="2:5" ht="20.25">
      <c r="B180" s="11" t="s">
        <v>273</v>
      </c>
      <c r="D180" s="188">
        <f>+E180*0.5</f>
        <v>10000</v>
      </c>
      <c r="E180" s="188">
        <v>20000</v>
      </c>
    </row>
    <row r="181" spans="4:5" ht="20.25">
      <c r="D181" s="10">
        <f>SUM(D178:D180)</f>
        <v>21500</v>
      </c>
      <c r="E181" s="10">
        <f>SUM(E178:E180)</f>
        <v>43000</v>
      </c>
    </row>
  </sheetData>
  <printOptions/>
  <pageMargins left="0.29" right="0.18" top="0.64" bottom="0.28" header="0.11" footer="0.15"/>
  <pageSetup fitToHeight="5" fitToWidth="1" horizontalDpi="300" verticalDpi="300" orientation="portrait" scale="64" r:id="rId1"/>
  <headerFooter alignWithMargins="0">
    <oddHeader>&amp;C&amp;"Arial,Bold"&amp;16FY-09 Budget Request
Priority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francikl</dc:creator>
  <cp:keywords/>
  <dc:description/>
  <cp:lastModifiedBy>Kay Davis</cp:lastModifiedBy>
  <cp:lastPrinted>2008-09-30T20:18:52Z</cp:lastPrinted>
  <dcterms:created xsi:type="dcterms:W3CDTF">2004-07-19T18:44:25Z</dcterms:created>
  <dcterms:modified xsi:type="dcterms:W3CDTF">2008-11-13T15:18:05Z</dcterms:modified>
  <cp:category/>
  <cp:version/>
  <cp:contentType/>
  <cp:contentStatus/>
</cp:coreProperties>
</file>