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9F9" lockStructure="1"/>
  <bookViews>
    <workbookView xWindow="120" yWindow="90" windowWidth="24915" windowHeight="11565"/>
  </bookViews>
  <sheets>
    <sheet name="DSH FFY15 ALLOCATIONS" sheetId="1" r:id="rId1"/>
  </sheets>
  <externalReferences>
    <externalReference r:id="rId2"/>
    <externalReference r:id="rId3"/>
    <externalReference r:id="rId4"/>
    <externalReference r:id="rId5"/>
  </externalReferences>
  <definedNames>
    <definedName name="__Tab2">#REF!</definedName>
    <definedName name="_Fill" hidden="1">#REF!</definedName>
    <definedName name="_Key1" hidden="1">'[2]Hospital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[3]Hospital_Details!$A$158:$IV$158</definedName>
    <definedName name="AlphaList">#REF!</definedName>
    <definedName name="B">#REF!</definedName>
    <definedName name="B_GME_wo_MC">[3]Hospital_Details!$A$159:$IV$159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[3]Hospital_Details!$A$138:$IV$138</definedName>
    <definedName name="Cost_Red_Fact">[3]Hospital_Details!$A$137:$IV$137</definedName>
    <definedName name="cost_UPL_sfy11">#REF!</definedName>
    <definedName name="Density_per_Discharge__Facility__Top_75_PCT__0_density_removed_">#REF!</definedName>
    <definedName name="EY_11">[3]Hospital_Details!$A$169:$IV$169</definedName>
    <definedName name="EY_11A">[3]Hospital_Details!$A$168:$IV$168</definedName>
    <definedName name="EY_18">[3]Hospital_Details!$A$172:$IV$172</definedName>
    <definedName name="EY_27">[3]Hospital_Details!$A$170:$IV$170</definedName>
    <definedName name="EY_29">[3]Hospital_Details!$A$171:$IV$171</definedName>
    <definedName name="F_1041">[3]Hospital_Details!$A$211:$IV$211</definedName>
    <definedName name="F_166">[3]Hospital_Details!$A$367:$IV$367</definedName>
    <definedName name="F_1818H1">[3]Hospital_Details!$A$312:$IV$312</definedName>
    <definedName name="F_1818H2">[3]Hospital_Details!$A$314:$IV$314</definedName>
    <definedName name="F_1818H3">[3]Hospital_Details!$A$315:$IV$315</definedName>
    <definedName name="F_1819AH1">[3]Hospital_Details!$A$318:$IV$318</definedName>
    <definedName name="F_1819AH2">[3]Hospital_Details!$A$319:$IV$319</definedName>
    <definedName name="F_1819AH3">[3]Hospital_Details!$A$320:$IV$320</definedName>
    <definedName name="F_1819H1">[3]Hospital_Details!$A$313:$IV$313</definedName>
    <definedName name="F_1820">[3]Hospital_Details!$A$300:$IV$300</definedName>
    <definedName name="F_1821">[3]Hospital_Details!$A$289:$IV$289</definedName>
    <definedName name="F_1826">[3]Hospital_Details!$A$26:$IV$26</definedName>
    <definedName name="F_1827">[3]Hospital_Details!#REF!</definedName>
    <definedName name="F_1827x">[3]Hospital_Details!#REF!</definedName>
    <definedName name="F_1828">[3]Hospital_Details!$A$23:$IV$23</definedName>
    <definedName name="F_1833">[3]Hospital_Details!$A$22:$IV$22</definedName>
    <definedName name="F_1838">[3]Hospital_Details!$A$24:$IV$24</definedName>
    <definedName name="F_1838A">[3]Hospital_Details!$A$25:$IV$25</definedName>
    <definedName name="F_1854">[3]Hospital_Details!$A$64:$IV$64</definedName>
    <definedName name="F_1861">[3]Hospital_Details!$A$70:$IV$70</definedName>
    <definedName name="F_1861A">[3]Hospital_Details!$A$71:$IV$71</definedName>
    <definedName name="F_1875">[3]Hospital_Details!$A$65:$IV$65</definedName>
    <definedName name="F_1882">[3]Hospital_Details!$A$72:$IV$72</definedName>
    <definedName name="F_1882A">[3]Hospital_Details!$A$73:$IV$73</definedName>
    <definedName name="F_1896">[3]Hospital_Details!$A$66:$IV$66</definedName>
    <definedName name="F_1903">[3]Hospital_Details!$A$74:$IV$74</definedName>
    <definedName name="F_1903A">[3]Hospital_Details!$A$75:$IV$75</definedName>
    <definedName name="F_1912">[3]Hospital_Details!$A$61:$IV$61</definedName>
    <definedName name="F_1915">[3]Hospital_Details!$A$88:$IV$88</definedName>
    <definedName name="F_1917">[3]Hospital_Details!$A$62:$IV$62</definedName>
    <definedName name="F_1920">[3]Hospital_Details!$A$89:$IV$89</definedName>
    <definedName name="F_1922">[3]Hospital_Details!$A$63:$IV$63</definedName>
    <definedName name="F_1925">[3]Hospital_Details!$A$90:$IV$90</definedName>
    <definedName name="F_1946">[3]Hospital_Details!$A$187:$IV$187</definedName>
    <definedName name="F_1946x">[3]Hospital_Details!$A$188:$IV$188</definedName>
    <definedName name="F_1950">[3]Hospital_Details!$A$189:$IV$189</definedName>
    <definedName name="F_1950A">[3]Hospital_Details!$A$190:$IV$190</definedName>
    <definedName name="F_1962">[3]Hospital_Details!$A$204:$IV$204</definedName>
    <definedName name="F_1962x">[3]Hospital_Details!$A$205:$IV$205</definedName>
    <definedName name="F_1966">[3]Hospital_Details!$A$206:$IV$206</definedName>
    <definedName name="F_1966A">[3]Hospital_Details!$A$207:$IV$207</definedName>
    <definedName name="F_949">[3]Hospital_Details!$A$38:$IV$38</definedName>
    <definedName name="F_995">[3]Hospital_Details!$A$194:$IV$194</definedName>
    <definedName name="FORMULA_A">[3]Hospital_Details!$A$163:$IV$163</definedName>
    <definedName name="FORMULA_B">[3]Hospital_Details!$A$164:$IV$164</definedName>
    <definedName name="FORMULA_C">[3]Hospital_Details!$A$165:$IV$165</definedName>
    <definedName name="FORMULA_D">[3]Hospital_Details!$A$174:$IV$174</definedName>
    <definedName name="FORMULA_T">[3]Hospital_Details!$A$28:$IV$28</definedName>
    <definedName name="GME_COST">[3]Hospital_Details!$A$161:$IV$161</definedName>
    <definedName name="GME_GL">[3]Hospital_Details!$A$179:$IV$179</definedName>
    <definedName name="GME_MGN">[3]Hospital_Details!$A$181:$IV$181</definedName>
    <definedName name="GME_REV">[3]Hospital_Details!$A$153:$IV$153</definedName>
    <definedName name="H_109">[3]Hospital_Details!$A$220:$IV$220</definedName>
    <definedName name="H_110">[3]Hospital_Details!$A$221:$IV$221</definedName>
    <definedName name="H_111">[3]Hospital_Details!$A$222:$IV$222</definedName>
    <definedName name="H_133">[3]Hospital_Details!$A$167:$IV$167</definedName>
    <definedName name="H_134">[3]Hospital_Details!$A$175:$IV$175</definedName>
    <definedName name="H_135">[3]Hospital_Details!$A$176:$IV$176</definedName>
    <definedName name="H_136">[3]Hospital_Details!$A$155:$IV$155</definedName>
    <definedName name="H_137">[3]Hospital_Details!$A$156:$IV$156</definedName>
    <definedName name="H_170">[3]Hospital_Details!$A$247:$IV$247</definedName>
    <definedName name="H_171">[3]Hospital_Details!$A$248:$IV$248</definedName>
    <definedName name="H_172">[3]Hospital_Details!$A$249:$IV$249</definedName>
    <definedName name="H_173">[3]Hospital_Details!$A$239:$IV$239</definedName>
    <definedName name="H_174">[3]Hospital_Details!$A$240:$IV$240</definedName>
    <definedName name="H_180">[3]Hospital_Details!$A$369:$IV$369</definedName>
    <definedName name="H_183">[3]Hospital_Details!$A$118:$IV$118</definedName>
    <definedName name="H_187">[3]Hospital_Details!$A$177:$IV$177</definedName>
    <definedName name="H_190">[3]Hospital_Details!$A$241:$IV$241</definedName>
    <definedName name="H_219">[3]Hospital_Details!$A$258:$IV$258</definedName>
    <definedName name="H_236">[3]Hospital_Details!$A$328:$IV$328</definedName>
    <definedName name="H_236_A">[3]Hospital_Details!#REF!</definedName>
    <definedName name="H_237">[3]Hospital_Details!$A$242:$IV$242</definedName>
    <definedName name="H_238">[3]Hospital_Details!$A$243:$IV$243</definedName>
    <definedName name="H_33">[3]Hospital_Details!$A$134:$IV$134</definedName>
    <definedName name="H_331">[3]Hospital_Details!$A$115:$IV$115</definedName>
    <definedName name="H_332">[3]Hospital_Details!$A$123:$IV$123</definedName>
    <definedName name="H_333">[3]Hospital_Details!$A$130:$IV$130</definedName>
    <definedName name="H_336">[3]Hospital_Details!$A$67:$IV$67</definedName>
    <definedName name="H_337">[3]Hospital_Details!$A$68:$IV$68</definedName>
    <definedName name="H_338">[3]Hospital_Details!$A$69:$IV$69</definedName>
    <definedName name="H_36">[3]Hospital_Details!$A$135:$IV$135</definedName>
    <definedName name="H_47">[3]Hospital_Details!$A$226:$IV$226</definedName>
    <definedName name="H_48">[3]Hospital_Details!$A$227:$IV$227</definedName>
    <definedName name="H_51">[3]Hospital_Details!$A$111:$IV$111</definedName>
    <definedName name="H_52">[3]Hospital_Details!$A$112:$IV$112</definedName>
    <definedName name="H_53">[3]Hospital_Details!$A$113:$IV$113</definedName>
    <definedName name="H_532">[3]Hospital_Details!$A$259:$IV$259</definedName>
    <definedName name="H_553">[3]Hospital_Details!$A$116:$IV$116</definedName>
    <definedName name="H_554">[3]Hospital_Details!$A$124:$IV$124</definedName>
    <definedName name="H_555">[3]Hospital_Details!$A$131:$IV$131</definedName>
    <definedName name="H_556">[3]Hospital_Details!$A$117:$IV$117</definedName>
    <definedName name="H_557">[3]Hospital_Details!$A$125:$IV$125</definedName>
    <definedName name="H_558">[3]Hospital_Details!$A$132:$IV$132</definedName>
    <definedName name="H_559">[3]Hospital_Details!$A$76:$IV$76</definedName>
    <definedName name="H_56">[3]Hospital_Details!$A$114:$IV$114</definedName>
    <definedName name="H_560">[3]Hospital_Details!$A$79:$IV$79</definedName>
    <definedName name="H_561">[3]Hospital_Details!$A$82:$IV$82</definedName>
    <definedName name="H_562">[3]Hospital_Details!$A$85:$IV$85</definedName>
    <definedName name="H_563">[3]Hospital_Details!$A$77:$IV$77</definedName>
    <definedName name="H_564">[3]Hospital_Details!$A$80:$IV$80</definedName>
    <definedName name="H_565">[3]Hospital_Details!$A$83:$IV$83</definedName>
    <definedName name="H_566">[3]Hospital_Details!$A$86:$IV$86</definedName>
    <definedName name="H_567">[3]Hospital_Details!$A$78:$IV$78</definedName>
    <definedName name="H_568">[3]Hospital_Details!$A$81:$IV$81</definedName>
    <definedName name="H_569">[3]Hospital_Details!$A$84:$IV$84</definedName>
    <definedName name="H_57">[3]Hospital_Details!$A$119:$IV$119</definedName>
    <definedName name="H_570">[3]Hospital_Details!$A$87:$IV$87</definedName>
    <definedName name="H_58">[3]Hospital_Details!$A$120:$IV$120</definedName>
    <definedName name="H_580">[3]Hospital_Details!$A$133:$IV$133</definedName>
    <definedName name="H_581">[3]Hospital_Details!$A$157:$IV$157</definedName>
    <definedName name="H_59">[3]Hospital_Details!$A$121:$IV$121</definedName>
    <definedName name="H_60">[3]Hospital_Details!$A$122:$IV$122</definedName>
    <definedName name="H_61">[3]Hospital_Details!$A$126:$IV$126</definedName>
    <definedName name="H_62">[3]Hospital_Details!$A$127:$IV$127</definedName>
    <definedName name="H_626">[3]Hospital_Details!$A$32:$IV$32</definedName>
    <definedName name="H_627">[3]Hospital_Details!#REF!</definedName>
    <definedName name="H_628">[3]Hospital_Details!#REF!</definedName>
    <definedName name="H_63">[3]Hospital_Details!$A$128:$IV$128</definedName>
    <definedName name="H_64">[3]Hospital_Details!$A$129:$IV$129</definedName>
    <definedName name="H_65">[3]Hospital_Details!$A$39:$IV$39</definedName>
    <definedName name="H_66">[3]Hospital_Details!$A$40:$IV$40</definedName>
    <definedName name="H_67">[3]Hospital_Details!$A$41:$IV$41</definedName>
    <definedName name="H_68">[3]Hospital_Details!$A$42:$IV$42</definedName>
    <definedName name="H_805">[3]Hospital_Details!#REF!</definedName>
    <definedName name="H_806">[3]Hospital_Details!#REF!</definedName>
    <definedName name="H_83">[3]Hospital_Details!$A$368:$IV$368</definedName>
    <definedName name="H_93">[3]Hospital_Details!#REF!</definedName>
    <definedName name="HHA_COST">[3]Hospital_Details!$A$245:$IV$245</definedName>
    <definedName name="HHA_GL">[3]Hospital_Details!$A$251:$IV$251</definedName>
    <definedName name="HHA_REV">[3]Hospital_Details!$A$234:$IV$234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[3]Hospital_Details!$B$302</definedName>
    <definedName name="IME_FFS">[3]Hospital_Details!$A$301:$IV$301</definedName>
    <definedName name="INLIER_SIM_MC_PMTS">[3]Hospital_Details!$A$306:$IV$306</definedName>
    <definedName name="INP_COST">[3]Hospital_Details!$A$35:$IV$35</definedName>
    <definedName name="INP_GL">[3]Hospital_Details!$A$50:$IV$50</definedName>
    <definedName name="INP_GL_NODSH">[3]Hospital_Details!$A$291:$IV$291</definedName>
    <definedName name="INP_GL_NODSH_IME2.7">[3]Hospital_Details!$A$331:$IV$331</definedName>
    <definedName name="INP_GL_NODSH_IME3.2">[3]Hospital_Details!$A$331:$IV$331</definedName>
    <definedName name="INP_REV">[3]Hospital_Details!$A$19:$IV$19</definedName>
    <definedName name="INP_REV_NODSH">[3]Hospital_Details!$A$286:$IV$286</definedName>
    <definedName name="INP_REV_NODSH_IME2.7">[3]Hospital_Details!$A$296:$IV$296</definedName>
    <definedName name="INP_REV_NODSH_IME3.2">[3]Hospital_Details!$A$296:$IV$296</definedName>
    <definedName name="IRB">[3]Hospital_Details!$C$329</definedName>
    <definedName name="MCpct_103">[3]Hospital_Details!$A$323:$IV$323</definedName>
    <definedName name="MCpct_104">[3]Hospital_Details!$A$324:$IV$324</definedName>
    <definedName name="MCpct_105">[3]Hospital_Details!$A$325:$IV$325</definedName>
    <definedName name="MyName">"Ashton"</definedName>
    <definedName name="OkDataSet">#REF!</definedName>
    <definedName name="OKLAHOMA">#REF!</definedName>
    <definedName name="OUT_COST">[3]Hospital_Details!$A$109:$IV$109</definedName>
    <definedName name="OUT_GL">[3]Hospital_Details!$A$148:$IV$148</definedName>
    <definedName name="OUT_REV">[3]Hospital_Details!$A$55:$IV$55</definedName>
    <definedName name="PaymentDataSet">#REF!</definedName>
    <definedName name="Print_Area_MI">'[4]table 2.5'!$B$4:$T$154</definedName>
    <definedName name="_xlnm.Print_Titles" localSheetId="0">'DSH FFY15 ALLOCATIONS'!$1:$11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[3]Hospital_Details!$A$310:$IV$310</definedName>
    <definedName name="SNF_COST">[3]Hospital_Details!$A$224:$IV$224</definedName>
    <definedName name="SNF_GL">[3]Hospital_Details!$A$229:$IV$229</definedName>
    <definedName name="SNF_REV">[3]Hospital_Details!$A$218:$IV$218</definedName>
    <definedName name="SUB_I_COST">[3]Hospital_Details!$A$192:$IV$192</definedName>
    <definedName name="SUB_I_GL">[3]Hospital_Details!$A$196:$IV$196</definedName>
    <definedName name="SUB_I_REV">[3]Hospital_Details!$A$184:$IV$184</definedName>
    <definedName name="SUB_II_COST">[3]Hospital_Details!$A$209:$IV$209</definedName>
    <definedName name="SUB_II_GL">[3]Hospital_Details!$A$213:$IV$213</definedName>
    <definedName name="SUB_II_REV">[3]Hospital_Details!$A$201:$IV$201</definedName>
    <definedName name="SWING_COST">[3]Hospital_Details!$A$261:$IV$261</definedName>
    <definedName name="SWING_GL">[3]Hospital_Details!$A$281:$IV$281</definedName>
    <definedName name="SWING_MGN">[3]Hospital_Details!$A$283:$IV$283</definedName>
    <definedName name="SWING_REV">[3]Hospital_Details!$A$256:$IV$256</definedName>
    <definedName name="TABLE4J_FY07">#REF!</definedName>
    <definedName name="TaxDataSet">#REF!</definedName>
    <definedName name="TOT_COST">[3]Hospital_Details!$A$14:$IV$14</definedName>
    <definedName name="TOT_GL">[3]Hospital_Details!$A$15:$IV$15</definedName>
    <definedName name="TOT_REV">[3]Hospital_Details!$A$13:$IV$13</definedName>
  </definedNames>
  <calcPr calcId="145621"/>
</workbook>
</file>

<file path=xl/calcChain.xml><?xml version="1.0" encoding="utf-8"?>
<calcChain xmlns="http://schemas.openxmlformats.org/spreadsheetml/2006/main">
  <c r="B82" i="1" l="1"/>
  <c r="N81" i="1"/>
  <c r="B81" i="1"/>
  <c r="B78" i="1"/>
  <c r="N73" i="1"/>
  <c r="B73" i="1"/>
  <c r="N72" i="1"/>
  <c r="B72" i="1"/>
  <c r="N71" i="1"/>
  <c r="N70" i="1"/>
  <c r="N69" i="1"/>
  <c r="B69" i="1"/>
  <c r="N68" i="1"/>
  <c r="B68" i="1"/>
  <c r="N67" i="1"/>
  <c r="N66" i="1"/>
  <c r="B66" i="1"/>
  <c r="N65" i="1"/>
  <c r="N64" i="1"/>
  <c r="B64" i="1"/>
  <c r="N63" i="1"/>
  <c r="B63" i="1"/>
  <c r="N62" i="1"/>
  <c r="B62" i="1"/>
  <c r="N61" i="1"/>
  <c r="B61" i="1"/>
  <c r="N60" i="1"/>
  <c r="B60" i="1"/>
  <c r="N59" i="1"/>
  <c r="B59" i="1"/>
  <c r="N58" i="1"/>
  <c r="B58" i="1"/>
  <c r="N57" i="1"/>
  <c r="B57" i="1"/>
  <c r="N56" i="1"/>
  <c r="B56" i="1"/>
  <c r="N55" i="1"/>
  <c r="B55" i="1"/>
  <c r="N54" i="1"/>
  <c r="B54" i="1"/>
  <c r="N53" i="1"/>
  <c r="B53" i="1"/>
  <c r="N52" i="1"/>
  <c r="B52" i="1"/>
  <c r="N51" i="1"/>
  <c r="B51" i="1"/>
  <c r="N50" i="1"/>
  <c r="B50" i="1"/>
  <c r="N49" i="1"/>
  <c r="B49" i="1"/>
  <c r="N48" i="1"/>
  <c r="B48" i="1"/>
  <c r="N47" i="1"/>
  <c r="H74" i="1"/>
  <c r="B47" i="1"/>
  <c r="B44" i="1"/>
  <c r="N39" i="1"/>
  <c r="Q38" i="1"/>
  <c r="N38" i="1"/>
  <c r="B38" i="1"/>
  <c r="N37" i="1"/>
  <c r="N36" i="1"/>
  <c r="N35" i="1"/>
  <c r="B35" i="1"/>
  <c r="N34" i="1"/>
  <c r="B34" i="1"/>
  <c r="N33" i="1"/>
  <c r="B33" i="1"/>
  <c r="N32" i="1"/>
  <c r="B32" i="1"/>
  <c r="N31" i="1"/>
  <c r="N30" i="1"/>
  <c r="N29" i="1"/>
  <c r="N28" i="1"/>
  <c r="H40" i="1"/>
  <c r="B25" i="1"/>
  <c r="B24" i="1"/>
  <c r="N20" i="1"/>
  <c r="N19" i="1"/>
  <c r="N18" i="1"/>
  <c r="N17" i="1"/>
  <c r="B17" i="1"/>
  <c r="B23" i="1" s="1"/>
  <c r="N16" i="1"/>
  <c r="N15" i="1"/>
  <c r="Q14" i="1"/>
  <c r="N14" i="1"/>
  <c r="N13" i="1"/>
  <c r="H21" i="1"/>
  <c r="C5" i="1"/>
  <c r="D5" i="1" s="1"/>
  <c r="B5" i="1"/>
  <c r="C4" i="1"/>
  <c r="D4" i="1" s="1"/>
  <c r="D3" i="1"/>
  <c r="B3" i="1"/>
  <c r="D2" i="1"/>
  <c r="B74" i="1" l="1"/>
  <c r="B42" i="1"/>
  <c r="B8" i="1"/>
  <c r="O48" i="1"/>
  <c r="O60" i="1"/>
  <c r="O54" i="1"/>
  <c r="O57" i="1"/>
  <c r="O70" i="1"/>
  <c r="O58" i="1"/>
  <c r="O52" i="1"/>
  <c r="O56" i="1"/>
  <c r="N82" i="1"/>
  <c r="O81" i="1"/>
  <c r="N21" i="1"/>
  <c r="O14" i="1" s="1"/>
  <c r="O16" i="1"/>
  <c r="P16" i="1" s="1"/>
  <c r="Q16" i="1" s="1"/>
  <c r="B9" i="1"/>
  <c r="B41" i="1" s="1"/>
  <c r="B43" i="1" s="1"/>
  <c r="N40" i="1"/>
  <c r="O33" i="1" s="1"/>
  <c r="P33" i="1" s="1"/>
  <c r="Q33" i="1" s="1"/>
  <c r="O55" i="1"/>
  <c r="O68" i="1"/>
  <c r="B21" i="1"/>
  <c r="B40" i="1"/>
  <c r="N74" i="1"/>
  <c r="O53" i="1" s="1"/>
  <c r="B76" i="1"/>
  <c r="O67" i="1" l="1"/>
  <c r="O49" i="1"/>
  <c r="P49" i="1" s="1"/>
  <c r="Q49" i="1" s="1"/>
  <c r="O69" i="1"/>
  <c r="O50" i="1"/>
  <c r="O66" i="1"/>
  <c r="O63" i="1"/>
  <c r="O62" i="1"/>
  <c r="O65" i="1"/>
  <c r="O61" i="1"/>
  <c r="O18" i="1"/>
  <c r="P18" i="1" s="1"/>
  <c r="Q18" i="1" s="1"/>
  <c r="O39" i="1"/>
  <c r="P39" i="1" s="1"/>
  <c r="Q39" i="1" s="1"/>
  <c r="O82" i="1"/>
  <c r="P81" i="1"/>
  <c r="B75" i="1"/>
  <c r="B77" i="1" s="1"/>
  <c r="P54" i="1" s="1"/>
  <c r="Q54" i="1" s="1"/>
  <c r="P62" i="1"/>
  <c r="Q62" i="1" s="1"/>
  <c r="O31" i="1"/>
  <c r="P31" i="1" s="1"/>
  <c r="Q31" i="1" s="1"/>
  <c r="O34" i="1"/>
  <c r="P34" i="1" s="1"/>
  <c r="Q34" i="1" s="1"/>
  <c r="B7" i="1"/>
  <c r="O29" i="1"/>
  <c r="P29" i="1" s="1"/>
  <c r="Q29" i="1" s="1"/>
  <c r="O15" i="1"/>
  <c r="P15" i="1" s="1"/>
  <c r="Q15" i="1" s="1"/>
  <c r="O38" i="1"/>
  <c r="O30" i="1"/>
  <c r="P30" i="1" s="1"/>
  <c r="Q30" i="1" s="1"/>
  <c r="O19" i="1"/>
  <c r="P19" i="1" s="1"/>
  <c r="Q19" i="1" s="1"/>
  <c r="O72" i="1"/>
  <c r="O59" i="1"/>
  <c r="O28" i="1"/>
  <c r="O20" i="1"/>
  <c r="P20" i="1" s="1"/>
  <c r="Q20" i="1" s="1"/>
  <c r="O13" i="1"/>
  <c r="O73" i="1"/>
  <c r="O51" i="1"/>
  <c r="O36" i="1"/>
  <c r="P36" i="1" s="1"/>
  <c r="Q36" i="1" s="1"/>
  <c r="O47" i="1"/>
  <c r="O71" i="1"/>
  <c r="O64" i="1"/>
  <c r="O35" i="1"/>
  <c r="P35" i="1" s="1"/>
  <c r="Q35" i="1" s="1"/>
  <c r="O17" i="1"/>
  <c r="P63" i="1"/>
  <c r="Q63" i="1" s="1"/>
  <c r="O32" i="1"/>
  <c r="P32" i="1" s="1"/>
  <c r="Q32" i="1" s="1"/>
  <c r="O37" i="1"/>
  <c r="P37" i="1" s="1"/>
  <c r="Q37" i="1" s="1"/>
  <c r="P70" i="1"/>
  <c r="Q70" i="1" s="1"/>
  <c r="P61" i="1" l="1"/>
  <c r="Q61" i="1" s="1"/>
  <c r="P48" i="1"/>
  <c r="Q48" i="1" s="1"/>
  <c r="P64" i="1"/>
  <c r="Q64" i="1" s="1"/>
  <c r="P51" i="1"/>
  <c r="Q51" i="1" s="1"/>
  <c r="P50" i="1"/>
  <c r="Q50" i="1" s="1"/>
  <c r="P68" i="1"/>
  <c r="Q68" i="1" s="1"/>
  <c r="P58" i="1"/>
  <c r="Q58" i="1" s="1"/>
  <c r="P66" i="1"/>
  <c r="Q66" i="1" s="1"/>
  <c r="P72" i="1"/>
  <c r="Q72" i="1" s="1"/>
  <c r="P28" i="1"/>
  <c r="O40" i="1"/>
  <c r="P55" i="1"/>
  <c r="Q55" i="1" s="1"/>
  <c r="P71" i="1"/>
  <c r="Q71" i="1" s="1"/>
  <c r="P73" i="1"/>
  <c r="Q73" i="1" s="1"/>
  <c r="P59" i="1"/>
  <c r="Q59" i="1" s="1"/>
  <c r="P65" i="1"/>
  <c r="Q65" i="1" s="1"/>
  <c r="P52" i="1"/>
  <c r="Q52" i="1" s="1"/>
  <c r="P69" i="1"/>
  <c r="Q69" i="1" s="1"/>
  <c r="P56" i="1"/>
  <c r="Q56" i="1" s="1"/>
  <c r="P67" i="1"/>
  <c r="Q67" i="1" s="1"/>
  <c r="O74" i="1"/>
  <c r="P47" i="1"/>
  <c r="O21" i="1"/>
  <c r="P13" i="1"/>
  <c r="P82" i="1"/>
  <c r="Q81" i="1"/>
  <c r="Q28" i="1" l="1"/>
  <c r="P40" i="1"/>
  <c r="Q13" i="1"/>
  <c r="P21" i="1"/>
  <c r="P74" i="1"/>
  <c r="Q47" i="1"/>
</calcChain>
</file>

<file path=xl/sharedStrings.xml><?xml version="1.0" encoding="utf-8"?>
<sst xmlns="http://schemas.openxmlformats.org/spreadsheetml/2006/main" count="212" uniqueCount="202">
  <si>
    <t>Federal Fiscal Year 2015 DSH</t>
  </si>
  <si>
    <t>Private &amp; Community Hospitals</t>
  </si>
  <si>
    <t>IMD (DMH Pays State Share)</t>
  </si>
  <si>
    <t>TOTAL</t>
  </si>
  <si>
    <t>DSH Allocation</t>
  </si>
  <si>
    <t>OHCA State Share @ 37.70%</t>
  </si>
  <si>
    <t>DMH State Share @ 37.70%</t>
  </si>
  <si>
    <t>Federal Share @ 62.30%</t>
  </si>
  <si>
    <t>Total Bed for Private and Community Hospitals</t>
  </si>
  <si>
    <t>Total Medicaid Inpatient Days for All Private and Community Hospitals</t>
  </si>
  <si>
    <t>Total Medicaid Inpatient Days for Private and Community Hospitals with &lt; 300 Beds</t>
  </si>
  <si>
    <t>PROVIDER NAME:</t>
  </si>
  <si>
    <t>Licensed Beds</t>
  </si>
  <si>
    <t>OB / GYN</t>
  </si>
  <si>
    <t>OKLAHOMA MEDICAID PROVIDER NUMBER(S)</t>
  </si>
  <si>
    <t>INCLUDED IN THE DATA ON THIS FORM:</t>
  </si>
  <si>
    <t>MEDICARE PROVIDER NUMBER:</t>
  </si>
  <si>
    <t>1.1    Medicaid Inpatient Days</t>
  </si>
  <si>
    <t>1.4    Total Inpatient Days</t>
  </si>
  <si>
    <t>1.5    Medicaid Inpatient Utilization</t>
  </si>
  <si>
    <t>3.8   Total Indigent Care</t>
  </si>
  <si>
    <t>CCR</t>
  </si>
  <si>
    <t>DSH UPL</t>
  </si>
  <si>
    <t>CCR x Hospital Indigent Care = Indigent Care Cost</t>
  </si>
  <si>
    <t>Formula:  Hospital Indigent Care Amount Divided by Sum Total of all Hospital Indigent Care</t>
  </si>
  <si>
    <t xml:space="preserve"> NEW DSH ALLOCATION</t>
  </si>
  <si>
    <t>EXCEEDS UPL</t>
  </si>
  <si>
    <t>Group = Beds &gt; 300</t>
  </si>
  <si>
    <t>MUSKOGEE REGIONAL MEDICAL CENTER</t>
  </si>
  <si>
    <t>MERCY HEALTH CENTER</t>
  </si>
  <si>
    <t>NORMAN REGIONAL HOSPITAL</t>
  </si>
  <si>
    <t>INTEGRIS SOUTHWEST MEDICAL</t>
  </si>
  <si>
    <t>INTEGRIS BAPTIST MEDICAL C</t>
  </si>
  <si>
    <t>HILLCREST MEDICAL CENTER</t>
  </si>
  <si>
    <t>ST ANTHONY HOSPITAL</t>
  </si>
  <si>
    <t>ST JOHN MED CTR</t>
  </si>
  <si>
    <t>Subtotal Beds for Hospitals &gt; than 300 Beds</t>
  </si>
  <si>
    <t>Percent of Total Medicaid Days for Private &amp; Community Hospitals</t>
  </si>
  <si>
    <t>Count of Hospitals</t>
  </si>
  <si>
    <t>DSH Allocation Allowed</t>
  </si>
  <si>
    <t>Recycled Amount</t>
  </si>
  <si>
    <t>Group = Beds &gt; 100  &lt; 300</t>
  </si>
  <si>
    <t>CUSHING REGIONAL HOSPITAL</t>
  </si>
  <si>
    <t>ST. ANTHONY SHAWNEE HOSPITAL</t>
  </si>
  <si>
    <t>INTEGRIS BAPTIST REGIONAL HEALTH CE</t>
  </si>
  <si>
    <t>JANE PHILLIPS EP HSP</t>
  </si>
  <si>
    <t>PONCA CITY MEDICAL CENTER</t>
  </si>
  <si>
    <t>DUNCAN REGIONAL HOSPITAL</t>
  </si>
  <si>
    <t>MEDICAL CENTER OF SOUTHEASTERN OKLAHOMA</t>
  </si>
  <si>
    <t>HILLCREST HOSPITAL SOUTH</t>
  </si>
  <si>
    <t>ST MARY'S REGIONAL CTR</t>
  </si>
  <si>
    <t>DEACONESS HSP</t>
  </si>
  <si>
    <t>OKLAHOMA STATE UNIVERSITY MEDICAL CENTER</t>
  </si>
  <si>
    <t>MIDWEST CITY REGIONAL HOSPITAL</t>
  </si>
  <si>
    <t>Subtotal Beds for Hospitals &gt;= 100 &lt; 300 Beds</t>
  </si>
  <si>
    <t>Percent of Total Medicaid Days for Private &amp; Community Hospitals with &lt; 300 Beds</t>
  </si>
  <si>
    <t>Group = Beds &lt; 100</t>
  </si>
  <si>
    <t>CAH ACQUISITION COMPANY 12 LLC</t>
  </si>
  <si>
    <t>DRUMRIGHT REGIONAL HOSPITAL</t>
  </si>
  <si>
    <t>CAH ACQUISITION COMPANY 9 LLC</t>
  </si>
  <si>
    <t>LAKESIDE WOMENS CENTER OF OKLAHOMA CITY</t>
  </si>
  <si>
    <t>CAH ACQUISITION COMPANY 16 LLC</t>
  </si>
  <si>
    <t>COAL COUNTY GENERAL HOSPITAL INC</t>
  </si>
  <si>
    <t>HOLDENVILLE GEN HSP</t>
  </si>
  <si>
    <t xml:space="preserve">MERCY HOSPITAL KINGFISHER, INC </t>
  </si>
  <si>
    <t>PRAGUE COMMUNITY HOSPITAL</t>
  </si>
  <si>
    <t>GEORGE NIGH REHAB INST VA</t>
  </si>
  <si>
    <t>HARMON MEM HSP</t>
  </si>
  <si>
    <t>SEMINOLE HMA LLC</t>
  </si>
  <si>
    <t>JEAY MEDICAL SERVICES</t>
  </si>
  <si>
    <t>J D MCCARTY C P CTR</t>
  </si>
  <si>
    <t>ST JOHN OWASSO</t>
  </si>
  <si>
    <t>INTEGRIS HEALTH EDMOND, INC.</t>
  </si>
  <si>
    <t>HENRYETTA MEDICAL CENTER</t>
  </si>
  <si>
    <t>MEMORIAL HOSPITAL OF TEXAS COUNTY</t>
  </si>
  <si>
    <t>CLINTON HMA LLC</t>
  </si>
  <si>
    <t>INTEGRIS GROVE HOSPITAL</t>
  </si>
  <si>
    <t>GREAT PLAINS REGIONAL MEDICAL CENTER</t>
  </si>
  <si>
    <t>BAILEY MEDICAL CENTER LLC</t>
  </si>
  <si>
    <t>INTEGRIS CANADIAN VALLEY HOSPITAL</t>
  </si>
  <si>
    <t>AHS CLAREMORE REGIONAL HOSPITAL, LLC</t>
  </si>
  <si>
    <t>WEATHERFORD HOSPITAL AUTHORITY</t>
  </si>
  <si>
    <t>WOODWARD REGIONAL HOSPITAL</t>
  </si>
  <si>
    <t>SAINT FRANCIS HOSPITAL SOUTH</t>
  </si>
  <si>
    <t>Subtotal Beds for Hospitals &lt; 100 Beds</t>
  </si>
  <si>
    <t>IMD</t>
  </si>
  <si>
    <t>GRIFFIN MEMORIAL HOSPITAL</t>
  </si>
  <si>
    <t>100700630A</t>
  </si>
  <si>
    <t>100700630G</t>
  </si>
  <si>
    <t>100700630H</t>
  </si>
  <si>
    <t>37-0025</t>
  </si>
  <si>
    <t>100699390A</t>
  </si>
  <si>
    <t>37-0013</t>
  </si>
  <si>
    <t>100700690A</t>
  </si>
  <si>
    <t>37-0008</t>
  </si>
  <si>
    <t>100700200A</t>
  </si>
  <si>
    <t>100700200R</t>
  </si>
  <si>
    <t>37-0106 &amp; 37-T106</t>
  </si>
  <si>
    <t>100806400C</t>
  </si>
  <si>
    <t>100806400Y, 100806400B, 100689250A</t>
  </si>
  <si>
    <t>100806400X, 100800400W</t>
  </si>
  <si>
    <t>37-0028</t>
  </si>
  <si>
    <t>200044210A</t>
  </si>
  <si>
    <t>200044210B, 200044210C</t>
  </si>
  <si>
    <t>200044210E</t>
  </si>
  <si>
    <t>37-0001 and 37-T001</t>
  </si>
  <si>
    <t>100699540A</t>
  </si>
  <si>
    <t>100699540H, 100699540P</t>
  </si>
  <si>
    <t>100699540T</t>
  </si>
  <si>
    <t>37-0037</t>
  </si>
  <si>
    <t>100699400A</t>
  </si>
  <si>
    <t>100699400H</t>
  </si>
  <si>
    <t>100699400I</t>
  </si>
  <si>
    <t>37-0114, 37S114, 37T114</t>
  </si>
  <si>
    <t>200044190A</t>
  </si>
  <si>
    <t>200044190D</t>
  </si>
  <si>
    <t>32-0099</t>
  </si>
  <si>
    <t>100740840B</t>
  </si>
  <si>
    <t>37-0149</t>
  </si>
  <si>
    <t>100699440A</t>
  </si>
  <si>
    <t>37-0004</t>
  </si>
  <si>
    <t>100699490A</t>
  </si>
  <si>
    <t>37-0018</t>
  </si>
  <si>
    <t>100699420A</t>
  </si>
  <si>
    <t>370006</t>
  </si>
  <si>
    <t>100700120A</t>
  </si>
  <si>
    <t>100700120N</t>
  </si>
  <si>
    <t>37-0023</t>
  </si>
  <si>
    <t>100696610B</t>
  </si>
  <si>
    <t>37-0014</t>
  </si>
  <si>
    <t>200439230A</t>
  </si>
  <si>
    <t>37-0202</t>
  </si>
  <si>
    <t>100690020A</t>
  </si>
  <si>
    <t>100690020C</t>
  </si>
  <si>
    <t>37-0026</t>
  </si>
  <si>
    <t>100699370A</t>
  </si>
  <si>
    <t>100699370E</t>
  </si>
  <si>
    <t>100699370F</t>
  </si>
  <si>
    <t>37-0032, 37-T032, 37-S032</t>
  </si>
  <si>
    <t>200242900A</t>
  </si>
  <si>
    <t>37-0078</t>
  </si>
  <si>
    <t>100700490A</t>
  </si>
  <si>
    <t>370094</t>
  </si>
  <si>
    <t>200311270A</t>
  </si>
  <si>
    <t>37-1318</t>
  </si>
  <si>
    <t>200259440A</t>
  </si>
  <si>
    <t>37-1331</t>
  </si>
  <si>
    <t>200287200A</t>
  </si>
  <si>
    <t>37-1332</t>
  </si>
  <si>
    <t>100745350B</t>
  </si>
  <si>
    <t>370199 400520224</t>
  </si>
  <si>
    <t>200313370A</t>
  </si>
  <si>
    <t>371335</t>
  </si>
  <si>
    <t>100774650D</t>
  </si>
  <si>
    <t>37-1319</t>
  </si>
  <si>
    <t>100699880A</t>
  </si>
  <si>
    <t>37-1321</t>
  </si>
  <si>
    <t>200521810B</t>
  </si>
  <si>
    <t>37-1313</t>
  </si>
  <si>
    <t>200231400B</t>
  </si>
  <si>
    <t>37-1301</t>
  </si>
  <si>
    <t>100693650A</t>
  </si>
  <si>
    <t>100707370A</t>
  </si>
  <si>
    <t>373026, GRGNGHRHB</t>
  </si>
  <si>
    <t>100700780B</t>
  </si>
  <si>
    <t>370036</t>
  </si>
  <si>
    <t>200196450C</t>
  </si>
  <si>
    <t>37-0229</t>
  </si>
  <si>
    <t>200404110A</t>
  </si>
  <si>
    <t>200404110B</t>
  </si>
  <si>
    <t>370169</t>
  </si>
  <si>
    <t>100700670A</t>
  </si>
  <si>
    <t>37-330</t>
  </si>
  <si>
    <t>200106410A</t>
  </si>
  <si>
    <t>37-0227</t>
  </si>
  <si>
    <t>200405550A</t>
  </si>
  <si>
    <t>37-0236</t>
  </si>
  <si>
    <t>200045700C</t>
  </si>
  <si>
    <t>200045700D</t>
  </si>
  <si>
    <t>37-0183</t>
  </si>
  <si>
    <t>100699630A</t>
  </si>
  <si>
    <t>100700010G</t>
  </si>
  <si>
    <t>37-0029, 37-T029 &amp; 37-7277</t>
  </si>
  <si>
    <t>100699700A</t>
  </si>
  <si>
    <t>37-0113</t>
  </si>
  <si>
    <t>100699410A</t>
  </si>
  <si>
    <t>37-0019</t>
  </si>
  <si>
    <t>200102450A</t>
  </si>
  <si>
    <t>37-0228</t>
  </si>
  <si>
    <t>100700610A</t>
  </si>
  <si>
    <t>37-0211</t>
  </si>
  <si>
    <t>200435950A</t>
  </si>
  <si>
    <t>100726280B</t>
  </si>
  <si>
    <t>100726280C</t>
  </si>
  <si>
    <t>37-0039</t>
  </si>
  <si>
    <t>100699870E</t>
  </si>
  <si>
    <t>200019120A</t>
  </si>
  <si>
    <t>37-0002</t>
  </si>
  <si>
    <t>200031310A</t>
  </si>
  <si>
    <t>37-0218</t>
  </si>
  <si>
    <t>100690030A</t>
  </si>
  <si>
    <t>37-4000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</si>
</sst>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&quot;$&quot;* #,##0_);_(&quot;$&quot;* \(#,##0\);_(&quot;$&quot;* &quot;-&quot;??_);_(@_)"/>
    <numFmt numFmtId="167" formatCode="0.00_)"/>
  </numFmts>
  <fonts count="21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0"/>
      <name val="MS Sans Serif"/>
      <family val="2"/>
    </font>
    <font>
      <sz val="12"/>
      <name val="Arial"/>
      <family val="2"/>
    </font>
    <font>
      <sz val="10"/>
      <color rgb="FF00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C0C0C0"/>
        <bgColor rgb="FF000000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7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8" fillId="0" borderId="0"/>
    <xf numFmtId="0" fontId="15" fillId="0" borderId="0"/>
    <xf numFmtId="0" fontId="15" fillId="0" borderId="0"/>
    <xf numFmtId="0" fontId="1" fillId="0" borderId="0"/>
    <xf numFmtId="0" fontId="19" fillId="0" borderId="0"/>
    <xf numFmtId="0" fontId="20" fillId="0" borderId="0"/>
    <xf numFmtId="0" fontId="15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66">
    <xf numFmtId="0" fontId="0" fillId="0" borderId="0" xfId="0"/>
    <xf numFmtId="0" fontId="3" fillId="15" borderId="2" xfId="1" applyNumberFormat="1" applyFont="1" applyFill="1" applyBorder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wrapText="1"/>
    </xf>
    <xf numFmtId="0" fontId="4" fillId="0" borderId="4" xfId="1" applyNumberFormat="1" applyFont="1" applyFill="1" applyBorder="1" applyAlignment="1">
      <alignment horizontal="right" wrapText="1"/>
    </xf>
    <xf numFmtId="0" fontId="4" fillId="0" borderId="5" xfId="1" applyNumberFormat="1" applyFont="1" applyFill="1" applyBorder="1" applyAlignment="1">
      <alignment horizontal="right" wrapText="1"/>
    </xf>
    <xf numFmtId="0" fontId="5" fillId="0" borderId="0" xfId="1" applyNumberFormat="1" applyFont="1" applyFill="1" applyBorder="1" applyAlignment="1">
      <alignment horizontal="right" wrapText="1"/>
    </xf>
    <xf numFmtId="0" fontId="6" fillId="0" borderId="0" xfId="0" applyFont="1"/>
    <xf numFmtId="165" fontId="6" fillId="0" borderId="0" xfId="1" applyNumberFormat="1" applyFont="1"/>
    <xf numFmtId="0" fontId="6" fillId="0" borderId="0" xfId="0" applyFont="1" applyFill="1"/>
    <xf numFmtId="0" fontId="4" fillId="0" borderId="6" xfId="1" applyNumberFormat="1" applyFont="1" applyFill="1" applyBorder="1" applyAlignment="1">
      <alignment horizontal="right"/>
    </xf>
    <xf numFmtId="44" fontId="7" fillId="0" borderId="7" xfId="2" applyFont="1" applyFill="1" applyBorder="1"/>
    <xf numFmtId="44" fontId="7" fillId="0" borderId="7" xfId="2" applyFont="1" applyBorder="1"/>
    <xf numFmtId="44" fontId="7" fillId="0" borderId="8" xfId="2" applyFont="1" applyFill="1" applyBorder="1"/>
    <xf numFmtId="43" fontId="6" fillId="0" borderId="0" xfId="1" applyFont="1" applyBorder="1"/>
    <xf numFmtId="0" fontId="4" fillId="0" borderId="9" xfId="1" applyNumberFormat="1" applyFont="1" applyFill="1" applyBorder="1" applyAlignment="1">
      <alignment horizontal="right"/>
    </xf>
    <xf numFmtId="44" fontId="7" fillId="15" borderId="7" xfId="2" applyFont="1" applyFill="1" applyBorder="1"/>
    <xf numFmtId="43" fontId="6" fillId="0" borderId="0" xfId="1" applyFont="1" applyFill="1" applyBorder="1"/>
    <xf numFmtId="0" fontId="4" fillId="0" borderId="10" xfId="1" applyNumberFormat="1" applyFont="1" applyFill="1" applyBorder="1" applyAlignment="1">
      <alignment horizontal="right"/>
    </xf>
    <xf numFmtId="44" fontId="7" fillId="0" borderId="11" xfId="2" applyFont="1" applyBorder="1"/>
    <xf numFmtId="44" fontId="7" fillId="0" borderId="12" xfId="2" applyFont="1" applyFill="1" applyBorder="1"/>
    <xf numFmtId="164" fontId="6" fillId="0" borderId="0" xfId="1" applyNumberFormat="1" applyFont="1"/>
    <xf numFmtId="43" fontId="6" fillId="0" borderId="0" xfId="0" applyNumberFormat="1" applyFont="1"/>
    <xf numFmtId="0" fontId="4" fillId="0" borderId="0" xfId="1" applyNumberFormat="1" applyFont="1" applyFill="1" applyBorder="1" applyAlignment="1">
      <alignment horizontal="left"/>
    </xf>
    <xf numFmtId="164" fontId="7" fillId="0" borderId="0" xfId="1" applyNumberFormat="1" applyFont="1"/>
    <xf numFmtId="0" fontId="8" fillId="0" borderId="0" xfId="0" applyFont="1"/>
    <xf numFmtId="165" fontId="8" fillId="0" borderId="0" xfId="1" applyNumberFormat="1" applyFont="1"/>
    <xf numFmtId="0" fontId="8" fillId="0" borderId="0" xfId="0" applyFont="1" applyFill="1"/>
    <xf numFmtId="164" fontId="8" fillId="0" borderId="0" xfId="1" applyNumberFormat="1" applyFont="1"/>
    <xf numFmtId="0" fontId="4" fillId="16" borderId="7" xfId="0" applyFont="1" applyFill="1" applyBorder="1" applyAlignment="1">
      <alignment wrapText="1"/>
    </xf>
    <xf numFmtId="164" fontId="4" fillId="16" borderId="7" xfId="1" applyNumberFormat="1" applyFont="1" applyFill="1" applyBorder="1" applyAlignment="1">
      <alignment horizontal="center" wrapText="1"/>
    </xf>
    <xf numFmtId="0" fontId="4" fillId="16" borderId="7" xfId="0" applyFont="1" applyFill="1" applyBorder="1" applyAlignment="1">
      <alignment horizontal="center" wrapText="1"/>
    </xf>
    <xf numFmtId="164" fontId="4" fillId="16" borderId="7" xfId="1" applyNumberFormat="1" applyFont="1" applyFill="1" applyBorder="1" applyAlignment="1">
      <alignment horizontal="left" wrapText="1"/>
    </xf>
    <xf numFmtId="164" fontId="4" fillId="16" borderId="7" xfId="1" applyNumberFormat="1" applyFont="1" applyFill="1" applyBorder="1" applyAlignment="1">
      <alignment wrapText="1"/>
    </xf>
    <xf numFmtId="9" fontId="4" fillId="16" borderId="7" xfId="3" applyFont="1" applyFill="1" applyBorder="1" applyAlignment="1">
      <alignment wrapText="1"/>
    </xf>
    <xf numFmtId="165" fontId="4" fillId="16" borderId="7" xfId="1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0" fontId="10" fillId="15" borderId="7" xfId="0" applyFont="1" applyFill="1" applyBorder="1"/>
    <xf numFmtId="164" fontId="11" fillId="15" borderId="7" xfId="1" applyNumberFormat="1" applyFont="1" applyFill="1" applyBorder="1" applyAlignment="1">
      <alignment horizontal="center"/>
    </xf>
    <xf numFmtId="0" fontId="11" fillId="15" borderId="7" xfId="0" applyFont="1" applyFill="1" applyBorder="1" applyAlignment="1">
      <alignment horizontal="center"/>
    </xf>
    <xf numFmtId="165" fontId="11" fillId="15" borderId="7" xfId="1" applyNumberFormat="1" applyFont="1" applyFill="1" applyBorder="1" applyAlignment="1">
      <alignment horizontal="center"/>
    </xf>
    <xf numFmtId="0" fontId="11" fillId="15" borderId="7" xfId="0" quotePrefix="1" applyFont="1" applyFill="1" applyBorder="1" applyAlignment="1">
      <alignment horizontal="center"/>
    </xf>
    <xf numFmtId="0" fontId="11" fillId="15" borderId="7" xfId="0" applyFont="1" applyFill="1" applyBorder="1"/>
    <xf numFmtId="0" fontId="11" fillId="15" borderId="7" xfId="0" quotePrefix="1" applyFont="1" applyFill="1" applyBorder="1"/>
    <xf numFmtId="0" fontId="11" fillId="0" borderId="0" xfId="0" applyFont="1" applyFill="1"/>
    <xf numFmtId="0" fontId="12" fillId="0" borderId="7" xfId="0" applyNumberFormat="1" applyFont="1" applyFill="1" applyBorder="1" applyAlignment="1">
      <alignment horizontal="right" vertical="center"/>
    </xf>
    <xf numFmtId="164" fontId="8" fillId="0" borderId="7" xfId="1" applyNumberFormat="1" applyFont="1" applyBorder="1"/>
    <xf numFmtId="10" fontId="8" fillId="0" borderId="7" xfId="3" applyNumberFormat="1" applyFont="1" applyBorder="1"/>
    <xf numFmtId="165" fontId="8" fillId="0" borderId="7" xfId="1" applyNumberFormat="1" applyFont="1" applyBorder="1"/>
    <xf numFmtId="44" fontId="8" fillId="0" borderId="7" xfId="0" applyNumberFormat="1" applyFont="1" applyBorder="1"/>
    <xf numFmtId="166" fontId="8" fillId="0" borderId="7" xfId="2" applyNumberFormat="1" applyFont="1" applyBorder="1"/>
    <xf numFmtId="0" fontId="8" fillId="0" borderId="7" xfId="0" applyFont="1" applyBorder="1"/>
    <xf numFmtId="0" fontId="7" fillId="0" borderId="0" xfId="0" applyFont="1"/>
    <xf numFmtId="165" fontId="7" fillId="0" borderId="0" xfId="1" applyNumberFormat="1" applyFont="1"/>
    <xf numFmtId="44" fontId="7" fillId="0" borderId="0" xfId="2" applyFont="1"/>
    <xf numFmtId="10" fontId="7" fillId="0" borderId="0" xfId="3" applyNumberFormat="1" applyFont="1"/>
    <xf numFmtId="0" fontId="7" fillId="0" borderId="0" xfId="0" applyFont="1" applyFill="1"/>
    <xf numFmtId="164" fontId="11" fillId="15" borderId="7" xfId="1" applyNumberFormat="1" applyFont="1" applyFill="1" applyBorder="1"/>
    <xf numFmtId="165" fontId="11" fillId="15" borderId="7" xfId="1" applyNumberFormat="1" applyFont="1" applyFill="1" applyBorder="1"/>
    <xf numFmtId="166" fontId="7" fillId="0" borderId="0" xfId="2" applyNumberFormat="1" applyFont="1"/>
    <xf numFmtId="164" fontId="8" fillId="0" borderId="0" xfId="0" applyNumberFormat="1" applyFont="1"/>
    <xf numFmtId="0" fontId="12" fillId="0" borderId="0" xfId="0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10" fontId="7" fillId="0" borderId="0" xfId="2" applyNumberFormat="1" applyFont="1"/>
    <xf numFmtId="43" fontId="8" fillId="0" borderId="7" xfId="1" applyNumberFormat="1" applyFont="1" applyBorder="1"/>
    <xf numFmtId="10" fontId="7" fillId="0" borderId="0" xfId="0" applyNumberFormat="1" applyFont="1" applyFill="1"/>
    <xf numFmtId="164" fontId="7" fillId="0" borderId="0" xfId="0" applyNumberFormat="1" applyFont="1"/>
  </cellXfs>
  <cellStyles count="74">
    <cellStyle name="£Z_x0004_Ç_x0006_^_x0004_" xfId="4"/>
    <cellStyle name="£Z_x0004_Ç_x0006_^_x0004_ 2" xfId="5"/>
    <cellStyle name="£Z_x0004_Ç_x0006_^_x0004_ 2 2" xfId="6"/>
    <cellStyle name="20% - Accent1 2" xfId="7"/>
    <cellStyle name="20% - Accent2 2" xfId="8"/>
    <cellStyle name="20% - Accent3 2" xfId="9"/>
    <cellStyle name="20% - Accent4 2" xfId="10"/>
    <cellStyle name="20% - Accent5 2" xfId="11"/>
    <cellStyle name="20% - Accent6 2" xfId="12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Comma" xfId="1" builtinId="3"/>
    <cellStyle name="Comma [0] 2" xfId="19"/>
    <cellStyle name="Comma 2" xfId="20"/>
    <cellStyle name="Comma 2 2" xfId="21"/>
    <cellStyle name="Comma 2 3" xfId="22"/>
    <cellStyle name="Comma 2 3 2" xfId="23"/>
    <cellStyle name="Comma 2 3 2 2" xfId="24"/>
    <cellStyle name="Comma 2 4" xfId="25"/>
    <cellStyle name="Comma 3" xfId="26"/>
    <cellStyle name="Comma 4" xfId="27"/>
    <cellStyle name="Comma 5" xfId="28"/>
    <cellStyle name="Comma 5 2" xfId="29"/>
    <cellStyle name="Comma 6" xfId="30"/>
    <cellStyle name="Comma 7" xfId="31"/>
    <cellStyle name="Comma 8" xfId="32"/>
    <cellStyle name="Comma 9" xfId="33"/>
    <cellStyle name="Currency" xfId="2" builtinId="4"/>
    <cellStyle name="Currency 2" xfId="34"/>
    <cellStyle name="Currency 3" xfId="35"/>
    <cellStyle name="Hyperlink 2" xfId="36"/>
    <cellStyle name="Normal" xfId="0" builtinId="0"/>
    <cellStyle name="Normal - Style1" xfId="37"/>
    <cellStyle name="Normal 10" xfId="38"/>
    <cellStyle name="Normal 11" xfId="39"/>
    <cellStyle name="Normal 12" xfId="40"/>
    <cellStyle name="Normal 2" xfId="41"/>
    <cellStyle name="Normal 2 2" xfId="42"/>
    <cellStyle name="Normal 2 2 2" xfId="43"/>
    <cellStyle name="Normal 2 2 3" xfId="44"/>
    <cellStyle name="Normal 2 3" xfId="45"/>
    <cellStyle name="Normal 2 4" xfId="46"/>
    <cellStyle name="Normal 3" xfId="47"/>
    <cellStyle name="Normal 3 2" xfId="48"/>
    <cellStyle name="Normal 3 2 2" xfId="49"/>
    <cellStyle name="Normal 3 2 2 2" xfId="50"/>
    <cellStyle name="Normal 3 3" xfId="51"/>
    <cellStyle name="Normal 4" xfId="52"/>
    <cellStyle name="Normal 4 2" xfId="53"/>
    <cellStyle name="Normal 4 3" xfId="54"/>
    <cellStyle name="Normal 5" xfId="55"/>
    <cellStyle name="Normal 5 2" xfId="56"/>
    <cellStyle name="Normal 6" xfId="57"/>
    <cellStyle name="Normal 6 2" xfId="58"/>
    <cellStyle name="Normal 6 3" xfId="59"/>
    <cellStyle name="Normal 7" xfId="60"/>
    <cellStyle name="Normal 8" xfId="61"/>
    <cellStyle name="Normal 8 2" xfId="62"/>
    <cellStyle name="Normal 9" xfId="63"/>
    <cellStyle name="Note 2" xfId="64"/>
    <cellStyle name="Note 2 2" xfId="65"/>
    <cellStyle name="Note 2 3" xfId="66"/>
    <cellStyle name="Note 3" xfId="67"/>
    <cellStyle name="Percent" xfId="3" builtinId="5"/>
    <cellStyle name="Percent 2" xfId="68"/>
    <cellStyle name="Percent 2 2" xfId="69"/>
    <cellStyle name="Percent 3" xfId="70"/>
    <cellStyle name="Percent 4" xfId="71"/>
    <cellStyle name="Percent 5" xfId="72"/>
    <cellStyle name="Percent 6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5%20DSH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DSH DATA"/>
      <sheetName val="COMBO"/>
      <sheetName val="ALLOCATIONS"/>
      <sheetName val="Cost UPL SFY14 (2)"/>
      <sheetName val="SHOPP Payments SFY14"/>
      <sheetName val="comparison"/>
    </sheetNames>
    <sheetDataSet>
      <sheetData sheetId="0" refreshError="1"/>
      <sheetData sheetId="1">
        <row r="3">
          <cell r="A3" t="str">
            <v>AHS CLAREMORE REGIONAL HOSPITAL, LLC</v>
          </cell>
          <cell r="B3" t="str">
            <v>200435950A</v>
          </cell>
          <cell r="C3">
            <v>81</v>
          </cell>
          <cell r="D3" t="str">
            <v>100726280B</v>
          </cell>
          <cell r="E3" t="str">
            <v>100726280C</v>
          </cell>
          <cell r="F3" t="str">
            <v>37-0039</v>
          </cell>
        </row>
        <row r="4">
          <cell r="A4" t="str">
            <v>BAILEY MEDICAL CENTER LLC</v>
          </cell>
          <cell r="B4" t="str">
            <v>200102450A</v>
          </cell>
          <cell r="C4">
            <v>73</v>
          </cell>
          <cell r="F4" t="str">
            <v>37-0228</v>
          </cell>
        </row>
        <row r="5">
          <cell r="A5" t="str">
            <v>CAH ACQUISITION COMPANY 12 LLC</v>
          </cell>
          <cell r="B5" t="str">
            <v>200311270A</v>
          </cell>
          <cell r="C5">
            <v>15</v>
          </cell>
          <cell r="F5" t="str">
            <v>37-1318</v>
          </cell>
        </row>
        <row r="6">
          <cell r="A6" t="str">
            <v>CAH ACQUISITION COMPANY 16 LLC</v>
          </cell>
          <cell r="B6" t="str">
            <v>200313370A</v>
          </cell>
          <cell r="C6">
            <v>25</v>
          </cell>
          <cell r="F6" t="str">
            <v>371335</v>
          </cell>
        </row>
        <row r="7">
          <cell r="A7" t="str">
            <v>CAH ACQUISITION COMPANY 9 LLC</v>
          </cell>
          <cell r="B7" t="str">
            <v>200287200A</v>
          </cell>
          <cell r="C7">
            <v>18</v>
          </cell>
          <cell r="F7" t="str">
            <v>37-1332</v>
          </cell>
        </row>
        <row r="8">
          <cell r="A8" t="str">
            <v>CLINTON HMA LLC</v>
          </cell>
          <cell r="B8" t="str">
            <v>100700010G</v>
          </cell>
          <cell r="C8">
            <v>56</v>
          </cell>
          <cell r="F8" t="str">
            <v>37-0029, 37-T029 &amp; 37-7277</v>
          </cell>
        </row>
        <row r="9">
          <cell r="A9" t="str">
            <v>COAL COUNTY GENERAL HOSPITAL INC</v>
          </cell>
          <cell r="B9" t="str">
            <v>100774650D</v>
          </cell>
          <cell r="C9">
            <v>25</v>
          </cell>
          <cell r="F9" t="str">
            <v>37-1319</v>
          </cell>
        </row>
        <row r="10">
          <cell r="A10" t="str">
            <v>CUSHING REGIONAL HOSPITAL</v>
          </cell>
          <cell r="B10" t="str">
            <v>200044190A</v>
          </cell>
          <cell r="C10">
            <v>99</v>
          </cell>
          <cell r="D10" t="str">
            <v>200044190D</v>
          </cell>
          <cell r="F10" t="str">
            <v>32-0099</v>
          </cell>
        </row>
        <row r="11">
          <cell r="A11" t="str">
            <v>DEACONESS HSP</v>
          </cell>
          <cell r="B11" t="str">
            <v>100699370A</v>
          </cell>
          <cell r="C11">
            <v>238</v>
          </cell>
          <cell r="D11" t="str">
            <v>100699370E</v>
          </cell>
          <cell r="E11" t="str">
            <v>100699370F</v>
          </cell>
          <cell r="F11" t="str">
            <v>37-0032, 37-T032, 37-S032</v>
          </cell>
        </row>
        <row r="12">
          <cell r="A12" t="str">
            <v>DRUMRIGHT REGIONAL HOSPITAL</v>
          </cell>
          <cell r="B12" t="str">
            <v>200259440A</v>
          </cell>
          <cell r="C12">
            <v>15</v>
          </cell>
          <cell r="F12" t="str">
            <v>37-1331</v>
          </cell>
        </row>
        <row r="13">
          <cell r="A13" t="str">
            <v>DUNCAN REGIONAL HOSPITAL</v>
          </cell>
          <cell r="B13" t="str">
            <v>100700120A</v>
          </cell>
          <cell r="C13">
            <v>145</v>
          </cell>
          <cell r="D13" t="str">
            <v>100700120N</v>
          </cell>
          <cell r="F13" t="str">
            <v>37-0023</v>
          </cell>
        </row>
        <row r="14">
          <cell r="A14" t="str">
            <v>GEORGE NIGH REHAB INST VA</v>
          </cell>
          <cell r="B14" t="str">
            <v>100693650A</v>
          </cell>
          <cell r="C14">
            <v>26</v>
          </cell>
          <cell r="D14" t="str">
            <v>100707370A</v>
          </cell>
          <cell r="F14" t="str">
            <v>373026, GRGNGHRHB</v>
          </cell>
        </row>
        <row r="15">
          <cell r="A15" t="str">
            <v>GREAT PLAINS REGIONAL MEDICAL CENTER</v>
          </cell>
          <cell r="B15" t="str">
            <v>100699410A</v>
          </cell>
          <cell r="C15">
            <v>62</v>
          </cell>
          <cell r="F15" t="str">
            <v>37-0019</v>
          </cell>
        </row>
        <row r="16">
          <cell r="A16" t="str">
            <v>HARMON MEM HSP</v>
          </cell>
          <cell r="B16" t="str">
            <v>100700780B</v>
          </cell>
          <cell r="C16">
            <v>31</v>
          </cell>
          <cell r="F16" t="str">
            <v>370036</v>
          </cell>
        </row>
        <row r="17">
          <cell r="A17" t="str">
            <v>HENRYETTA MEDICAL CENTER</v>
          </cell>
          <cell r="B17" t="str">
            <v>200045700C</v>
          </cell>
          <cell r="C17">
            <v>41</v>
          </cell>
          <cell r="D17" t="str">
            <v>200045700D</v>
          </cell>
          <cell r="F17" t="str">
            <v>37-0183</v>
          </cell>
        </row>
        <row r="18">
          <cell r="A18" t="str">
            <v>HILLCREST HOSPITAL SOUTH</v>
          </cell>
          <cell r="B18" t="str">
            <v>200439230A</v>
          </cell>
          <cell r="C18">
            <v>180</v>
          </cell>
          <cell r="F18" t="str">
            <v>37-0202</v>
          </cell>
        </row>
        <row r="19">
          <cell r="A19" t="str">
            <v>HILLCREST MEDICAL CENTER</v>
          </cell>
          <cell r="B19" t="str">
            <v>200044210A</v>
          </cell>
          <cell r="C19">
            <v>686</v>
          </cell>
          <cell r="D19" t="str">
            <v>200044210B, 200044210C</v>
          </cell>
          <cell r="E19" t="str">
            <v>200044210E</v>
          </cell>
          <cell r="F19" t="str">
            <v>37-0001 and 37-T001</v>
          </cell>
        </row>
        <row r="20">
          <cell r="A20" t="str">
            <v>HOLDENVILLE GEN HSP</v>
          </cell>
          <cell r="B20" t="str">
            <v>100699880A</v>
          </cell>
          <cell r="C20">
            <v>25</v>
          </cell>
          <cell r="F20" t="str">
            <v>37-1321</v>
          </cell>
        </row>
        <row r="21">
          <cell r="A21" t="str">
            <v>INTEGRIS BAPTIST MEDICAL C</v>
          </cell>
          <cell r="B21" t="str">
            <v>100806400C</v>
          </cell>
          <cell r="C21">
            <v>629</v>
          </cell>
          <cell r="D21" t="str">
            <v>100806400Y, 100806400B, 100689250A</v>
          </cell>
          <cell r="E21" t="str">
            <v>100806400X, 100800400W</v>
          </cell>
          <cell r="F21" t="str">
            <v>37-0028</v>
          </cell>
        </row>
        <row r="22">
          <cell r="A22" t="str">
            <v>INTEGRIS BAPTIST REGIONAL HEALTH CE</v>
          </cell>
          <cell r="B22" t="str">
            <v>100699440A</v>
          </cell>
          <cell r="C22">
            <v>117</v>
          </cell>
          <cell r="F22" t="str">
            <v>37-0004</v>
          </cell>
        </row>
        <row r="23">
          <cell r="A23" t="str">
            <v>INTEGRIS CANADIAN VALLEY HOSPITAL</v>
          </cell>
          <cell r="B23" t="str">
            <v>100700610A</v>
          </cell>
          <cell r="C23">
            <v>75</v>
          </cell>
          <cell r="F23" t="str">
            <v>37-0211</v>
          </cell>
        </row>
        <row r="24">
          <cell r="A24" t="str">
            <v>INTEGRIS GROVE HOSPITAL</v>
          </cell>
          <cell r="B24" t="str">
            <v>100699700A</v>
          </cell>
          <cell r="C24">
            <v>58</v>
          </cell>
          <cell r="F24" t="str">
            <v>37-0113</v>
          </cell>
        </row>
        <row r="25">
          <cell r="A25" t="str">
            <v>INTEGRIS HEALTH EDMOND, INC.</v>
          </cell>
          <cell r="B25" t="str">
            <v>200405550A</v>
          </cell>
          <cell r="C25">
            <v>40</v>
          </cell>
          <cell r="F25" t="str">
            <v>37-0236</v>
          </cell>
        </row>
        <row r="26">
          <cell r="A26" t="str">
            <v>INTEGRIS SOUTHWEST MEDICAL</v>
          </cell>
          <cell r="B26" t="str">
            <v>100700200A</v>
          </cell>
          <cell r="C26">
            <v>389</v>
          </cell>
          <cell r="D26" t="str">
            <v>100700200R</v>
          </cell>
          <cell r="F26" t="str">
            <v>37-0106 &amp; 37-T106</v>
          </cell>
        </row>
        <row r="27">
          <cell r="A27" t="str">
            <v>J D MCCARTY C P CTR</v>
          </cell>
          <cell r="B27" t="str">
            <v>100700670A</v>
          </cell>
          <cell r="C27">
            <v>36</v>
          </cell>
          <cell r="F27" t="str">
            <v>37-330</v>
          </cell>
        </row>
        <row r="28">
          <cell r="A28" t="str">
            <v>JANE PHILLIPS EP HSP</v>
          </cell>
          <cell r="B28" t="str">
            <v>100699490A</v>
          </cell>
          <cell r="C28">
            <v>140</v>
          </cell>
          <cell r="F28" t="str">
            <v>37-0018</v>
          </cell>
        </row>
        <row r="29">
          <cell r="A29" t="str">
            <v>JEAY MEDICAL SERVICES</v>
          </cell>
          <cell r="B29" t="str">
            <v>200404110A</v>
          </cell>
          <cell r="C29">
            <v>33</v>
          </cell>
          <cell r="D29" t="str">
            <v>200404110B</v>
          </cell>
          <cell r="F29" t="str">
            <v>370169</v>
          </cell>
        </row>
        <row r="30">
          <cell r="A30" t="str">
            <v xml:space="preserve">MERCY HOSPITAL KINGFISHER, INC </v>
          </cell>
          <cell r="B30" t="str">
            <v>200521810B</v>
          </cell>
          <cell r="C30">
            <v>25</v>
          </cell>
          <cell r="F30" t="str">
            <v>37-1313</v>
          </cell>
        </row>
        <row r="31">
          <cell r="A31" t="str">
            <v>LAKESIDE WOMENS CENTER OF OKLAHOMA CITY</v>
          </cell>
          <cell r="B31" t="str">
            <v>100745350B</v>
          </cell>
          <cell r="C31">
            <v>23</v>
          </cell>
          <cell r="F31" t="str">
            <v>370199 400520224</v>
          </cell>
        </row>
        <row r="32">
          <cell r="A32" t="str">
            <v>MEDICAL CENTER OF SOUTHEASTERN OKLAHOMA</v>
          </cell>
          <cell r="B32" t="str">
            <v>100696610B</v>
          </cell>
          <cell r="C32">
            <v>148</v>
          </cell>
          <cell r="F32" t="str">
            <v>37-0014</v>
          </cell>
        </row>
        <row r="33">
          <cell r="A33" t="str">
            <v>MEMORIAL HOSPITAL OF TEXAS COUNTY</v>
          </cell>
          <cell r="B33" t="str">
            <v>100699630A</v>
          </cell>
          <cell r="C33">
            <v>47</v>
          </cell>
          <cell r="F33">
            <v>370138</v>
          </cell>
        </row>
        <row r="34">
          <cell r="A34" t="str">
            <v>MERCY HEALTH CENTER</v>
          </cell>
          <cell r="B34" t="str">
            <v>100699390A</v>
          </cell>
          <cell r="C34">
            <v>349</v>
          </cell>
          <cell r="F34" t="str">
            <v>37-0013</v>
          </cell>
        </row>
        <row r="35">
          <cell r="A35" t="str">
            <v>MIDWEST CITY REGIONAL HOSPITAL</v>
          </cell>
          <cell r="B35" t="str">
            <v>100700490A</v>
          </cell>
          <cell r="C35">
            <v>255</v>
          </cell>
          <cell r="F35" t="str">
            <v>370094</v>
          </cell>
        </row>
        <row r="36">
          <cell r="A36" t="str">
            <v>MUSKOGEE REGIONAL MEDICAL CENTER</v>
          </cell>
          <cell r="B36" t="str">
            <v>100700630A</v>
          </cell>
          <cell r="C36">
            <v>320</v>
          </cell>
          <cell r="D36" t="str">
            <v>100700630G</v>
          </cell>
          <cell r="E36" t="str">
            <v>100700630H</v>
          </cell>
          <cell r="F36" t="str">
            <v>37-0025</v>
          </cell>
        </row>
        <row r="37">
          <cell r="A37" t="str">
            <v>NORMAN REGIONAL HOSPITAL</v>
          </cell>
          <cell r="B37" t="str">
            <v>100700690A</v>
          </cell>
          <cell r="C37">
            <v>500</v>
          </cell>
          <cell r="F37" t="str">
            <v>37-0008</v>
          </cell>
        </row>
        <row r="38">
          <cell r="A38" t="str">
            <v>OKLAHOMA STATE UNIVERSITY MEDICAL CENTER</v>
          </cell>
          <cell r="B38" t="str">
            <v>200242900A</v>
          </cell>
          <cell r="C38">
            <v>249</v>
          </cell>
          <cell r="F38" t="str">
            <v>37-0078</v>
          </cell>
        </row>
        <row r="39">
          <cell r="A39" t="str">
            <v>PONCA CITY MEDICAL CENTER</v>
          </cell>
          <cell r="B39" t="str">
            <v>100699420A</v>
          </cell>
          <cell r="C39">
            <v>140</v>
          </cell>
          <cell r="F39" t="str">
            <v>370006</v>
          </cell>
        </row>
        <row r="40">
          <cell r="A40" t="str">
            <v>PRAGUE COMMUNITY HOSPITAL</v>
          </cell>
          <cell r="B40" t="str">
            <v>200231400B</v>
          </cell>
          <cell r="C40">
            <v>25</v>
          </cell>
          <cell r="F40" t="str">
            <v>37-1301</v>
          </cell>
        </row>
        <row r="41">
          <cell r="A41" t="str">
            <v>SAINT FRANCIS HOSPITAL SOUTH</v>
          </cell>
          <cell r="B41" t="str">
            <v>200031310A</v>
          </cell>
          <cell r="C41">
            <v>96</v>
          </cell>
          <cell r="F41" t="str">
            <v>37-0218</v>
          </cell>
        </row>
        <row r="42">
          <cell r="A42" t="str">
            <v>SEMINOLE HMA LLC</v>
          </cell>
          <cell r="B42" t="str">
            <v>200196450C</v>
          </cell>
          <cell r="C42">
            <v>32</v>
          </cell>
          <cell r="F42" t="str">
            <v>37-0229</v>
          </cell>
        </row>
        <row r="43">
          <cell r="A43" t="str">
            <v>ST ANTHONY HOSPITAL</v>
          </cell>
          <cell r="B43" t="str">
            <v>100699540A</v>
          </cell>
          <cell r="C43">
            <v>686</v>
          </cell>
          <cell r="D43" t="str">
            <v>100699540H, 100699540P</v>
          </cell>
          <cell r="E43" t="str">
            <v>100699540T</v>
          </cell>
          <cell r="F43" t="str">
            <v>37-0037</v>
          </cell>
        </row>
        <row r="44">
          <cell r="A44" t="str">
            <v>ST JOHN MED CTR</v>
          </cell>
          <cell r="B44" t="str">
            <v>100699400A</v>
          </cell>
          <cell r="C44">
            <v>703</v>
          </cell>
          <cell r="D44" t="str">
            <v>100699400H</v>
          </cell>
          <cell r="E44" t="str">
            <v>100699400I</v>
          </cell>
          <cell r="F44" t="str">
            <v>37-0114, 37S114, 37T114</v>
          </cell>
        </row>
        <row r="45">
          <cell r="A45" t="str">
            <v>ST JOHN OWASSO</v>
          </cell>
          <cell r="B45" t="str">
            <v>200106410A</v>
          </cell>
          <cell r="C45">
            <v>36</v>
          </cell>
          <cell r="F45" t="str">
            <v>37-0227</v>
          </cell>
        </row>
        <row r="46">
          <cell r="A46" t="str">
            <v>ST MARY'S REGIONAL CTR</v>
          </cell>
          <cell r="B46" t="str">
            <v>100690020A</v>
          </cell>
          <cell r="C46">
            <v>229</v>
          </cell>
          <cell r="D46" t="str">
            <v>100690020C</v>
          </cell>
          <cell r="F46" t="str">
            <v>37-0026</v>
          </cell>
        </row>
        <row r="47">
          <cell r="A47" t="str">
            <v>ST. ANTHONY SHAWNEE HOSPITAL</v>
          </cell>
          <cell r="B47" t="str">
            <v>100740840B</v>
          </cell>
          <cell r="C47">
            <v>102</v>
          </cell>
          <cell r="F47" t="str">
            <v>37-0149</v>
          </cell>
        </row>
        <row r="48">
          <cell r="A48" t="str">
            <v>WEATHERFORD HOSPITAL AUTHORITY</v>
          </cell>
          <cell r="B48" t="str">
            <v>100699870E</v>
          </cell>
          <cell r="C48">
            <v>25</v>
          </cell>
          <cell r="F48" t="str">
            <v>37-1323</v>
          </cell>
        </row>
        <row r="49">
          <cell r="A49" t="str">
            <v>WOODWARD REGIONAL HOSPITAL</v>
          </cell>
          <cell r="B49" t="str">
            <v>200019120A</v>
          </cell>
          <cell r="C49">
            <v>87</v>
          </cell>
          <cell r="F49" t="str">
            <v>37-0002</v>
          </cell>
        </row>
        <row r="53">
          <cell r="A53" t="str">
            <v>IMD</v>
          </cell>
        </row>
        <row r="54">
          <cell r="A54" t="str">
            <v>CARL ALBERT COMM MHC</v>
          </cell>
          <cell r="B54" t="str">
            <v>100700640A</v>
          </cell>
          <cell r="C54">
            <v>15</v>
          </cell>
          <cell r="F54" t="str">
            <v>37-4006</v>
          </cell>
        </row>
        <row r="55">
          <cell r="A55" t="str">
            <v>GRIFFIN MEMORIAL HOSPITAL</v>
          </cell>
          <cell r="B55" t="str">
            <v>100690030A</v>
          </cell>
          <cell r="C55">
            <v>182</v>
          </cell>
          <cell r="F55" t="str">
            <v>37-4000</v>
          </cell>
        </row>
        <row r="56">
          <cell r="A56" t="str">
            <v>JIM TALIAFERRO M H C</v>
          </cell>
          <cell r="B56" t="str">
            <v>100700660A</v>
          </cell>
          <cell r="C56">
            <v>30</v>
          </cell>
          <cell r="F56" t="str">
            <v>37-4008</v>
          </cell>
        </row>
        <row r="57">
          <cell r="A57" t="str">
            <v>NORTHWEST CENTER FOR BEHAVIORAL HEALTH</v>
          </cell>
          <cell r="B57" t="str">
            <v>100704080A</v>
          </cell>
          <cell r="C57">
            <v>28</v>
          </cell>
          <cell r="F57" t="str">
            <v>37-4001</v>
          </cell>
        </row>
        <row r="59">
          <cell r="E59" t="str">
            <v>All Hospitals Receiving Medicaid Payments in the State</v>
          </cell>
        </row>
        <row r="60">
          <cell r="E60" t="str">
            <v>Average of the Mean Medicaid Inpatient Utilization Rate</v>
          </cell>
        </row>
        <row r="61">
          <cell r="E61" t="str">
            <v>1-Standard Deviation Above the Mean</v>
          </cell>
        </row>
        <row r="62">
          <cell r="E62" t="str">
            <v>Federal Minimum</v>
          </cell>
        </row>
        <row r="66">
          <cell r="A66" t="str">
            <v>REFUSED DSH, Answered NO, or did not answer OBGYN Questions</v>
          </cell>
        </row>
        <row r="67">
          <cell r="A67" t="str">
            <v>BROOKHAVEN HOSPITAL</v>
          </cell>
          <cell r="B67" t="str">
            <v>100701410A</v>
          </cell>
          <cell r="C67">
            <v>64</v>
          </cell>
          <cell r="D67" t="str">
            <v>100701410C</v>
          </cell>
          <cell r="F67" t="str">
            <v>37-4012</v>
          </cell>
        </row>
        <row r="68">
          <cell r="A68" t="str">
            <v>NORMAN SPECIALTY HOSPITAL LLC</v>
          </cell>
          <cell r="B68" t="str">
            <v>200075820A</v>
          </cell>
          <cell r="C68">
            <v>0</v>
          </cell>
          <cell r="F68" t="str">
            <v>37-2021</v>
          </cell>
        </row>
        <row r="69">
          <cell r="A69" t="str">
            <v>CHILDRENS RECOVERY CENTER OF OKLAHOMA</v>
          </cell>
          <cell r="B69" t="str">
            <v>100698370A</v>
          </cell>
          <cell r="C69">
            <v>0</v>
          </cell>
          <cell r="F69" t="str">
            <v>n/a</v>
          </cell>
        </row>
        <row r="70">
          <cell r="A70" t="str">
            <v>CORDELL MEMORIAL HOSPITAL</v>
          </cell>
          <cell r="B70" t="str">
            <v>100819200B</v>
          </cell>
          <cell r="C70">
            <v>0</v>
          </cell>
          <cell r="D70" t="str">
            <v>100819200A</v>
          </cell>
          <cell r="F70" t="str">
            <v>37-1325</v>
          </cell>
        </row>
        <row r="71">
          <cell r="A71" t="str">
            <v>ELKVIEW GEN HSP</v>
          </cell>
          <cell r="B71" t="str">
            <v>100700880A</v>
          </cell>
          <cell r="C71">
            <v>0</v>
          </cell>
          <cell r="D71" t="str">
            <v>100700880B</v>
          </cell>
          <cell r="F71" t="str">
            <v>370153</v>
          </cell>
        </row>
        <row r="72">
          <cell r="A72" t="str">
            <v>HEALDTON MERCY HOSPITAL INC</v>
          </cell>
          <cell r="B72" t="str">
            <v>200226190A</v>
          </cell>
          <cell r="C72">
            <v>0</v>
          </cell>
          <cell r="F72" t="str">
            <v>37-1310</v>
          </cell>
        </row>
        <row r="73">
          <cell r="A73" t="str">
            <v>INTEGRIS BLACKWELL REGIONAL HOSPITAL</v>
          </cell>
          <cell r="B73" t="str">
            <v>100700340A</v>
          </cell>
          <cell r="C73">
            <v>0</v>
          </cell>
          <cell r="F73" t="str">
            <v>37-0030</v>
          </cell>
        </row>
        <row r="74">
          <cell r="A74" t="str">
            <v>INTEGRIS MAYES COUNTY MEDICAL CENTER</v>
          </cell>
          <cell r="B74" t="str">
            <v>100700040A</v>
          </cell>
          <cell r="C74">
            <v>0</v>
          </cell>
          <cell r="F74" t="str">
            <v>37-0015</v>
          </cell>
        </row>
        <row r="75">
          <cell r="A75" t="str">
            <v>JEFFERSON COUNTY HOSPITAL</v>
          </cell>
          <cell r="B75" t="str">
            <v>100730660F</v>
          </cell>
          <cell r="C75">
            <v>0</v>
          </cell>
          <cell r="F75" t="str">
            <v>371311</v>
          </cell>
        </row>
        <row r="76">
          <cell r="A76" t="str">
            <v>LAUREATE PSY CLINIC &amp; HOSP</v>
          </cell>
          <cell r="B76" t="str">
            <v>100700380C</v>
          </cell>
          <cell r="C76">
            <v>0</v>
          </cell>
          <cell r="F76" t="str">
            <v>37-4020</v>
          </cell>
        </row>
        <row r="77">
          <cell r="A77" t="str">
            <v>MARSHALL COUNTY HMA LLC</v>
          </cell>
          <cell r="B77" t="str">
            <v>100700440F</v>
          </cell>
          <cell r="C77">
            <v>0</v>
          </cell>
          <cell r="F77" t="str">
            <v>37-1326, 37-7209, 37-1500 &amp; 37-3440</v>
          </cell>
        </row>
        <row r="78">
          <cell r="A78" t="str">
            <v>MEMORIAL HOSPITAL &amp; PHYSICIAN GROUP</v>
          </cell>
          <cell r="B78" t="str">
            <v>100700940A</v>
          </cell>
          <cell r="C78">
            <v>0</v>
          </cell>
          <cell r="F78" t="str">
            <v>37-0051</v>
          </cell>
        </row>
        <row r="79">
          <cell r="A79" t="str">
            <v>MERCY EL RENO HOSPITAL CORPORATION</v>
          </cell>
          <cell r="B79" t="str">
            <v>200320810D</v>
          </cell>
          <cell r="C79">
            <v>0</v>
          </cell>
          <cell r="F79" t="str">
            <v>37-0011</v>
          </cell>
        </row>
        <row r="80">
          <cell r="A80" t="str">
            <v>MERCY HEALTH LOVE COUNTY</v>
          </cell>
          <cell r="B80" t="str">
            <v>100699960A</v>
          </cell>
          <cell r="C80">
            <v>0</v>
          </cell>
          <cell r="F80" t="str">
            <v>37-1306</v>
          </cell>
        </row>
        <row r="81">
          <cell r="A81" t="str">
            <v>MERCY HOSPITAL ADA</v>
          </cell>
          <cell r="B81" t="str">
            <v>200509290A</v>
          </cell>
          <cell r="C81" t="e">
            <v>#N/A</v>
          </cell>
          <cell r="F81" t="str">
            <v>37-0020</v>
          </cell>
        </row>
        <row r="82">
          <cell r="A82" t="str">
            <v>MERCY HOSPITAL ARDMORE</v>
          </cell>
          <cell r="B82" t="str">
            <v>100262320C</v>
          </cell>
          <cell r="C82">
            <v>190</v>
          </cell>
          <cell r="F82" t="str">
            <v>37-0047</v>
          </cell>
        </row>
        <row r="83">
          <cell r="A83" t="str">
            <v>MERCY HOSPITAL LOGAN COUNTY</v>
          </cell>
          <cell r="B83" t="str">
            <v>200425410C</v>
          </cell>
          <cell r="C83">
            <v>0</v>
          </cell>
          <cell r="F83" t="str">
            <v>37-1317</v>
          </cell>
        </row>
        <row r="84">
          <cell r="A84" t="str">
            <v>MERCY HOSPITAL TISHOMINGO</v>
          </cell>
          <cell r="B84" t="str">
            <v>200318440B</v>
          </cell>
          <cell r="C84">
            <v>0</v>
          </cell>
          <cell r="F84" t="str">
            <v>37-1304</v>
          </cell>
        </row>
        <row r="85">
          <cell r="A85" t="str">
            <v>OKLAHOMA HEART HOSPITAL</v>
          </cell>
          <cell r="B85" t="str">
            <v>200280620A</v>
          </cell>
          <cell r="C85">
            <v>0</v>
          </cell>
          <cell r="F85" t="str">
            <v>37-0234</v>
          </cell>
        </row>
        <row r="86">
          <cell r="A86" t="str">
            <v>OKLAHOMA HEART HOSPITAL LLC</v>
          </cell>
          <cell r="B86" t="str">
            <v>200009170A</v>
          </cell>
          <cell r="C86">
            <v>0</v>
          </cell>
          <cell r="F86" t="str">
            <v>37-0215</v>
          </cell>
        </row>
        <row r="87">
          <cell r="A87" t="str">
            <v>ROLLING HILLS HOSPITAL</v>
          </cell>
          <cell r="B87" t="str">
            <v>100701680A</v>
          </cell>
          <cell r="C87">
            <v>0</v>
          </cell>
          <cell r="F87" t="str">
            <v>374016</v>
          </cell>
        </row>
        <row r="88">
          <cell r="A88" t="str">
            <v>SEQUOYAH COUNTY CITY OF SALLISAW HOSPITAL AUTHORIT</v>
          </cell>
          <cell r="B88" t="str">
            <v>100700190A</v>
          </cell>
          <cell r="C88">
            <v>0</v>
          </cell>
          <cell r="F88" t="str">
            <v>37-0112</v>
          </cell>
        </row>
        <row r="89">
          <cell r="A89" t="str">
            <v>SHARE MEMORIAL HOSPITAL</v>
          </cell>
          <cell r="B89" t="str">
            <v>100699830A</v>
          </cell>
          <cell r="C89">
            <v>0</v>
          </cell>
          <cell r="F89" t="str">
            <v>37-0080</v>
          </cell>
        </row>
        <row r="90">
          <cell r="A90" t="str">
            <v>SOLARA HOSPITAL - MUSKOGEE</v>
          </cell>
          <cell r="B90" t="str">
            <v>200119790A</v>
          </cell>
          <cell r="C90">
            <v>0</v>
          </cell>
          <cell r="F90" t="str">
            <v>37-2022</v>
          </cell>
        </row>
        <row r="91">
          <cell r="A91" t="str">
            <v>SOLARA HOSPITAL SHAWNEE LLC</v>
          </cell>
          <cell r="B91" t="str">
            <v>200080160A</v>
          </cell>
          <cell r="C91">
            <v>0</v>
          </cell>
          <cell r="F91" t="str">
            <v>37-2019</v>
          </cell>
        </row>
        <row r="92">
          <cell r="A92" t="str">
            <v>SPECIALTY HOSPITAL OF MIDWEST CITY</v>
          </cell>
          <cell r="B92" t="str">
            <v>100724700C</v>
          </cell>
          <cell r="C92">
            <v>0</v>
          </cell>
          <cell r="F92" t="str">
            <v>37-2012</v>
          </cell>
        </row>
        <row r="93">
          <cell r="A93" t="str">
            <v>ST JOHN BROKEN ARROW, INC</v>
          </cell>
          <cell r="B93" t="str">
            <v>200310990A</v>
          </cell>
          <cell r="C93">
            <v>0</v>
          </cell>
          <cell r="F93" t="str">
            <v>37-0235</v>
          </cell>
        </row>
        <row r="94">
          <cell r="A94" t="str">
            <v>ST JOHN SAPULPA INC</v>
          </cell>
          <cell r="B94" t="str">
            <v>100699550A</v>
          </cell>
          <cell r="C94">
            <v>0</v>
          </cell>
          <cell r="F94" t="str">
            <v>371312</v>
          </cell>
        </row>
        <row r="95">
          <cell r="A95" t="str">
            <v>SURGICAL HOSPITAL OF OKLAHOMA LLC</v>
          </cell>
          <cell r="B95" t="str">
            <v>100700530A</v>
          </cell>
          <cell r="C95">
            <v>0</v>
          </cell>
          <cell r="F95" t="str">
            <v>37-0201</v>
          </cell>
        </row>
        <row r="96">
          <cell r="A96" t="str">
            <v>WAGONER COMMUNITY HOSPITAL</v>
          </cell>
          <cell r="B96" t="str">
            <v>200100890B</v>
          </cell>
          <cell r="C96">
            <v>0</v>
          </cell>
          <cell r="F96" t="str">
            <v>37-0166</v>
          </cell>
        </row>
        <row r="97">
          <cell r="A97" t="str">
            <v>WATONGA HOSPITAL TRUST AUT</v>
          </cell>
          <cell r="B97" t="str">
            <v>200490030A</v>
          </cell>
          <cell r="C97" t="e">
            <v>#N/A</v>
          </cell>
          <cell r="F97" t="str">
            <v>37-1302</v>
          </cell>
        </row>
      </sheetData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4"/>
  <sheetViews>
    <sheetView tabSelected="1" zoomScaleNormal="100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ColWidth="9" defaultRowHeight="12" x14ac:dyDescent="0.2"/>
  <cols>
    <col min="1" max="1" width="58" style="6" customWidth="1"/>
    <col min="2" max="2" width="12.75" style="20" bestFit="1" customWidth="1"/>
    <col min="3" max="3" width="11.75" style="6" bestFit="1" customWidth="1"/>
    <col min="4" max="4" width="12.625" style="6" bestFit="1" customWidth="1"/>
    <col min="5" max="5" width="25.75" style="6" bestFit="1" customWidth="1"/>
    <col min="6" max="6" width="17.625" style="6" bestFit="1" customWidth="1"/>
    <col min="7" max="7" width="18.625" style="6" bestFit="1" customWidth="1"/>
    <col min="8" max="9" width="7.5" style="6" bestFit="1" customWidth="1"/>
    <col min="10" max="10" width="7.625" style="6" bestFit="1" customWidth="1"/>
    <col min="11" max="11" width="12.125" style="6" bestFit="1" customWidth="1"/>
    <col min="12" max="12" width="6.625" style="7" bestFit="1" customWidth="1"/>
    <col min="13" max="13" width="11.375" style="6" bestFit="1" customWidth="1"/>
    <col min="14" max="14" width="13.625" style="6" bestFit="1" customWidth="1"/>
    <col min="15" max="15" width="9.125" style="6" bestFit="1" customWidth="1"/>
    <col min="16" max="16" width="10.875" style="6" bestFit="1" customWidth="1"/>
    <col min="17" max="17" width="7" style="6" bestFit="1" customWidth="1"/>
    <col min="18" max="16384" width="9" style="8"/>
  </cols>
  <sheetData>
    <row r="1" spans="1:17" ht="42.75" customHeight="1" thickBot="1" x14ac:dyDescent="0.3">
      <c r="A1" s="1" t="s">
        <v>0</v>
      </c>
      <c r="B1" s="2" t="s">
        <v>1</v>
      </c>
      <c r="C1" s="3" t="s">
        <v>2</v>
      </c>
      <c r="D1" s="4" t="s">
        <v>3</v>
      </c>
      <c r="E1" s="5"/>
      <c r="Q1" s="8"/>
    </row>
    <row r="2" spans="1:17" ht="12.75" x14ac:dyDescent="0.2">
      <c r="A2" s="9" t="s">
        <v>4</v>
      </c>
      <c r="B2" s="10">
        <v>40701863</v>
      </c>
      <c r="C2" s="11">
        <v>3273248</v>
      </c>
      <c r="D2" s="12">
        <f>SUM(B2:C2)</f>
        <v>43975111</v>
      </c>
      <c r="E2" s="13"/>
      <c r="Q2" s="8"/>
    </row>
    <row r="3" spans="1:17" ht="12.75" x14ac:dyDescent="0.2">
      <c r="A3" s="14" t="s">
        <v>5</v>
      </c>
      <c r="B3" s="10">
        <f>B2*0.377</f>
        <v>15344602.351</v>
      </c>
      <c r="C3" s="15">
        <v>0</v>
      </c>
      <c r="D3" s="12">
        <f>SUM(B3:C3)</f>
        <v>15344602.351</v>
      </c>
      <c r="E3" s="16"/>
      <c r="Q3" s="8"/>
    </row>
    <row r="4" spans="1:17" ht="12.75" x14ac:dyDescent="0.2">
      <c r="A4" s="14" t="s">
        <v>6</v>
      </c>
      <c r="B4" s="15">
        <v>0</v>
      </c>
      <c r="C4" s="10">
        <f>C2*0.377</f>
        <v>1234014.496</v>
      </c>
      <c r="D4" s="12">
        <f>SUM(B4:C4)</f>
        <v>1234014.496</v>
      </c>
      <c r="E4" s="16"/>
      <c r="Q4" s="8"/>
    </row>
    <row r="5" spans="1:17" ht="13.5" thickBot="1" x14ac:dyDescent="0.25">
      <c r="A5" s="17" t="s">
        <v>7</v>
      </c>
      <c r="B5" s="18">
        <f>B2*0.623</f>
        <v>25357260.649</v>
      </c>
      <c r="C5" s="18">
        <f>C2*0.623</f>
        <v>2039233.504</v>
      </c>
      <c r="D5" s="19">
        <f>SUM(B5:C5)</f>
        <v>27396494.153000001</v>
      </c>
      <c r="E5" s="13"/>
      <c r="Q5" s="8"/>
    </row>
    <row r="6" spans="1:17" x14ac:dyDescent="0.2">
      <c r="D6" s="21"/>
      <c r="E6" s="21"/>
    </row>
    <row r="7" spans="1:17" s="26" customFormat="1" ht="12.75" x14ac:dyDescent="0.2">
      <c r="A7" s="22" t="s">
        <v>8</v>
      </c>
      <c r="B7" s="23">
        <f>B21+B40+B74</f>
        <v>7988</v>
      </c>
      <c r="C7" s="24"/>
      <c r="D7" s="24"/>
      <c r="E7" s="24"/>
      <c r="F7" s="24"/>
      <c r="G7" s="24"/>
      <c r="H7" s="24"/>
      <c r="I7" s="24"/>
      <c r="J7" s="24"/>
      <c r="K7" s="24"/>
      <c r="L7" s="25"/>
      <c r="M7" s="24"/>
      <c r="N7" s="24"/>
      <c r="O7" s="24"/>
      <c r="P7" s="24"/>
      <c r="Q7" s="24"/>
    </row>
    <row r="8" spans="1:17" s="26" customFormat="1" ht="12.75" x14ac:dyDescent="0.2">
      <c r="A8" s="22" t="s">
        <v>9</v>
      </c>
      <c r="B8" s="23">
        <f>H21+H40+H74</f>
        <v>325257</v>
      </c>
      <c r="C8" s="24"/>
      <c r="D8" s="24"/>
      <c r="E8" s="24"/>
      <c r="F8" s="24"/>
      <c r="G8" s="24"/>
      <c r="H8" s="24"/>
      <c r="I8" s="24"/>
      <c r="J8" s="24"/>
      <c r="K8" s="24"/>
      <c r="L8" s="25"/>
      <c r="M8" s="24"/>
      <c r="N8" s="24"/>
      <c r="O8" s="24"/>
      <c r="P8" s="24"/>
      <c r="Q8" s="24"/>
    </row>
    <row r="9" spans="1:17" s="26" customFormat="1" ht="12.75" x14ac:dyDescent="0.2">
      <c r="A9" s="22" t="s">
        <v>10</v>
      </c>
      <c r="B9" s="23">
        <f>H40+H74</f>
        <v>93981</v>
      </c>
      <c r="C9" s="24"/>
      <c r="D9" s="24"/>
      <c r="E9" s="24"/>
      <c r="F9" s="24"/>
      <c r="G9" s="24"/>
      <c r="H9" s="24"/>
      <c r="I9" s="24"/>
      <c r="J9" s="24"/>
      <c r="K9" s="24"/>
      <c r="L9" s="25"/>
      <c r="M9" s="24"/>
      <c r="N9" s="24"/>
      <c r="O9" s="24"/>
      <c r="P9" s="24"/>
      <c r="Q9" s="24"/>
    </row>
    <row r="10" spans="1:17" s="26" customFormat="1" ht="12.75" x14ac:dyDescent="0.2">
      <c r="A10" s="24"/>
      <c r="B10" s="27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4"/>
      <c r="N10" s="24"/>
      <c r="O10" s="24"/>
      <c r="P10" s="24"/>
      <c r="Q10" s="24"/>
    </row>
    <row r="11" spans="1:17" s="35" customFormat="1" ht="140.25" x14ac:dyDescent="0.2">
      <c r="A11" s="28" t="s">
        <v>11</v>
      </c>
      <c r="B11" s="29" t="s">
        <v>12</v>
      </c>
      <c r="C11" s="30" t="s">
        <v>13</v>
      </c>
      <c r="D11" s="28" t="s">
        <v>14</v>
      </c>
      <c r="E11" s="28" t="s">
        <v>15</v>
      </c>
      <c r="F11" s="28" t="s">
        <v>15</v>
      </c>
      <c r="G11" s="28" t="s">
        <v>16</v>
      </c>
      <c r="H11" s="31" t="s">
        <v>17</v>
      </c>
      <c r="I11" s="32" t="s">
        <v>18</v>
      </c>
      <c r="J11" s="33" t="s">
        <v>19</v>
      </c>
      <c r="K11" s="32" t="s">
        <v>20</v>
      </c>
      <c r="L11" s="34" t="s">
        <v>21</v>
      </c>
      <c r="M11" s="29" t="s">
        <v>22</v>
      </c>
      <c r="N11" s="30" t="s">
        <v>23</v>
      </c>
      <c r="O11" s="30" t="s">
        <v>24</v>
      </c>
      <c r="P11" s="29" t="s">
        <v>25</v>
      </c>
      <c r="Q11" s="29" t="s">
        <v>26</v>
      </c>
    </row>
    <row r="12" spans="1:17" s="43" customFormat="1" ht="12.75" x14ac:dyDescent="0.2">
      <c r="A12" s="36" t="s">
        <v>27</v>
      </c>
      <c r="B12" s="37"/>
      <c r="C12" s="38"/>
      <c r="D12" s="38"/>
      <c r="E12" s="38"/>
      <c r="F12" s="38"/>
      <c r="G12" s="38"/>
      <c r="H12" s="38"/>
      <c r="I12" s="38"/>
      <c r="J12" s="38"/>
      <c r="K12" s="38"/>
      <c r="L12" s="39"/>
      <c r="M12" s="38"/>
      <c r="N12" s="40"/>
      <c r="O12" s="38"/>
      <c r="P12" s="41"/>
      <c r="Q12" s="42"/>
    </row>
    <row r="13" spans="1:17" s="26" customFormat="1" ht="12.75" x14ac:dyDescent="0.2">
      <c r="A13" s="44" t="s">
        <v>28</v>
      </c>
      <c r="B13" s="45">
        <v>362</v>
      </c>
      <c r="C13" s="45">
        <v>2</v>
      </c>
      <c r="D13" s="45" t="s">
        <v>87</v>
      </c>
      <c r="E13" s="45" t="s">
        <v>88</v>
      </c>
      <c r="F13" s="45" t="s">
        <v>89</v>
      </c>
      <c r="G13" s="45" t="s">
        <v>90</v>
      </c>
      <c r="H13" s="45">
        <v>8405</v>
      </c>
      <c r="I13" s="45">
        <v>37882</v>
      </c>
      <c r="J13" s="46">
        <v>0.4289900216461644</v>
      </c>
      <c r="K13" s="45">
        <v>137820085</v>
      </c>
      <c r="L13" s="47">
        <v>0.29730000000000001</v>
      </c>
      <c r="M13" s="45">
        <v>3404293.2618592493</v>
      </c>
      <c r="N13" s="48">
        <f>L13*K13</f>
        <v>40973911.270500004</v>
      </c>
      <c r="O13" s="46">
        <f t="shared" ref="O13:O20" si="0">N13/$N$21</f>
        <v>5.5645972539607166E-2</v>
      </c>
      <c r="P13" s="49">
        <f t="shared" ref="P13:P20" si="1">O13*($B$24+$B$25)</f>
        <v>1706307.5101623759</v>
      </c>
      <c r="Q13" s="50">
        <f t="shared" ref="Q13:Q20" si="2">+IF(P13&gt;M13,1,0)</f>
        <v>0</v>
      </c>
    </row>
    <row r="14" spans="1:17" s="26" customFormat="1" ht="12.75" x14ac:dyDescent="0.2">
      <c r="A14" s="44" t="s">
        <v>29</v>
      </c>
      <c r="B14" s="45">
        <v>381</v>
      </c>
      <c r="C14" s="45">
        <v>2</v>
      </c>
      <c r="D14" s="45" t="s">
        <v>91</v>
      </c>
      <c r="E14" s="45">
        <v>0</v>
      </c>
      <c r="F14" s="45">
        <v>0</v>
      </c>
      <c r="G14" s="45" t="s">
        <v>92</v>
      </c>
      <c r="H14" s="45">
        <v>14951</v>
      </c>
      <c r="I14" s="45">
        <v>87752</v>
      </c>
      <c r="J14" s="46">
        <v>0.22588658947944207</v>
      </c>
      <c r="K14" s="45">
        <v>204988586</v>
      </c>
      <c r="L14" s="47">
        <v>0.29499999999999998</v>
      </c>
      <c r="M14" s="45">
        <v>339220.00135394745</v>
      </c>
      <c r="N14" s="48">
        <f t="shared" ref="N14:N20" si="3">L14*K14</f>
        <v>60471632.869999997</v>
      </c>
      <c r="O14" s="46">
        <f t="shared" si="0"/>
        <v>8.212549687761754E-2</v>
      </c>
      <c r="P14" s="49">
        <v>339220</v>
      </c>
      <c r="Q14" s="50">
        <f t="shared" si="2"/>
        <v>0</v>
      </c>
    </row>
    <row r="15" spans="1:17" s="26" customFormat="1" ht="12.75" x14ac:dyDescent="0.2">
      <c r="A15" s="44" t="s">
        <v>30</v>
      </c>
      <c r="B15" s="45">
        <v>500</v>
      </c>
      <c r="C15" s="45">
        <v>2</v>
      </c>
      <c r="D15" s="45" t="s">
        <v>93</v>
      </c>
      <c r="E15" s="45">
        <v>0</v>
      </c>
      <c r="F15" s="45">
        <v>0</v>
      </c>
      <c r="G15" s="45" t="s">
        <v>94</v>
      </c>
      <c r="H15" s="45">
        <v>18047</v>
      </c>
      <c r="I15" s="45">
        <v>86527</v>
      </c>
      <c r="J15" s="46">
        <v>0.20969177251031471</v>
      </c>
      <c r="K15" s="45">
        <v>322168548</v>
      </c>
      <c r="L15" s="47">
        <v>0.20549999999999999</v>
      </c>
      <c r="M15" s="45">
        <v>6996017.3807443436</v>
      </c>
      <c r="N15" s="48">
        <f t="shared" si="3"/>
        <v>66205636.613999993</v>
      </c>
      <c r="O15" s="46">
        <f t="shared" si="0"/>
        <v>8.9912749912217441E-2</v>
      </c>
      <c r="P15" s="49">
        <f t="shared" si="1"/>
        <v>2757051.2910951306</v>
      </c>
      <c r="Q15" s="50">
        <f t="shared" si="2"/>
        <v>0</v>
      </c>
    </row>
    <row r="16" spans="1:17" s="26" customFormat="1" ht="12.75" x14ac:dyDescent="0.2">
      <c r="A16" s="44" t="s">
        <v>31</v>
      </c>
      <c r="B16" s="45">
        <v>491</v>
      </c>
      <c r="C16" s="45">
        <v>2</v>
      </c>
      <c r="D16" s="45" t="s">
        <v>95</v>
      </c>
      <c r="E16" s="45" t="s">
        <v>96</v>
      </c>
      <c r="F16" s="45">
        <v>0</v>
      </c>
      <c r="G16" s="45" t="s">
        <v>97</v>
      </c>
      <c r="H16" s="45">
        <v>12897</v>
      </c>
      <c r="I16" s="45">
        <v>71319</v>
      </c>
      <c r="J16" s="46">
        <v>0.29840575442729145</v>
      </c>
      <c r="K16" s="45">
        <v>392090986</v>
      </c>
      <c r="L16" s="47">
        <v>0.18279999999999999</v>
      </c>
      <c r="M16" s="45">
        <v>16046789.530720059</v>
      </c>
      <c r="N16" s="48">
        <f t="shared" si="3"/>
        <v>71674232.240799993</v>
      </c>
      <c r="O16" s="46">
        <f t="shared" si="0"/>
        <v>9.733955669349291E-2</v>
      </c>
      <c r="P16" s="49">
        <f t="shared" si="1"/>
        <v>2984784.1459463122</v>
      </c>
      <c r="Q16" s="50">
        <f t="shared" si="2"/>
        <v>0</v>
      </c>
    </row>
    <row r="17" spans="1:17" s="26" customFormat="1" ht="12.75" x14ac:dyDescent="0.2">
      <c r="A17" s="44" t="s">
        <v>32</v>
      </c>
      <c r="B17" s="45">
        <f>VLOOKUP($A17,[1]COMBO!$A$3:$F$55,3,FALSE)</f>
        <v>629</v>
      </c>
      <c r="C17" s="45">
        <v>2</v>
      </c>
      <c r="D17" s="45" t="s">
        <v>98</v>
      </c>
      <c r="E17" s="45" t="s">
        <v>99</v>
      </c>
      <c r="F17" s="45" t="s">
        <v>100</v>
      </c>
      <c r="G17" s="45" t="s">
        <v>101</v>
      </c>
      <c r="H17" s="45">
        <v>57337</v>
      </c>
      <c r="I17" s="45">
        <v>148690</v>
      </c>
      <c r="J17" s="46">
        <v>0.45724662048557402</v>
      </c>
      <c r="K17" s="45">
        <v>576006016</v>
      </c>
      <c r="L17" s="47">
        <v>0.1951</v>
      </c>
      <c r="M17" s="45">
        <v>2651500.8874764852</v>
      </c>
      <c r="N17" s="48">
        <f t="shared" si="3"/>
        <v>112378773.7216</v>
      </c>
      <c r="O17" s="46">
        <f t="shared" si="0"/>
        <v>0.1526197026996825</v>
      </c>
      <c r="P17" s="49">
        <v>2651501</v>
      </c>
      <c r="Q17" s="50">
        <v>0</v>
      </c>
    </row>
    <row r="18" spans="1:17" s="26" customFormat="1" ht="12.75" x14ac:dyDescent="0.2">
      <c r="A18" s="44" t="s">
        <v>33</v>
      </c>
      <c r="B18" s="45">
        <v>718</v>
      </c>
      <c r="C18" s="45">
        <v>2</v>
      </c>
      <c r="D18" s="45" t="s">
        <v>102</v>
      </c>
      <c r="E18" s="45" t="s">
        <v>103</v>
      </c>
      <c r="F18" s="45" t="s">
        <v>104</v>
      </c>
      <c r="G18" s="45" t="s">
        <v>105</v>
      </c>
      <c r="H18" s="45">
        <v>46988</v>
      </c>
      <c r="I18" s="45">
        <v>127331</v>
      </c>
      <c r="J18" s="46">
        <v>0.46958713903134353</v>
      </c>
      <c r="K18" s="45">
        <v>557141820</v>
      </c>
      <c r="L18" s="47">
        <v>0.22389999999999999</v>
      </c>
      <c r="M18" s="45">
        <v>8926362.8393924013</v>
      </c>
      <c r="N18" s="48">
        <f t="shared" si="3"/>
        <v>124744053.498</v>
      </c>
      <c r="O18" s="46">
        <f t="shared" si="0"/>
        <v>0.16941277901450116</v>
      </c>
      <c r="P18" s="49">
        <f t="shared" si="1"/>
        <v>5194810.7645017896</v>
      </c>
      <c r="Q18" s="50">
        <f t="shared" si="2"/>
        <v>0</v>
      </c>
    </row>
    <row r="19" spans="1:17" s="26" customFormat="1" ht="12.75" x14ac:dyDescent="0.2">
      <c r="A19" s="44" t="s">
        <v>34</v>
      </c>
      <c r="B19" s="45">
        <v>804</v>
      </c>
      <c r="C19" s="45">
        <v>2</v>
      </c>
      <c r="D19" s="45" t="s">
        <v>106</v>
      </c>
      <c r="E19" s="45" t="s">
        <v>107</v>
      </c>
      <c r="F19" s="45" t="s">
        <v>108</v>
      </c>
      <c r="G19" s="45" t="s">
        <v>109</v>
      </c>
      <c r="H19" s="45">
        <v>54066</v>
      </c>
      <c r="I19" s="45">
        <v>133790</v>
      </c>
      <c r="J19" s="46">
        <v>0.51540473876971371</v>
      </c>
      <c r="K19" s="45">
        <v>531205297</v>
      </c>
      <c r="L19" s="47">
        <v>0.28170000000000001</v>
      </c>
      <c r="M19" s="45">
        <v>25783243.811415907</v>
      </c>
      <c r="N19" s="48">
        <f t="shared" si="3"/>
        <v>149640532.1649</v>
      </c>
      <c r="O19" s="46">
        <f t="shared" si="0"/>
        <v>0.2032242635731811</v>
      </c>
      <c r="P19" s="49">
        <f t="shared" si="1"/>
        <v>6231593.6150692897</v>
      </c>
      <c r="Q19" s="50">
        <f t="shared" si="2"/>
        <v>0</v>
      </c>
    </row>
    <row r="20" spans="1:17" s="26" customFormat="1" ht="12.75" x14ac:dyDescent="0.2">
      <c r="A20" s="44" t="s">
        <v>35</v>
      </c>
      <c r="B20" s="45">
        <v>727</v>
      </c>
      <c r="C20" s="45">
        <v>2</v>
      </c>
      <c r="D20" s="45" t="s">
        <v>110</v>
      </c>
      <c r="E20" s="45" t="s">
        <v>111</v>
      </c>
      <c r="F20" s="45" t="s">
        <v>112</v>
      </c>
      <c r="G20" s="45" t="s">
        <v>113</v>
      </c>
      <c r="H20" s="45">
        <v>18585</v>
      </c>
      <c r="I20" s="45">
        <v>143694</v>
      </c>
      <c r="J20" s="46">
        <v>0.23365624173591104</v>
      </c>
      <c r="K20" s="45">
        <v>360154348</v>
      </c>
      <c r="L20" s="47">
        <v>0.30609999999999998</v>
      </c>
      <c r="M20" s="45">
        <v>12540325.557483889</v>
      </c>
      <c r="N20" s="48">
        <f t="shared" si="3"/>
        <v>110243245.92279999</v>
      </c>
      <c r="O20" s="46">
        <f t="shared" si="0"/>
        <v>0.14971947868970009</v>
      </c>
      <c r="P20" s="49">
        <f t="shared" si="1"/>
        <v>4590942.6908478746</v>
      </c>
      <c r="Q20" s="50">
        <f t="shared" si="2"/>
        <v>0</v>
      </c>
    </row>
    <row r="21" spans="1:17" s="55" customFormat="1" ht="12.75" x14ac:dyDescent="0.2">
      <c r="A21" s="22" t="s">
        <v>36</v>
      </c>
      <c r="B21" s="23">
        <f>SUM(B13:B20)</f>
        <v>4612</v>
      </c>
      <c r="C21" s="51"/>
      <c r="D21" s="51"/>
      <c r="E21" s="51"/>
      <c r="F21" s="51"/>
      <c r="G21" s="51"/>
      <c r="H21" s="23">
        <f>SUM(H13:H20)</f>
        <v>231276</v>
      </c>
      <c r="I21" s="23"/>
      <c r="J21" s="51"/>
      <c r="K21" s="23"/>
      <c r="L21" s="52"/>
      <c r="M21" s="23"/>
      <c r="N21" s="53">
        <f>SUM(N13:N20)</f>
        <v>736332018.30260003</v>
      </c>
      <c r="O21" s="54">
        <f>SUM(O13:O20)</f>
        <v>1</v>
      </c>
      <c r="P21" s="23">
        <f>SUM(P13:P20)</f>
        <v>26456211.017622773</v>
      </c>
      <c r="Q21" s="51"/>
    </row>
    <row r="22" spans="1:17" s="26" customFormat="1" ht="12.75" x14ac:dyDescent="0.2">
      <c r="A22" s="22" t="s">
        <v>37</v>
      </c>
      <c r="B22" s="54">
        <v>0.65</v>
      </c>
      <c r="C22" s="24"/>
      <c r="D22" s="24"/>
      <c r="E22" s="24"/>
      <c r="F22" s="24"/>
      <c r="G22" s="24"/>
      <c r="H22" s="24"/>
      <c r="I22" s="24"/>
      <c r="J22" s="24"/>
      <c r="K22" s="24"/>
      <c r="L22" s="25"/>
      <c r="M22" s="24"/>
      <c r="N22" s="24"/>
      <c r="O22" s="24"/>
      <c r="P22" s="24"/>
      <c r="Q22" s="24"/>
    </row>
    <row r="23" spans="1:17" s="26" customFormat="1" ht="12.75" x14ac:dyDescent="0.2">
      <c r="A23" s="22" t="s">
        <v>38</v>
      </c>
      <c r="B23" s="23">
        <f>COUNT(B13:B20)</f>
        <v>8</v>
      </c>
      <c r="C23" s="24"/>
      <c r="D23" s="24"/>
      <c r="E23" s="24"/>
      <c r="F23" s="24"/>
      <c r="G23" s="24"/>
      <c r="H23" s="24"/>
      <c r="I23" s="24"/>
      <c r="J23" s="24"/>
      <c r="K23" s="24"/>
      <c r="L23" s="25"/>
      <c r="M23" s="24"/>
      <c r="N23" s="24"/>
      <c r="O23" s="24"/>
      <c r="P23" s="27"/>
      <c r="Q23" s="24"/>
    </row>
    <row r="24" spans="1:17" s="26" customFormat="1" ht="12.75" x14ac:dyDescent="0.2">
      <c r="A24" s="22" t="s">
        <v>39</v>
      </c>
      <c r="B24" s="23">
        <f>B2*B22</f>
        <v>26456210.949999999</v>
      </c>
      <c r="C24" s="24"/>
      <c r="D24" s="24"/>
      <c r="E24" s="24"/>
      <c r="F24" s="24"/>
      <c r="G24" s="24"/>
      <c r="H24" s="24"/>
      <c r="I24" s="24"/>
      <c r="J24" s="24"/>
      <c r="K24" s="24"/>
      <c r="L24" s="25"/>
      <c r="M24" s="24"/>
      <c r="N24" s="24"/>
      <c r="O24" s="24"/>
      <c r="P24" s="24"/>
      <c r="Q24" s="24"/>
    </row>
    <row r="25" spans="1:17" s="26" customFormat="1" ht="12.75" x14ac:dyDescent="0.2">
      <c r="A25" s="22" t="s">
        <v>40</v>
      </c>
      <c r="B25" s="27">
        <f>3219748+755820+177425+41650+9777+2295+539+126+30+7+1+1</f>
        <v>4207419</v>
      </c>
      <c r="C25" s="24"/>
      <c r="D25" s="24"/>
      <c r="E25" s="24"/>
      <c r="F25" s="24"/>
      <c r="G25" s="24"/>
      <c r="H25" s="24"/>
      <c r="I25" s="24"/>
      <c r="J25" s="24"/>
      <c r="K25" s="24"/>
      <c r="L25" s="25"/>
      <c r="M25" s="24"/>
      <c r="N25" s="24"/>
      <c r="O25" s="24"/>
      <c r="P25" s="24"/>
      <c r="Q25" s="24"/>
    </row>
    <row r="26" spans="1:17" s="26" customFormat="1" ht="12.75" x14ac:dyDescent="0.2">
      <c r="A26" s="24"/>
      <c r="B26" s="27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4"/>
      <c r="N26" s="24"/>
      <c r="O26" s="24"/>
      <c r="P26" s="24"/>
      <c r="Q26" s="24"/>
    </row>
    <row r="27" spans="1:17" s="43" customFormat="1" ht="12.75" x14ac:dyDescent="0.2">
      <c r="A27" s="36" t="s">
        <v>41</v>
      </c>
      <c r="B27" s="56"/>
      <c r="C27" s="41"/>
      <c r="D27" s="41"/>
      <c r="E27" s="41"/>
      <c r="F27" s="41"/>
      <c r="G27" s="41"/>
      <c r="H27" s="41"/>
      <c r="I27" s="41"/>
      <c r="J27" s="41"/>
      <c r="K27" s="41"/>
      <c r="L27" s="57"/>
      <c r="M27" s="41"/>
      <c r="N27" s="41"/>
      <c r="O27" s="41"/>
      <c r="P27" s="41"/>
      <c r="Q27" s="41"/>
    </row>
    <row r="28" spans="1:17" s="26" customFormat="1" ht="12.75" x14ac:dyDescent="0.2">
      <c r="A28" s="44" t="s">
        <v>42</v>
      </c>
      <c r="B28" s="45">
        <v>112</v>
      </c>
      <c r="C28" s="45">
        <v>2</v>
      </c>
      <c r="D28" s="45" t="s">
        <v>114</v>
      </c>
      <c r="E28" s="45" t="s">
        <v>115</v>
      </c>
      <c r="F28" s="45">
        <v>0</v>
      </c>
      <c r="G28" s="45" t="s">
        <v>116</v>
      </c>
      <c r="H28" s="45">
        <v>1240</v>
      </c>
      <c r="I28" s="45">
        <v>8039</v>
      </c>
      <c r="J28" s="46">
        <v>0.39917900236347803</v>
      </c>
      <c r="K28" s="45">
        <v>33059645</v>
      </c>
      <c r="L28" s="47">
        <v>0.26800000000000002</v>
      </c>
      <c r="M28" s="45">
        <v>2093663.4923060236</v>
      </c>
      <c r="N28" s="48">
        <f>L28*K28</f>
        <v>8859984.8600000013</v>
      </c>
      <c r="O28" s="46">
        <f t="shared" ref="O28:O39" si="4">N28/$N$40</f>
        <v>2.5147189832928966E-2</v>
      </c>
      <c r="P28" s="49">
        <f t="shared" ref="P28:P39" si="5">O28*($B$43+$B$44)</f>
        <v>273599.07994862914</v>
      </c>
      <c r="Q28" s="50">
        <f>+IF(P28&gt;M28,1,0)</f>
        <v>0</v>
      </c>
    </row>
    <row r="29" spans="1:17" s="26" customFormat="1" ht="12.75" x14ac:dyDescent="0.2">
      <c r="A29" s="44" t="s">
        <v>43</v>
      </c>
      <c r="B29" s="45">
        <v>114</v>
      </c>
      <c r="C29" s="45">
        <v>2</v>
      </c>
      <c r="D29" s="45" t="s">
        <v>117</v>
      </c>
      <c r="E29" s="45">
        <v>0</v>
      </c>
      <c r="F29" s="45">
        <v>0</v>
      </c>
      <c r="G29" s="45" t="s">
        <v>118</v>
      </c>
      <c r="H29" s="45">
        <v>4819</v>
      </c>
      <c r="I29" s="45">
        <v>16578</v>
      </c>
      <c r="J29" s="46">
        <v>0.39588611412715646</v>
      </c>
      <c r="K29" s="45">
        <v>74738234</v>
      </c>
      <c r="L29" s="47">
        <v>0.32029999999999997</v>
      </c>
      <c r="M29" s="45">
        <v>3220796.6637765979</v>
      </c>
      <c r="N29" s="48">
        <f t="shared" ref="N29:N39" si="6">L29*K29</f>
        <v>23938656.350199997</v>
      </c>
      <c r="O29" s="46">
        <f t="shared" si="4"/>
        <v>6.7944804093460917E-2</v>
      </c>
      <c r="P29" s="49">
        <f t="shared" si="5"/>
        <v>739233.13144590706</v>
      </c>
      <c r="Q29" s="50">
        <f t="shared" ref="Q29:Q39" si="7">+IF(P29&gt;M29,1,0)</f>
        <v>0</v>
      </c>
    </row>
    <row r="30" spans="1:17" s="26" customFormat="1" ht="12.75" x14ac:dyDescent="0.2">
      <c r="A30" s="44" t="s">
        <v>44</v>
      </c>
      <c r="B30" s="45">
        <v>137</v>
      </c>
      <c r="C30" s="45">
        <v>2</v>
      </c>
      <c r="D30" s="45" t="s">
        <v>119</v>
      </c>
      <c r="E30" s="45">
        <v>0</v>
      </c>
      <c r="F30" s="45">
        <v>0</v>
      </c>
      <c r="G30" s="45" t="s">
        <v>120</v>
      </c>
      <c r="H30" s="45">
        <v>2074</v>
      </c>
      <c r="I30" s="45">
        <v>11064</v>
      </c>
      <c r="J30" s="46">
        <v>0.43040491684743309</v>
      </c>
      <c r="K30" s="45">
        <v>47073692</v>
      </c>
      <c r="L30" s="47">
        <v>0.33379999999999999</v>
      </c>
      <c r="M30" s="45">
        <v>3978932.15796379</v>
      </c>
      <c r="N30" s="48">
        <f t="shared" si="6"/>
        <v>15713198.389599999</v>
      </c>
      <c r="O30" s="46">
        <f t="shared" si="4"/>
        <v>4.45985844253175E-2</v>
      </c>
      <c r="P30" s="49">
        <f t="shared" si="5"/>
        <v>485228.43891686288</v>
      </c>
      <c r="Q30" s="50">
        <f t="shared" si="7"/>
        <v>0</v>
      </c>
    </row>
    <row r="31" spans="1:17" s="26" customFormat="1" ht="12.75" x14ac:dyDescent="0.2">
      <c r="A31" s="44" t="s">
        <v>45</v>
      </c>
      <c r="B31" s="45">
        <v>173</v>
      </c>
      <c r="C31" s="45">
        <v>2</v>
      </c>
      <c r="D31" s="45" t="s">
        <v>121</v>
      </c>
      <c r="E31" s="45">
        <v>0</v>
      </c>
      <c r="F31" s="45">
        <v>0</v>
      </c>
      <c r="G31" s="45" t="s">
        <v>122</v>
      </c>
      <c r="H31" s="45">
        <v>2792</v>
      </c>
      <c r="I31" s="45">
        <v>19922</v>
      </c>
      <c r="J31" s="46">
        <v>0.20876418030318242</v>
      </c>
      <c r="K31" s="45">
        <v>76576252.210000008</v>
      </c>
      <c r="L31" s="47">
        <v>0.32469999999999999</v>
      </c>
      <c r="M31" s="45">
        <v>2962551.1964963847</v>
      </c>
      <c r="N31" s="48">
        <f t="shared" si="6"/>
        <v>24864309.092587002</v>
      </c>
      <c r="O31" s="46">
        <f t="shared" si="4"/>
        <v>7.0572073281839329E-2</v>
      </c>
      <c r="P31" s="49">
        <f t="shared" si="5"/>
        <v>767817.57517474308</v>
      </c>
      <c r="Q31" s="50">
        <f t="shared" si="7"/>
        <v>0</v>
      </c>
    </row>
    <row r="32" spans="1:17" s="26" customFormat="1" ht="12.75" x14ac:dyDescent="0.2">
      <c r="A32" s="44" t="s">
        <v>46</v>
      </c>
      <c r="B32" s="45">
        <f>VLOOKUP($A32,[1]COMBO!$A$3:$F$55,3,FALSE)</f>
        <v>140</v>
      </c>
      <c r="C32" s="45">
        <v>2</v>
      </c>
      <c r="D32" s="45" t="s">
        <v>123</v>
      </c>
      <c r="E32" s="45">
        <v>0</v>
      </c>
      <c r="F32" s="45">
        <v>0</v>
      </c>
      <c r="G32" s="45" t="s">
        <v>124</v>
      </c>
      <c r="H32" s="45">
        <v>3319</v>
      </c>
      <c r="I32" s="45">
        <v>11156</v>
      </c>
      <c r="J32" s="46">
        <v>0.39835066332018643</v>
      </c>
      <c r="K32" s="45">
        <v>76650310</v>
      </c>
      <c r="L32" s="47">
        <v>0.21049999999999999</v>
      </c>
      <c r="M32" s="45">
        <v>2352601.5722032185</v>
      </c>
      <c r="N32" s="48">
        <f t="shared" si="6"/>
        <v>16134890.254999999</v>
      </c>
      <c r="O32" s="46">
        <f t="shared" si="4"/>
        <v>4.5795467440105826E-2</v>
      </c>
      <c r="P32" s="49">
        <f t="shared" si="5"/>
        <v>498250.41448661132</v>
      </c>
      <c r="Q32" s="50">
        <f t="shared" si="7"/>
        <v>0</v>
      </c>
    </row>
    <row r="33" spans="1:17" s="26" customFormat="1" ht="12.75" x14ac:dyDescent="0.2">
      <c r="A33" s="44" t="s">
        <v>47</v>
      </c>
      <c r="B33" s="45">
        <f>VLOOKUP($A33,[1]COMBO!$A$3:$F$55,3,FALSE)</f>
        <v>145</v>
      </c>
      <c r="C33" s="45">
        <v>2</v>
      </c>
      <c r="D33" s="45" t="s">
        <v>125</v>
      </c>
      <c r="E33" s="45" t="s">
        <v>126</v>
      </c>
      <c r="F33" s="45">
        <v>0</v>
      </c>
      <c r="G33" s="45" t="s">
        <v>127</v>
      </c>
      <c r="H33" s="45">
        <v>2062</v>
      </c>
      <c r="I33" s="45">
        <v>18228</v>
      </c>
      <c r="J33" s="46">
        <v>0.24314241825762564</v>
      </c>
      <c r="K33" s="45">
        <v>72488170</v>
      </c>
      <c r="L33" s="47">
        <v>0.26740000000000003</v>
      </c>
      <c r="M33" s="45">
        <v>3108851.3278661701</v>
      </c>
      <c r="N33" s="48">
        <f t="shared" si="6"/>
        <v>19383336.658000004</v>
      </c>
      <c r="O33" s="46">
        <f t="shared" si="4"/>
        <v>5.5015494296713388E-2</v>
      </c>
      <c r="P33" s="49">
        <f t="shared" si="5"/>
        <v>598563.44675100676</v>
      </c>
      <c r="Q33" s="50">
        <f t="shared" si="7"/>
        <v>0</v>
      </c>
    </row>
    <row r="34" spans="1:17" s="26" customFormat="1" ht="12.75" x14ac:dyDescent="0.2">
      <c r="A34" s="44" t="s">
        <v>48</v>
      </c>
      <c r="B34" s="45">
        <f>VLOOKUP($A34,[1]COMBO!$A$3:$F$55,3,FALSE)</f>
        <v>148</v>
      </c>
      <c r="C34" s="45">
        <v>2</v>
      </c>
      <c r="D34" s="45" t="s">
        <v>128</v>
      </c>
      <c r="E34" s="45">
        <v>0</v>
      </c>
      <c r="F34" s="45">
        <v>0</v>
      </c>
      <c r="G34" s="45" t="s">
        <v>129</v>
      </c>
      <c r="H34" s="45">
        <v>6506</v>
      </c>
      <c r="I34" s="45">
        <v>24379</v>
      </c>
      <c r="J34" s="46">
        <v>0.50030764182288034</v>
      </c>
      <c r="K34" s="45">
        <v>358245555</v>
      </c>
      <c r="L34" s="47">
        <v>0.11169999999999999</v>
      </c>
      <c r="M34" s="45">
        <v>6609882.6546097798</v>
      </c>
      <c r="N34" s="48">
        <f t="shared" si="6"/>
        <v>40016028.493499994</v>
      </c>
      <c r="O34" s="46">
        <f t="shared" si="4"/>
        <v>0.11357701856004511</v>
      </c>
      <c r="P34" s="49">
        <f t="shared" si="5"/>
        <v>1235707.3688069172</v>
      </c>
      <c r="Q34" s="50">
        <f t="shared" si="7"/>
        <v>0</v>
      </c>
    </row>
    <row r="35" spans="1:17" s="26" customFormat="1" ht="12.75" x14ac:dyDescent="0.2">
      <c r="A35" s="44" t="s">
        <v>49</v>
      </c>
      <c r="B35" s="45">
        <f>VLOOKUP($A35,[1]COMBO!$A$3:$F$55,3,FALSE)</f>
        <v>180</v>
      </c>
      <c r="C35" s="45">
        <v>2</v>
      </c>
      <c r="D35" s="45" t="s">
        <v>130</v>
      </c>
      <c r="E35" s="45">
        <v>0</v>
      </c>
      <c r="F35" s="45">
        <v>0</v>
      </c>
      <c r="G35" s="45" t="s">
        <v>131</v>
      </c>
      <c r="H35" s="45">
        <v>6911</v>
      </c>
      <c r="I35" s="45">
        <v>27595</v>
      </c>
      <c r="J35" s="46">
        <v>0.33984417466932415</v>
      </c>
      <c r="K35" s="45">
        <v>146862711</v>
      </c>
      <c r="L35" s="47">
        <v>0.1983</v>
      </c>
      <c r="M35" s="45">
        <v>2248643.4027010016</v>
      </c>
      <c r="N35" s="48">
        <f t="shared" si="6"/>
        <v>29122875.5913</v>
      </c>
      <c r="O35" s="46">
        <f t="shared" si="4"/>
        <v>8.2659112012883784E-2</v>
      </c>
      <c r="P35" s="49">
        <f t="shared" si="5"/>
        <v>899323.42923191714</v>
      </c>
      <c r="Q35" s="50">
        <f t="shared" si="7"/>
        <v>0</v>
      </c>
    </row>
    <row r="36" spans="1:17" s="26" customFormat="1" ht="12.75" x14ac:dyDescent="0.2">
      <c r="A36" s="44" t="s">
        <v>50</v>
      </c>
      <c r="B36" s="45">
        <v>253</v>
      </c>
      <c r="C36" s="45">
        <v>2</v>
      </c>
      <c r="D36" s="45" t="s">
        <v>132</v>
      </c>
      <c r="E36" s="45" t="s">
        <v>133</v>
      </c>
      <c r="F36" s="45">
        <v>0</v>
      </c>
      <c r="G36" s="45" t="s">
        <v>134</v>
      </c>
      <c r="H36" s="45">
        <v>2376</v>
      </c>
      <c r="I36" s="45">
        <v>23926</v>
      </c>
      <c r="J36" s="46">
        <v>0.24885062275348993</v>
      </c>
      <c r="K36" s="45">
        <v>91116037</v>
      </c>
      <c r="L36" s="47">
        <v>0.2097</v>
      </c>
      <c r="M36" s="45">
        <v>5878720.0762195159</v>
      </c>
      <c r="N36" s="48">
        <f t="shared" si="6"/>
        <v>19107032.958900001</v>
      </c>
      <c r="O36" s="46">
        <f t="shared" si="4"/>
        <v>5.4231264788130652E-2</v>
      </c>
      <c r="P36" s="49">
        <f t="shared" si="5"/>
        <v>590031.10284131707</v>
      </c>
      <c r="Q36" s="50">
        <f t="shared" si="7"/>
        <v>0</v>
      </c>
    </row>
    <row r="37" spans="1:17" s="26" customFormat="1" ht="12.75" x14ac:dyDescent="0.2">
      <c r="A37" s="44" t="s">
        <v>51</v>
      </c>
      <c r="B37" s="45">
        <v>275</v>
      </c>
      <c r="C37" s="45">
        <v>2</v>
      </c>
      <c r="D37" s="45" t="s">
        <v>135</v>
      </c>
      <c r="E37" s="45" t="s">
        <v>136</v>
      </c>
      <c r="F37" s="45" t="s">
        <v>137</v>
      </c>
      <c r="G37" s="45" t="s">
        <v>138</v>
      </c>
      <c r="H37" s="45">
        <v>8504</v>
      </c>
      <c r="I37" s="45">
        <v>45374</v>
      </c>
      <c r="J37" s="46">
        <v>0.30684973773526691</v>
      </c>
      <c r="K37" s="45">
        <v>180952760</v>
      </c>
      <c r="L37" s="47">
        <v>0.18729999999999999</v>
      </c>
      <c r="M37" s="45">
        <v>9215790.0313577913</v>
      </c>
      <c r="N37" s="48">
        <f t="shared" si="6"/>
        <v>33892451.947999999</v>
      </c>
      <c r="O37" s="46">
        <f t="shared" si="4"/>
        <v>9.6196543956597574E-2</v>
      </c>
      <c r="P37" s="49">
        <f t="shared" si="5"/>
        <v>1046609.4261673401</v>
      </c>
      <c r="Q37" s="50">
        <f t="shared" si="7"/>
        <v>0</v>
      </c>
    </row>
    <row r="38" spans="1:17" s="26" customFormat="1" ht="12.75" x14ac:dyDescent="0.2">
      <c r="A38" s="44" t="s">
        <v>52</v>
      </c>
      <c r="B38" s="45">
        <f>VLOOKUP($A38,[1]COMBO!$A$3:$F$55,3,FALSE)</f>
        <v>249</v>
      </c>
      <c r="C38" s="45">
        <v>2</v>
      </c>
      <c r="D38" s="45" t="s">
        <v>139</v>
      </c>
      <c r="E38" s="45">
        <v>0</v>
      </c>
      <c r="F38" s="45">
        <v>0</v>
      </c>
      <c r="G38" s="45" t="s">
        <v>140</v>
      </c>
      <c r="H38" s="45">
        <v>12999</v>
      </c>
      <c r="I38" s="45">
        <v>33136</v>
      </c>
      <c r="J38" s="46">
        <v>0.54086190246257848</v>
      </c>
      <c r="K38" s="45">
        <v>250066105</v>
      </c>
      <c r="L38" s="47">
        <v>0.26440000000000002</v>
      </c>
      <c r="M38" s="45">
        <v>476117.20766939595</v>
      </c>
      <c r="N38" s="48">
        <f t="shared" si="6"/>
        <v>66117478.162000008</v>
      </c>
      <c r="O38" s="46">
        <f t="shared" si="4"/>
        <v>0.18766045324984329</v>
      </c>
      <c r="P38" s="49">
        <v>476117</v>
      </c>
      <c r="Q38" s="50">
        <f t="shared" si="7"/>
        <v>0</v>
      </c>
    </row>
    <row r="39" spans="1:17" s="26" customFormat="1" ht="12.75" x14ac:dyDescent="0.2">
      <c r="A39" s="44" t="s">
        <v>53</v>
      </c>
      <c r="B39" s="45">
        <v>285</v>
      </c>
      <c r="C39" s="45">
        <v>2</v>
      </c>
      <c r="D39" s="45" t="s">
        <v>141</v>
      </c>
      <c r="E39" s="45">
        <v>0</v>
      </c>
      <c r="F39" s="45">
        <v>0</v>
      </c>
      <c r="G39" s="45" t="s">
        <v>142</v>
      </c>
      <c r="H39" s="45">
        <v>7846</v>
      </c>
      <c r="I39" s="45">
        <v>48817</v>
      </c>
      <c r="J39" s="46">
        <v>0.30972816846590329</v>
      </c>
      <c r="K39" s="45">
        <v>449306230</v>
      </c>
      <c r="L39" s="47">
        <v>0.12280000000000001</v>
      </c>
      <c r="M39" s="45">
        <v>15829166.651871033</v>
      </c>
      <c r="N39" s="48">
        <f t="shared" si="6"/>
        <v>55174805.044</v>
      </c>
      <c r="O39" s="46">
        <f t="shared" si="4"/>
        <v>0.15660199406213368</v>
      </c>
      <c r="P39" s="49">
        <f t="shared" si="5"/>
        <v>1703815.089406753</v>
      </c>
      <c r="Q39" s="50">
        <f t="shared" si="7"/>
        <v>0</v>
      </c>
    </row>
    <row r="40" spans="1:17" s="55" customFormat="1" ht="12.75" x14ac:dyDescent="0.2">
      <c r="A40" s="22" t="s">
        <v>54</v>
      </c>
      <c r="B40" s="23">
        <f>SUM(B28:B39)</f>
        <v>2211</v>
      </c>
      <c r="C40" s="51"/>
      <c r="D40" s="51"/>
      <c r="E40" s="51"/>
      <c r="F40" s="51"/>
      <c r="G40" s="51"/>
      <c r="H40" s="23">
        <f>SUM(H28:H39)</f>
        <v>61448</v>
      </c>
      <c r="I40" s="23"/>
      <c r="J40" s="23"/>
      <c r="K40" s="23"/>
      <c r="L40" s="52"/>
      <c r="M40" s="51"/>
      <c r="N40" s="53">
        <f>SUM(N28:N39)</f>
        <v>352325047.803087</v>
      </c>
      <c r="O40" s="54">
        <f>SUM(O28:O39)</f>
        <v>1</v>
      </c>
      <c r="P40" s="58">
        <f>SUM(P28:P39)</f>
        <v>9314295.5031780042</v>
      </c>
      <c r="Q40" s="51"/>
    </row>
    <row r="41" spans="1:17" s="26" customFormat="1" ht="12.75" x14ac:dyDescent="0.2">
      <c r="A41" s="22" t="s">
        <v>55</v>
      </c>
      <c r="B41" s="54">
        <f>H40/B9</f>
        <v>0.65383428565348312</v>
      </c>
      <c r="C41" s="24"/>
      <c r="D41" s="24"/>
      <c r="E41" s="24"/>
      <c r="F41" s="24"/>
      <c r="G41" s="24"/>
      <c r="H41" s="24"/>
      <c r="I41" s="24"/>
      <c r="J41" s="24"/>
      <c r="K41" s="24"/>
      <c r="L41" s="25"/>
      <c r="M41" s="24"/>
      <c r="N41" s="24"/>
      <c r="O41" s="24"/>
      <c r="P41" s="59"/>
      <c r="Q41" s="24"/>
    </row>
    <row r="42" spans="1:17" s="26" customFormat="1" ht="12.75" x14ac:dyDescent="0.2">
      <c r="A42" s="22" t="s">
        <v>38</v>
      </c>
      <c r="B42" s="23">
        <f>COUNT(B28:B39)</f>
        <v>12</v>
      </c>
      <c r="C42" s="24"/>
      <c r="D42" s="24"/>
      <c r="E42" s="24"/>
      <c r="F42" s="24"/>
      <c r="G42" s="24"/>
      <c r="H42" s="24"/>
      <c r="I42" s="24"/>
      <c r="J42" s="24"/>
      <c r="K42" s="24"/>
      <c r="L42" s="25"/>
      <c r="M42" s="24"/>
      <c r="N42" s="24"/>
      <c r="O42" s="24"/>
      <c r="P42" s="59"/>
      <c r="Q42" s="24"/>
    </row>
    <row r="43" spans="1:17" s="26" customFormat="1" ht="12.75" x14ac:dyDescent="0.2">
      <c r="A43" s="22" t="s">
        <v>39</v>
      </c>
      <c r="B43" s="23">
        <f>(B2-B24)*B41</f>
        <v>9314295.7317798287</v>
      </c>
      <c r="C43" s="24"/>
      <c r="D43" s="24"/>
      <c r="E43" s="24"/>
      <c r="F43" s="24"/>
      <c r="G43" s="24"/>
      <c r="H43" s="24"/>
      <c r="I43" s="24"/>
      <c r="J43" s="24"/>
      <c r="K43" s="24"/>
      <c r="L43" s="25"/>
      <c r="M43" s="24"/>
      <c r="N43" s="24"/>
      <c r="O43" s="24"/>
      <c r="P43" s="24"/>
      <c r="Q43" s="24"/>
    </row>
    <row r="44" spans="1:17" s="26" customFormat="1" ht="12.75" x14ac:dyDescent="0.2">
      <c r="A44" s="22" t="s">
        <v>40</v>
      </c>
      <c r="B44" s="23">
        <f>1271808+238668+44789+8405+1577+296+55+11+2</f>
        <v>1565611</v>
      </c>
      <c r="C44" s="24"/>
      <c r="D44" s="24"/>
      <c r="E44" s="24"/>
      <c r="F44" s="24"/>
      <c r="G44" s="24"/>
      <c r="H44" s="24"/>
      <c r="I44" s="24"/>
      <c r="J44" s="24"/>
      <c r="K44" s="24"/>
      <c r="L44" s="25"/>
      <c r="M44" s="24"/>
      <c r="N44" s="24"/>
      <c r="O44" s="24"/>
      <c r="P44" s="24"/>
      <c r="Q44" s="24"/>
    </row>
    <row r="45" spans="1:17" s="26" customFormat="1" ht="12.75" x14ac:dyDescent="0.2">
      <c r="A45" s="24"/>
      <c r="B45" s="27"/>
      <c r="C45" s="24"/>
      <c r="D45" s="24"/>
      <c r="E45" s="24"/>
      <c r="F45" s="24"/>
      <c r="G45" s="24"/>
      <c r="H45" s="24"/>
      <c r="I45" s="24"/>
      <c r="J45" s="24"/>
      <c r="K45" s="24"/>
      <c r="L45" s="25"/>
      <c r="M45" s="24"/>
      <c r="N45" s="24"/>
      <c r="O45" s="24"/>
      <c r="P45" s="24"/>
      <c r="Q45" s="24"/>
    </row>
    <row r="46" spans="1:17" s="43" customFormat="1" ht="12.75" x14ac:dyDescent="0.2">
      <c r="A46" s="36" t="s">
        <v>56</v>
      </c>
      <c r="B46" s="56"/>
      <c r="C46" s="41"/>
      <c r="D46" s="41"/>
      <c r="E46" s="41"/>
      <c r="F46" s="41"/>
      <c r="G46" s="41"/>
      <c r="H46" s="41"/>
      <c r="I46" s="41"/>
      <c r="J46" s="41"/>
      <c r="K46" s="41"/>
      <c r="L46" s="57"/>
      <c r="M46" s="41"/>
      <c r="N46" s="41"/>
      <c r="O46" s="41"/>
      <c r="P46" s="41"/>
      <c r="Q46" s="41"/>
    </row>
    <row r="47" spans="1:17" s="26" customFormat="1" ht="12.75" x14ac:dyDescent="0.2">
      <c r="A47" s="44" t="s">
        <v>57</v>
      </c>
      <c r="B47" s="45">
        <f>VLOOKUP($A47,[1]COMBO!$A$3:$F$55,3,FALSE)</f>
        <v>15</v>
      </c>
      <c r="C47" s="45">
        <v>0</v>
      </c>
      <c r="D47" s="45" t="s">
        <v>143</v>
      </c>
      <c r="E47" s="45">
        <v>0</v>
      </c>
      <c r="F47" s="45">
        <v>0</v>
      </c>
      <c r="G47" s="45" t="s">
        <v>144</v>
      </c>
      <c r="H47" s="45">
        <v>55</v>
      </c>
      <c r="I47" s="45">
        <v>489</v>
      </c>
      <c r="J47" s="46">
        <v>0.34764826175869118</v>
      </c>
      <c r="K47" s="45">
        <v>2869586</v>
      </c>
      <c r="L47" s="47">
        <v>0.98009999999999997</v>
      </c>
      <c r="M47" s="45">
        <v>1202839.0105619922</v>
      </c>
      <c r="N47" s="48">
        <f t="shared" ref="N47:N73" si="8">L47*K47</f>
        <v>2812481.2385999998</v>
      </c>
      <c r="O47" s="46">
        <f>N47/$N$74</f>
        <v>1.540385172782021E-2</v>
      </c>
      <c r="P47" s="49">
        <f>O47*($B$77+$B$78)</f>
        <v>82670.274374230343</v>
      </c>
      <c r="Q47" s="50">
        <f t="shared" ref="Q47:Q73" si="9">+IF(P47&gt;M47,1,0)</f>
        <v>0</v>
      </c>
    </row>
    <row r="48" spans="1:17" s="26" customFormat="1" ht="12.75" x14ac:dyDescent="0.2">
      <c r="A48" s="44" t="s">
        <v>58</v>
      </c>
      <c r="B48" s="45">
        <f>VLOOKUP($A48,[1]COMBO!$A$3:$F$55,3,FALSE)</f>
        <v>15</v>
      </c>
      <c r="C48" s="45">
        <v>0</v>
      </c>
      <c r="D48" s="45" t="s">
        <v>145</v>
      </c>
      <c r="E48" s="45">
        <v>0</v>
      </c>
      <c r="F48" s="45">
        <v>0</v>
      </c>
      <c r="G48" s="45" t="s">
        <v>146</v>
      </c>
      <c r="H48" s="45">
        <v>146</v>
      </c>
      <c r="I48" s="45">
        <v>2352</v>
      </c>
      <c r="J48" s="46">
        <v>6.6326530612244902E-2</v>
      </c>
      <c r="K48" s="45">
        <v>8064253</v>
      </c>
      <c r="L48" s="47">
        <v>0.49459999999999998</v>
      </c>
      <c r="M48" s="45">
        <v>1110348.6208183491</v>
      </c>
      <c r="N48" s="48">
        <f t="shared" si="8"/>
        <v>3988579.5337999999</v>
      </c>
      <c r="O48" s="46">
        <f t="shared" ref="O48:O73" si="10">N48/$N$74</f>
        <v>2.1845296921467423E-2</v>
      </c>
      <c r="P48" s="49">
        <f t="shared" ref="P48:P73" si="11">O48*($B$77+$B$78)</f>
        <v>117240.59165167004</v>
      </c>
      <c r="Q48" s="50">
        <f t="shared" si="9"/>
        <v>0</v>
      </c>
    </row>
    <row r="49" spans="1:17" s="26" customFormat="1" ht="12.75" x14ac:dyDescent="0.2">
      <c r="A49" s="60" t="s">
        <v>59</v>
      </c>
      <c r="B49" s="45">
        <f>VLOOKUP($A49,[1]COMBO!$A$3:$F$55,3,FALSE)</f>
        <v>18</v>
      </c>
      <c r="C49" s="45">
        <v>0</v>
      </c>
      <c r="D49" s="45" t="s">
        <v>147</v>
      </c>
      <c r="E49" s="45">
        <v>0</v>
      </c>
      <c r="F49" s="45">
        <v>0</v>
      </c>
      <c r="G49" s="45" t="s">
        <v>148</v>
      </c>
      <c r="H49" s="45">
        <v>34</v>
      </c>
      <c r="I49" s="45">
        <v>544</v>
      </c>
      <c r="J49" s="46">
        <v>0.15992647058823528</v>
      </c>
      <c r="K49" s="45">
        <v>1256969</v>
      </c>
      <c r="L49" s="47">
        <v>0.56159999999999999</v>
      </c>
      <c r="M49" s="45">
        <v>210031.21903999997</v>
      </c>
      <c r="N49" s="48">
        <f t="shared" si="8"/>
        <v>705913.79039999994</v>
      </c>
      <c r="O49" s="46">
        <f t="shared" si="10"/>
        <v>3.8662627187365422E-3</v>
      </c>
      <c r="P49" s="49">
        <f t="shared" si="11"/>
        <v>20749.68036621303</v>
      </c>
      <c r="Q49" s="50">
        <f t="shared" si="9"/>
        <v>0</v>
      </c>
    </row>
    <row r="50" spans="1:17" s="26" customFormat="1" ht="12.75" x14ac:dyDescent="0.2">
      <c r="A50" s="44" t="s">
        <v>60</v>
      </c>
      <c r="B50" s="45">
        <f>VLOOKUP($A50,[1]COMBO!$A$3:$F$55,3,FALSE)</f>
        <v>23</v>
      </c>
      <c r="C50" s="45">
        <v>2</v>
      </c>
      <c r="D50" s="45" t="s">
        <v>149</v>
      </c>
      <c r="E50" s="45">
        <v>0</v>
      </c>
      <c r="F50" s="45">
        <v>0</v>
      </c>
      <c r="G50" s="45" t="s">
        <v>150</v>
      </c>
      <c r="H50" s="45">
        <v>310</v>
      </c>
      <c r="I50" s="45">
        <v>2854</v>
      </c>
      <c r="J50" s="46">
        <v>0.11422564821303434</v>
      </c>
      <c r="K50" s="45">
        <v>5409820</v>
      </c>
      <c r="L50" s="47">
        <v>0.3095</v>
      </c>
      <c r="M50" s="45">
        <v>539001.40634482424</v>
      </c>
      <c r="N50" s="48">
        <f t="shared" si="8"/>
        <v>1674339.29</v>
      </c>
      <c r="O50" s="46">
        <f t="shared" si="10"/>
        <v>9.1702919867519463E-3</v>
      </c>
      <c r="P50" s="49">
        <f t="shared" si="11"/>
        <v>49215.648659315484</v>
      </c>
      <c r="Q50" s="50">
        <f t="shared" si="9"/>
        <v>0</v>
      </c>
    </row>
    <row r="51" spans="1:17" s="26" customFormat="1" ht="12.75" x14ac:dyDescent="0.2">
      <c r="A51" s="44" t="s">
        <v>61</v>
      </c>
      <c r="B51" s="45">
        <f>VLOOKUP($A51,[1]COMBO!$A$3:$F$55,3,FALSE)</f>
        <v>25</v>
      </c>
      <c r="C51" s="45">
        <v>0</v>
      </c>
      <c r="D51" s="45" t="s">
        <v>151</v>
      </c>
      <c r="E51" s="45">
        <v>0</v>
      </c>
      <c r="F51" s="45">
        <v>0</v>
      </c>
      <c r="G51" s="45" t="s">
        <v>152</v>
      </c>
      <c r="H51" s="45">
        <v>81</v>
      </c>
      <c r="I51" s="45">
        <v>822</v>
      </c>
      <c r="J51" s="46">
        <v>0.47201946472019463</v>
      </c>
      <c r="K51" s="45">
        <v>5967790</v>
      </c>
      <c r="L51" s="47">
        <v>0.50380000000000003</v>
      </c>
      <c r="M51" s="45">
        <v>1806839.5582397452</v>
      </c>
      <c r="N51" s="48">
        <f t="shared" si="8"/>
        <v>3006572.602</v>
      </c>
      <c r="O51" s="46">
        <f t="shared" si="10"/>
        <v>1.646688267090032E-2</v>
      </c>
      <c r="P51" s="49">
        <f t="shared" si="11"/>
        <v>88375.409770594313</v>
      </c>
      <c r="Q51" s="50">
        <f t="shared" si="9"/>
        <v>0</v>
      </c>
    </row>
    <row r="52" spans="1:17" s="26" customFormat="1" ht="12.75" x14ac:dyDescent="0.2">
      <c r="A52" s="60" t="s">
        <v>62</v>
      </c>
      <c r="B52" s="45">
        <f>VLOOKUP($A52,[1]COMBO!$A$3:$F$55,3,FALSE)</f>
        <v>25</v>
      </c>
      <c r="C52" s="45">
        <v>0</v>
      </c>
      <c r="D52" s="45" t="s">
        <v>153</v>
      </c>
      <c r="E52" s="45">
        <v>0</v>
      </c>
      <c r="F52" s="45">
        <v>0</v>
      </c>
      <c r="G52" s="45" t="s">
        <v>154</v>
      </c>
      <c r="H52" s="45">
        <v>215</v>
      </c>
      <c r="I52" s="45">
        <v>3781</v>
      </c>
      <c r="J52" s="46">
        <v>5.6863263686855327E-2</v>
      </c>
      <c r="K52" s="45">
        <v>2354402</v>
      </c>
      <c r="L52" s="47">
        <v>0.52200000000000002</v>
      </c>
      <c r="M52" s="45">
        <v>61043.949723854748</v>
      </c>
      <c r="N52" s="48">
        <f t="shared" si="8"/>
        <v>1228997.844</v>
      </c>
      <c r="O52" s="46">
        <f t="shared" si="10"/>
        <v>6.7311739907677959E-3</v>
      </c>
      <c r="P52" s="49">
        <f t="shared" si="11"/>
        <v>36125.250392565424</v>
      </c>
      <c r="Q52" s="50">
        <f t="shared" si="9"/>
        <v>0</v>
      </c>
    </row>
    <row r="53" spans="1:17" s="26" customFormat="1" ht="12.75" x14ac:dyDescent="0.2">
      <c r="A53" s="44" t="s">
        <v>63</v>
      </c>
      <c r="B53" s="45">
        <f>VLOOKUP($A53,[1]COMBO!$A$3:$F$55,3,FALSE)</f>
        <v>25</v>
      </c>
      <c r="C53" s="45">
        <v>0</v>
      </c>
      <c r="D53" s="45" t="s">
        <v>155</v>
      </c>
      <c r="E53" s="45">
        <v>0</v>
      </c>
      <c r="F53" s="45">
        <v>0</v>
      </c>
      <c r="G53" s="45" t="s">
        <v>156</v>
      </c>
      <c r="H53" s="45">
        <v>81</v>
      </c>
      <c r="I53" s="45">
        <v>2495</v>
      </c>
      <c r="J53" s="46">
        <v>0.27575150300601203</v>
      </c>
      <c r="K53" s="45">
        <v>9496179</v>
      </c>
      <c r="L53" s="47">
        <v>0.37580000000000002</v>
      </c>
      <c r="M53" s="45">
        <v>4281.9861875518691</v>
      </c>
      <c r="N53" s="48">
        <f t="shared" si="8"/>
        <v>3568664.0682000001</v>
      </c>
      <c r="O53" s="46">
        <f t="shared" si="10"/>
        <v>1.9545436043625339E-2</v>
      </c>
      <c r="P53" s="49">
        <v>4282</v>
      </c>
      <c r="Q53" s="50">
        <v>0</v>
      </c>
    </row>
    <row r="54" spans="1:17" s="26" customFormat="1" ht="12.75" x14ac:dyDescent="0.2">
      <c r="A54" s="44" t="s">
        <v>64</v>
      </c>
      <c r="B54" s="45">
        <f>VLOOKUP($A54,[1]COMBO!$A$3:$F$55,3,FALSE)</f>
        <v>25</v>
      </c>
      <c r="C54" s="45">
        <v>0</v>
      </c>
      <c r="D54" s="45" t="s">
        <v>157</v>
      </c>
      <c r="E54" s="45">
        <v>0</v>
      </c>
      <c r="F54" s="45">
        <v>0</v>
      </c>
      <c r="G54" s="45" t="s">
        <v>158</v>
      </c>
      <c r="H54" s="45">
        <v>130</v>
      </c>
      <c r="I54" s="45">
        <v>1604</v>
      </c>
      <c r="J54" s="46">
        <v>0.23690773067331672</v>
      </c>
      <c r="K54" s="45">
        <v>6009415.6449699998</v>
      </c>
      <c r="L54" s="47">
        <v>0.629</v>
      </c>
      <c r="M54" s="45">
        <v>659390.43978655548</v>
      </c>
      <c r="N54" s="48">
        <f t="shared" si="8"/>
        <v>3779922.44068613</v>
      </c>
      <c r="O54" s="46">
        <f t="shared" si="10"/>
        <v>2.070249003615502E-2</v>
      </c>
      <c r="P54" s="49">
        <f t="shared" si="11"/>
        <v>111107.31015591876</v>
      </c>
      <c r="Q54" s="50">
        <f t="shared" si="9"/>
        <v>0</v>
      </c>
    </row>
    <row r="55" spans="1:17" s="26" customFormat="1" ht="12.75" x14ac:dyDescent="0.2">
      <c r="A55" s="44" t="s">
        <v>65</v>
      </c>
      <c r="B55" s="45">
        <f>VLOOKUP($A55,[1]COMBO!$A$3:$F$55,3,FALSE)</f>
        <v>25</v>
      </c>
      <c r="C55" s="45">
        <v>0</v>
      </c>
      <c r="D55" s="45" t="s">
        <v>159</v>
      </c>
      <c r="E55" s="45">
        <v>0</v>
      </c>
      <c r="F55" s="45">
        <v>0</v>
      </c>
      <c r="G55" s="45" t="s">
        <v>160</v>
      </c>
      <c r="H55" s="45">
        <v>45</v>
      </c>
      <c r="I55" s="45">
        <v>571</v>
      </c>
      <c r="J55" s="46">
        <v>0.39229422066549913</v>
      </c>
      <c r="K55" s="45">
        <v>4477425</v>
      </c>
      <c r="L55" s="47">
        <v>0.45290000000000002</v>
      </c>
      <c r="M55" s="45">
        <v>186714.00174517627</v>
      </c>
      <c r="N55" s="48">
        <f t="shared" si="8"/>
        <v>2027825.7825000002</v>
      </c>
      <c r="O55" s="46">
        <f t="shared" si="10"/>
        <v>1.1106323930192634E-2</v>
      </c>
      <c r="P55" s="49">
        <f t="shared" si="11"/>
        <v>59606.055863278161</v>
      </c>
      <c r="Q55" s="50">
        <f t="shared" si="9"/>
        <v>0</v>
      </c>
    </row>
    <row r="56" spans="1:17" s="26" customFormat="1" ht="12.75" x14ac:dyDescent="0.2">
      <c r="A56" s="44" t="s">
        <v>66</v>
      </c>
      <c r="B56" s="45">
        <f>VLOOKUP($A56,[1]COMBO!$A$3:$F$55,3,FALSE)</f>
        <v>26</v>
      </c>
      <c r="C56" s="45">
        <v>0</v>
      </c>
      <c r="D56" s="45" t="s">
        <v>161</v>
      </c>
      <c r="E56" s="45" t="s">
        <v>162</v>
      </c>
      <c r="F56" s="45">
        <v>0</v>
      </c>
      <c r="G56" s="45" t="s">
        <v>163</v>
      </c>
      <c r="H56" s="45">
        <v>133</v>
      </c>
      <c r="I56" s="45">
        <v>915</v>
      </c>
      <c r="J56" s="46">
        <v>0.23934426229508196</v>
      </c>
      <c r="K56" s="45">
        <v>437109</v>
      </c>
      <c r="L56" s="47">
        <v>1.4923795785723</v>
      </c>
      <c r="M56" s="45">
        <v>226860.99618897005</v>
      </c>
      <c r="N56" s="48">
        <f t="shared" si="8"/>
        <v>652332.5452101595</v>
      </c>
      <c r="O56" s="46">
        <f t="shared" si="10"/>
        <v>3.5728002966699938E-3</v>
      </c>
      <c r="P56" s="49">
        <f t="shared" si="11"/>
        <v>19174.709418722559</v>
      </c>
      <c r="Q56" s="50">
        <f t="shared" si="9"/>
        <v>0</v>
      </c>
    </row>
    <row r="57" spans="1:17" s="26" customFormat="1" ht="12.75" x14ac:dyDescent="0.2">
      <c r="A57" s="44" t="s">
        <v>67</v>
      </c>
      <c r="B57" s="45">
        <f>VLOOKUP($A57,[1]COMBO!$A$3:$F$55,3,FALSE)</f>
        <v>31</v>
      </c>
      <c r="C57" s="45">
        <v>0</v>
      </c>
      <c r="D57" s="45" t="s">
        <v>164</v>
      </c>
      <c r="E57" s="45">
        <v>0</v>
      </c>
      <c r="F57" s="45">
        <v>0</v>
      </c>
      <c r="G57" s="45" t="s">
        <v>165</v>
      </c>
      <c r="H57" s="45">
        <v>183</v>
      </c>
      <c r="I57" s="45">
        <v>1410</v>
      </c>
      <c r="J57" s="46">
        <v>0.34680851063829787</v>
      </c>
      <c r="K57" s="45">
        <v>4970425</v>
      </c>
      <c r="L57" s="47">
        <v>0.45710000000000001</v>
      </c>
      <c r="M57" s="45">
        <v>51160.999782146129</v>
      </c>
      <c r="N57" s="48">
        <f t="shared" si="8"/>
        <v>2271981.2675000001</v>
      </c>
      <c r="O57" s="46">
        <f t="shared" si="10"/>
        <v>1.2443554144516181E-2</v>
      </c>
      <c r="P57" s="49">
        <v>51161</v>
      </c>
      <c r="Q57" s="50">
        <v>0</v>
      </c>
    </row>
    <row r="58" spans="1:17" s="26" customFormat="1" ht="12.75" x14ac:dyDescent="0.2">
      <c r="A58" s="44" t="s">
        <v>68</v>
      </c>
      <c r="B58" s="45">
        <f>VLOOKUP($A58,[1]COMBO!$A$3:$F$55,3,FALSE)</f>
        <v>32</v>
      </c>
      <c r="C58" s="45">
        <v>0</v>
      </c>
      <c r="D58" s="45" t="s">
        <v>166</v>
      </c>
      <c r="E58" s="45">
        <v>0</v>
      </c>
      <c r="F58" s="45">
        <v>0</v>
      </c>
      <c r="G58" s="45" t="s">
        <v>167</v>
      </c>
      <c r="H58" s="45">
        <v>199</v>
      </c>
      <c r="I58" s="45">
        <v>1719</v>
      </c>
      <c r="J58" s="46">
        <v>0.41419429901105292</v>
      </c>
      <c r="K58" s="45">
        <v>23168722.970000036</v>
      </c>
      <c r="L58" s="47">
        <v>0.35520000000000002</v>
      </c>
      <c r="M58" s="45">
        <v>3602208.3167760065</v>
      </c>
      <c r="N58" s="48">
        <f t="shared" si="8"/>
        <v>8229530.3989440128</v>
      </c>
      <c r="O58" s="46">
        <f t="shared" si="10"/>
        <v>4.5072821932147233E-2</v>
      </c>
      <c r="P58" s="49">
        <f t="shared" si="11"/>
        <v>241899.40423937904</v>
      </c>
      <c r="Q58" s="50">
        <f t="shared" si="9"/>
        <v>0</v>
      </c>
    </row>
    <row r="59" spans="1:17" s="26" customFormat="1" ht="12.75" x14ac:dyDescent="0.2">
      <c r="A59" s="44" t="s">
        <v>69</v>
      </c>
      <c r="B59" s="45">
        <f>VLOOKUP($A59,[1]COMBO!$A$3:$F$55,3,FALSE)</f>
        <v>33</v>
      </c>
      <c r="C59" s="45">
        <v>0</v>
      </c>
      <c r="D59" s="45" t="s">
        <v>168</v>
      </c>
      <c r="E59" s="45" t="s">
        <v>169</v>
      </c>
      <c r="F59" s="45">
        <v>0</v>
      </c>
      <c r="G59" s="45" t="s">
        <v>170</v>
      </c>
      <c r="H59" s="45">
        <v>20</v>
      </c>
      <c r="I59" s="45">
        <v>394</v>
      </c>
      <c r="J59" s="46">
        <v>0.73096446700507611</v>
      </c>
      <c r="K59" s="45">
        <v>6674088</v>
      </c>
      <c r="L59" s="47">
        <v>0.30599999999999999</v>
      </c>
      <c r="M59" s="45">
        <v>553204.33753796108</v>
      </c>
      <c r="N59" s="48">
        <f t="shared" si="8"/>
        <v>2042270.9280000001</v>
      </c>
      <c r="O59" s="46">
        <f t="shared" si="10"/>
        <v>1.1185439437316711E-2</v>
      </c>
      <c r="P59" s="49">
        <f t="shared" si="11"/>
        <v>60030.657501671711</v>
      </c>
      <c r="Q59" s="50">
        <f t="shared" si="9"/>
        <v>0</v>
      </c>
    </row>
    <row r="60" spans="1:17" s="26" customFormat="1" ht="12.75" x14ac:dyDescent="0.2">
      <c r="A60" s="44" t="s">
        <v>70</v>
      </c>
      <c r="B60" s="45">
        <f>VLOOKUP($A60,[1]COMBO!$A$3:$F$55,3,FALSE)</f>
        <v>36</v>
      </c>
      <c r="C60" s="45">
        <v>0</v>
      </c>
      <c r="D60" s="45" t="s">
        <v>171</v>
      </c>
      <c r="E60" s="45">
        <v>0</v>
      </c>
      <c r="F60" s="45">
        <v>0</v>
      </c>
      <c r="G60" s="45" t="s">
        <v>172</v>
      </c>
      <c r="H60" s="45">
        <v>11105</v>
      </c>
      <c r="I60" s="45">
        <v>12344</v>
      </c>
      <c r="J60" s="46">
        <v>0.8996273493195075</v>
      </c>
      <c r="K60" s="45">
        <v>15142019</v>
      </c>
      <c r="L60" s="47">
        <v>1.309696</v>
      </c>
      <c r="M60" s="45">
        <v>263662.60805179551</v>
      </c>
      <c r="N60" s="48">
        <f t="shared" si="8"/>
        <v>19831441.716224</v>
      </c>
      <c r="O60" s="46">
        <f t="shared" si="10"/>
        <v>0.10861604463455385</v>
      </c>
      <c r="P60" s="49">
        <v>263663</v>
      </c>
      <c r="Q60" s="50">
        <v>0</v>
      </c>
    </row>
    <row r="61" spans="1:17" s="26" customFormat="1" ht="12.75" x14ac:dyDescent="0.2">
      <c r="A61" s="44" t="s">
        <v>71</v>
      </c>
      <c r="B61" s="45">
        <f>VLOOKUP($A61,[1]COMBO!$A$3:$F$55,3,FALSE)</f>
        <v>36</v>
      </c>
      <c r="C61" s="45">
        <v>2</v>
      </c>
      <c r="D61" s="45" t="s">
        <v>173</v>
      </c>
      <c r="E61" s="45">
        <v>0</v>
      </c>
      <c r="F61" s="45">
        <v>0</v>
      </c>
      <c r="G61" s="45" t="s">
        <v>174</v>
      </c>
      <c r="H61" s="45">
        <v>695</v>
      </c>
      <c r="I61" s="45">
        <v>4009</v>
      </c>
      <c r="J61" s="46">
        <v>0.26290845597405837</v>
      </c>
      <c r="K61" s="45">
        <v>23452692</v>
      </c>
      <c r="L61" s="47">
        <v>0.34139999999999998</v>
      </c>
      <c r="M61" s="45">
        <v>2561985.6639216878</v>
      </c>
      <c r="N61" s="48">
        <f t="shared" si="8"/>
        <v>8006749.0488</v>
      </c>
      <c r="O61" s="46">
        <f t="shared" si="10"/>
        <v>4.3852657033536135E-2</v>
      </c>
      <c r="P61" s="49">
        <f t="shared" si="11"/>
        <v>235350.95332383271</v>
      </c>
      <c r="Q61" s="50">
        <f t="shared" si="9"/>
        <v>0</v>
      </c>
    </row>
    <row r="62" spans="1:17" s="26" customFormat="1" ht="12.75" x14ac:dyDescent="0.2">
      <c r="A62" s="44" t="s">
        <v>72</v>
      </c>
      <c r="B62" s="45">
        <f>VLOOKUP($A62,[1]COMBO!$A$3:$F$55,3,FALSE)</f>
        <v>40</v>
      </c>
      <c r="C62" s="45">
        <v>2</v>
      </c>
      <c r="D62" s="45" t="s">
        <v>175</v>
      </c>
      <c r="E62" s="45">
        <v>0</v>
      </c>
      <c r="F62" s="45">
        <v>0</v>
      </c>
      <c r="G62" s="45" t="s">
        <v>176</v>
      </c>
      <c r="H62" s="45">
        <v>686</v>
      </c>
      <c r="I62" s="45">
        <v>4906</v>
      </c>
      <c r="J62" s="46">
        <v>0.19262128006522625</v>
      </c>
      <c r="K62" s="45">
        <v>19247848</v>
      </c>
      <c r="L62" s="47">
        <v>0.40429999999999999</v>
      </c>
      <c r="M62" s="45">
        <v>5742658.7370113898</v>
      </c>
      <c r="N62" s="48">
        <f t="shared" si="8"/>
        <v>7781904.9463999998</v>
      </c>
      <c r="O62" s="46">
        <f t="shared" si="10"/>
        <v>4.2621194520040942E-2</v>
      </c>
      <c r="P62" s="49">
        <f t="shared" si="11"/>
        <v>228741.86972116723</v>
      </c>
      <c r="Q62" s="50">
        <f t="shared" si="9"/>
        <v>0</v>
      </c>
    </row>
    <row r="63" spans="1:17" s="26" customFormat="1" ht="12.75" x14ac:dyDescent="0.2">
      <c r="A63" s="44" t="s">
        <v>73</v>
      </c>
      <c r="B63" s="45">
        <f>VLOOKUP($A63,[1]COMBO!$A$3:$F$55,3,FALSE)</f>
        <v>41</v>
      </c>
      <c r="C63" s="45">
        <v>0</v>
      </c>
      <c r="D63" s="45" t="s">
        <v>177</v>
      </c>
      <c r="E63" s="45" t="s">
        <v>178</v>
      </c>
      <c r="F63" s="45">
        <v>0</v>
      </c>
      <c r="G63" s="45" t="s">
        <v>179</v>
      </c>
      <c r="H63" s="45">
        <v>702</v>
      </c>
      <c r="I63" s="45">
        <v>6441</v>
      </c>
      <c r="J63" s="46">
        <v>0.38332557056357708</v>
      </c>
      <c r="K63" s="45">
        <v>20243149</v>
      </c>
      <c r="L63" s="47">
        <v>0.30630000000000002</v>
      </c>
      <c r="M63" s="45">
        <v>1992961.0375377308</v>
      </c>
      <c r="N63" s="48">
        <f t="shared" si="8"/>
        <v>6200476.5387000004</v>
      </c>
      <c r="O63" s="46">
        <f t="shared" si="10"/>
        <v>3.3959771867316121E-2</v>
      </c>
      <c r="P63" s="49">
        <f t="shared" si="11"/>
        <v>182257.25017119304</v>
      </c>
      <c r="Q63" s="50">
        <f t="shared" si="9"/>
        <v>0</v>
      </c>
    </row>
    <row r="64" spans="1:17" s="26" customFormat="1" ht="12.75" x14ac:dyDescent="0.2">
      <c r="A64" s="44" t="s">
        <v>74</v>
      </c>
      <c r="B64" s="45">
        <f>VLOOKUP($A64,[1]COMBO!$A$3:$F$55,3,FALSE)</f>
        <v>47</v>
      </c>
      <c r="C64" s="45">
        <v>0</v>
      </c>
      <c r="D64" s="45" t="s">
        <v>180</v>
      </c>
      <c r="E64" s="45">
        <v>0</v>
      </c>
      <c r="F64" s="45">
        <v>0</v>
      </c>
      <c r="G64" s="45">
        <v>370138</v>
      </c>
      <c r="H64" s="45">
        <v>1100</v>
      </c>
      <c r="I64" s="45">
        <v>3114</v>
      </c>
      <c r="J64" s="46">
        <v>0.3754014129736673</v>
      </c>
      <c r="K64" s="45">
        <v>15532772</v>
      </c>
      <c r="L64" s="47">
        <v>0.35120000000000001</v>
      </c>
      <c r="M64" s="45">
        <v>731072.6175520143</v>
      </c>
      <c r="N64" s="48">
        <f t="shared" si="8"/>
        <v>5455109.5263999999</v>
      </c>
      <c r="O64" s="46">
        <f t="shared" si="10"/>
        <v>2.9877425367471441E-2</v>
      </c>
      <c r="P64" s="49">
        <f t="shared" si="11"/>
        <v>160347.87898299113</v>
      </c>
      <c r="Q64" s="50">
        <f t="shared" si="9"/>
        <v>0</v>
      </c>
    </row>
    <row r="65" spans="1:17" s="26" customFormat="1" ht="12.75" x14ac:dyDescent="0.2">
      <c r="A65" s="44" t="s">
        <v>75</v>
      </c>
      <c r="B65" s="45">
        <v>67</v>
      </c>
      <c r="C65" s="45">
        <v>2</v>
      </c>
      <c r="D65" s="45" t="s">
        <v>181</v>
      </c>
      <c r="E65" s="45">
        <v>0</v>
      </c>
      <c r="F65" s="45">
        <v>0</v>
      </c>
      <c r="G65" s="45" t="s">
        <v>182</v>
      </c>
      <c r="H65" s="45">
        <v>1287</v>
      </c>
      <c r="I65" s="45">
        <v>5817</v>
      </c>
      <c r="J65" s="46">
        <v>0.34072545985903385</v>
      </c>
      <c r="K65" s="45">
        <v>20912441</v>
      </c>
      <c r="L65" s="47">
        <v>0.38750000000000001</v>
      </c>
      <c r="M65" s="45">
        <v>3802975.8732038755</v>
      </c>
      <c r="N65" s="48">
        <f t="shared" si="8"/>
        <v>8103570.8875000002</v>
      </c>
      <c r="O65" s="46">
        <f t="shared" si="10"/>
        <v>4.4382946525562093E-2</v>
      </c>
      <c r="P65" s="49">
        <f t="shared" si="11"/>
        <v>238196.94136488749</v>
      </c>
      <c r="Q65" s="50">
        <f t="shared" si="9"/>
        <v>0</v>
      </c>
    </row>
    <row r="66" spans="1:17" s="26" customFormat="1" ht="12.75" x14ac:dyDescent="0.2">
      <c r="A66" s="44" t="s">
        <v>76</v>
      </c>
      <c r="B66" s="45">
        <f>VLOOKUP($A66,[1]COMBO!$A$3:$F$55,3,FALSE)</f>
        <v>58</v>
      </c>
      <c r="C66" s="45">
        <v>0</v>
      </c>
      <c r="D66" s="45" t="s">
        <v>183</v>
      </c>
      <c r="E66" s="45">
        <v>0</v>
      </c>
      <c r="F66" s="45">
        <v>0</v>
      </c>
      <c r="G66" s="45" t="s">
        <v>184</v>
      </c>
      <c r="H66" s="45">
        <v>1943</v>
      </c>
      <c r="I66" s="45">
        <v>8128</v>
      </c>
      <c r="J66" s="46">
        <v>0.42704232283464566</v>
      </c>
      <c r="K66" s="45">
        <v>51008198</v>
      </c>
      <c r="L66" s="47">
        <v>0.34089999999999998</v>
      </c>
      <c r="M66" s="45">
        <v>5005039.5097699435</v>
      </c>
      <c r="N66" s="48">
        <f t="shared" si="8"/>
        <v>17388694.698199999</v>
      </c>
      <c r="O66" s="46">
        <f t="shared" si="10"/>
        <v>9.5237213032837262E-2</v>
      </c>
      <c r="P66" s="49">
        <f t="shared" si="11"/>
        <v>511124.53373217623</v>
      </c>
      <c r="Q66" s="50">
        <f t="shared" si="9"/>
        <v>0</v>
      </c>
    </row>
    <row r="67" spans="1:17" s="26" customFormat="1" ht="12.75" x14ac:dyDescent="0.2">
      <c r="A67" s="44" t="s">
        <v>77</v>
      </c>
      <c r="B67" s="45">
        <v>74</v>
      </c>
      <c r="C67" s="45">
        <v>0</v>
      </c>
      <c r="D67" s="45" t="s">
        <v>185</v>
      </c>
      <c r="E67" s="45">
        <v>0</v>
      </c>
      <c r="F67" s="45">
        <v>0</v>
      </c>
      <c r="G67" s="45" t="s">
        <v>186</v>
      </c>
      <c r="H67" s="45">
        <v>1403</v>
      </c>
      <c r="I67" s="45">
        <v>8357</v>
      </c>
      <c r="J67" s="46">
        <v>0.16788321167883211</v>
      </c>
      <c r="K67" s="45">
        <v>31807014</v>
      </c>
      <c r="L67" s="47">
        <v>0.30630000000000002</v>
      </c>
      <c r="M67" s="45">
        <v>3440999.7966403905</v>
      </c>
      <c r="N67" s="48">
        <f t="shared" si="8"/>
        <v>9742488.3881999999</v>
      </c>
      <c r="O67" s="46">
        <f t="shared" si="10"/>
        <v>5.3359234732725129E-2</v>
      </c>
      <c r="P67" s="49">
        <f t="shared" si="11"/>
        <v>286371.39941995387</v>
      </c>
      <c r="Q67" s="50">
        <f t="shared" si="9"/>
        <v>0</v>
      </c>
    </row>
    <row r="68" spans="1:17" s="26" customFormat="1" ht="12.75" x14ac:dyDescent="0.2">
      <c r="A68" s="44" t="s">
        <v>78</v>
      </c>
      <c r="B68" s="45">
        <f>VLOOKUP($A68,[1]COMBO!$A$3:$F$55,3,FALSE)</f>
        <v>73</v>
      </c>
      <c r="C68" s="45">
        <v>2</v>
      </c>
      <c r="D68" s="45" t="s">
        <v>187</v>
      </c>
      <c r="E68" s="45">
        <v>0</v>
      </c>
      <c r="F68" s="45">
        <v>0</v>
      </c>
      <c r="G68" s="45" t="s">
        <v>188</v>
      </c>
      <c r="H68" s="45">
        <v>698</v>
      </c>
      <c r="I68" s="45">
        <v>3587</v>
      </c>
      <c r="J68" s="46">
        <v>0.25564538611653193</v>
      </c>
      <c r="K68" s="45">
        <v>30944769</v>
      </c>
      <c r="L68" s="47">
        <v>0.31240000000000001</v>
      </c>
      <c r="M68" s="45">
        <v>4802682.0659771981</v>
      </c>
      <c r="N68" s="48">
        <f t="shared" si="8"/>
        <v>9667145.8355999999</v>
      </c>
      <c r="O68" s="46">
        <f t="shared" si="10"/>
        <v>5.2946586465736654E-2</v>
      </c>
      <c r="P68" s="49">
        <f t="shared" si="11"/>
        <v>284156.77504841588</v>
      </c>
      <c r="Q68" s="50">
        <f t="shared" si="9"/>
        <v>0</v>
      </c>
    </row>
    <row r="69" spans="1:17" s="26" customFormat="1" ht="12.75" x14ac:dyDescent="0.2">
      <c r="A69" s="44" t="s">
        <v>79</v>
      </c>
      <c r="B69" s="45">
        <f>VLOOKUP($A69,[1]COMBO!$A$3:$F$55,3,FALSE)</f>
        <v>75</v>
      </c>
      <c r="C69" s="45">
        <v>2</v>
      </c>
      <c r="D69" s="45" t="s">
        <v>189</v>
      </c>
      <c r="E69" s="45">
        <v>0</v>
      </c>
      <c r="F69" s="45">
        <v>0</v>
      </c>
      <c r="G69" s="45" t="s">
        <v>190</v>
      </c>
      <c r="H69" s="45">
        <v>3369</v>
      </c>
      <c r="I69" s="45">
        <v>11661</v>
      </c>
      <c r="J69" s="46">
        <v>0.34799759883371922</v>
      </c>
      <c r="K69" s="45">
        <v>61650014</v>
      </c>
      <c r="L69" s="47">
        <v>0.22600000000000001</v>
      </c>
      <c r="M69" s="45">
        <v>2920591.4687367463</v>
      </c>
      <c r="N69" s="48">
        <f t="shared" si="8"/>
        <v>13932903.164000001</v>
      </c>
      <c r="O69" s="46">
        <f t="shared" si="10"/>
        <v>7.6309975522953918E-2</v>
      </c>
      <c r="P69" s="49">
        <f t="shared" si="11"/>
        <v>409544.75058856746</v>
      </c>
      <c r="Q69" s="50">
        <f t="shared" si="9"/>
        <v>0</v>
      </c>
    </row>
    <row r="70" spans="1:17" s="26" customFormat="1" ht="12.75" x14ac:dyDescent="0.2">
      <c r="A70" s="61" t="s">
        <v>80</v>
      </c>
      <c r="B70" s="45">
        <v>92</v>
      </c>
      <c r="C70" s="45">
        <v>2</v>
      </c>
      <c r="D70" s="45" t="s">
        <v>191</v>
      </c>
      <c r="E70" s="45" t="s">
        <v>192</v>
      </c>
      <c r="F70" s="45" t="s">
        <v>193</v>
      </c>
      <c r="G70" s="45" t="s">
        <v>194</v>
      </c>
      <c r="H70" s="45">
        <v>2834</v>
      </c>
      <c r="I70" s="45">
        <v>13137</v>
      </c>
      <c r="J70" s="46">
        <v>0.31940321230113422</v>
      </c>
      <c r="K70" s="45">
        <v>58848055</v>
      </c>
      <c r="L70" s="47">
        <v>0.22700000000000001</v>
      </c>
      <c r="M70" s="45">
        <v>3369039.7527877158</v>
      </c>
      <c r="N70" s="48">
        <f t="shared" si="8"/>
        <v>13358508.485000001</v>
      </c>
      <c r="O70" s="46">
        <f t="shared" si="10"/>
        <v>7.3164037926239781E-2</v>
      </c>
      <c r="P70" s="49">
        <f t="shared" si="11"/>
        <v>392660.95237497817</v>
      </c>
      <c r="Q70" s="50">
        <f t="shared" si="9"/>
        <v>0</v>
      </c>
    </row>
    <row r="71" spans="1:17" s="26" customFormat="1" ht="12.75" x14ac:dyDescent="0.2">
      <c r="A71" s="44" t="s">
        <v>81</v>
      </c>
      <c r="B71" s="45">
        <v>25</v>
      </c>
      <c r="C71" s="45">
        <v>2</v>
      </c>
      <c r="D71" s="45" t="s">
        <v>195</v>
      </c>
      <c r="E71" s="45"/>
      <c r="F71" s="45"/>
      <c r="G71" s="45"/>
      <c r="H71" s="45">
        <v>698</v>
      </c>
      <c r="I71" s="45">
        <v>2251</v>
      </c>
      <c r="J71" s="46">
        <v>0.40293203020879609</v>
      </c>
      <c r="K71" s="45">
        <v>11749327.9</v>
      </c>
      <c r="L71" s="47">
        <v>0.44429999999999997</v>
      </c>
      <c r="M71" s="45">
        <v>895299.61236825178</v>
      </c>
      <c r="N71" s="48">
        <f t="shared" si="8"/>
        <v>5220226.3859700002</v>
      </c>
      <c r="O71" s="46">
        <f t="shared" si="10"/>
        <v>2.8590979428244654E-2</v>
      </c>
      <c r="P71" s="49">
        <f t="shared" si="11"/>
        <v>153443.70717955721</v>
      </c>
      <c r="Q71" s="50">
        <f t="shared" si="9"/>
        <v>0</v>
      </c>
    </row>
    <row r="72" spans="1:17" s="26" customFormat="1" ht="12.75" x14ac:dyDescent="0.2">
      <c r="A72" s="44" t="s">
        <v>82</v>
      </c>
      <c r="B72" s="45">
        <f>VLOOKUP($A72,[1]COMBO!$A$3:$F$55,3,FALSE)</f>
        <v>87</v>
      </c>
      <c r="C72" s="45">
        <v>2</v>
      </c>
      <c r="D72" s="45" t="s">
        <v>196</v>
      </c>
      <c r="E72" s="45">
        <v>0</v>
      </c>
      <c r="F72" s="45">
        <v>0</v>
      </c>
      <c r="G72" s="45" t="s">
        <v>197</v>
      </c>
      <c r="H72" s="45">
        <v>1028</v>
      </c>
      <c r="I72" s="45">
        <v>5698</v>
      </c>
      <c r="J72" s="46">
        <v>0.33327483327483326</v>
      </c>
      <c r="K72" s="45">
        <v>32728831</v>
      </c>
      <c r="L72" s="47">
        <v>0.2364</v>
      </c>
      <c r="M72" s="45">
        <v>2217184.7754576332</v>
      </c>
      <c r="N72" s="48">
        <f t="shared" si="8"/>
        <v>7737095.6484000003</v>
      </c>
      <c r="O72" s="46">
        <f t="shared" si="10"/>
        <v>4.2375775715838261E-2</v>
      </c>
      <c r="P72" s="49">
        <f t="shared" si="11"/>
        <v>227424.74201580323</v>
      </c>
      <c r="Q72" s="50">
        <f t="shared" si="9"/>
        <v>0</v>
      </c>
    </row>
    <row r="73" spans="1:17" s="26" customFormat="1" ht="12.75" x14ac:dyDescent="0.2">
      <c r="A73" s="44" t="s">
        <v>83</v>
      </c>
      <c r="B73" s="45">
        <f>VLOOKUP($A73,[1]COMBO!$A$3:$F$55,3,FALSE)</f>
        <v>96</v>
      </c>
      <c r="C73" s="45">
        <v>2</v>
      </c>
      <c r="D73" s="45" t="s">
        <v>198</v>
      </c>
      <c r="E73" s="45">
        <v>0</v>
      </c>
      <c r="F73" s="45">
        <v>0</v>
      </c>
      <c r="G73" s="45" t="s">
        <v>199</v>
      </c>
      <c r="H73" s="45">
        <v>3353</v>
      </c>
      <c r="I73" s="45">
        <v>16282</v>
      </c>
      <c r="J73" s="46">
        <v>0.27883552389141381</v>
      </c>
      <c r="K73" s="45">
        <v>45863576</v>
      </c>
      <c r="L73" s="47">
        <v>0.30890000000000001</v>
      </c>
      <c r="M73" s="45">
        <v>3270118.8149979645</v>
      </c>
      <c r="N73" s="48">
        <f t="shared" si="8"/>
        <v>14167258.626399999</v>
      </c>
      <c r="O73" s="46">
        <f t="shared" si="10"/>
        <v>7.7593531389876361E-2</v>
      </c>
      <c r="P73" s="49">
        <f t="shared" si="11"/>
        <v>416433.41178630461</v>
      </c>
      <c r="Q73" s="50">
        <f t="shared" si="9"/>
        <v>0</v>
      </c>
    </row>
    <row r="74" spans="1:17" s="55" customFormat="1" ht="12.75" x14ac:dyDescent="0.2">
      <c r="A74" s="22" t="s">
        <v>84</v>
      </c>
      <c r="B74" s="23">
        <f>SUM(B47:B73)</f>
        <v>1165</v>
      </c>
      <c r="C74" s="51"/>
      <c r="D74" s="51"/>
      <c r="E74" s="51"/>
      <c r="F74" s="51"/>
      <c r="G74" s="51"/>
      <c r="H74" s="23">
        <f>SUM(H47:H73)</f>
        <v>32533</v>
      </c>
      <c r="I74" s="23"/>
      <c r="J74" s="51"/>
      <c r="K74" s="23"/>
      <c r="L74" s="52"/>
      <c r="M74" s="51"/>
      <c r="N74" s="53">
        <f>SUM(N47:N73)</f>
        <v>182582985.62563431</v>
      </c>
      <c r="O74" s="62">
        <f>SUM(O47:O73)</f>
        <v>1</v>
      </c>
      <c r="P74" s="58">
        <f>SUM(P47:P73)</f>
        <v>4931356.1581033869</v>
      </c>
      <c r="Q74" s="51"/>
    </row>
    <row r="75" spans="1:17" s="26" customFormat="1" ht="12.75" x14ac:dyDescent="0.2">
      <c r="A75" s="22" t="s">
        <v>55</v>
      </c>
      <c r="B75" s="54">
        <f>H74/B9</f>
        <v>0.34616571434651683</v>
      </c>
      <c r="C75" s="24"/>
      <c r="D75" s="24"/>
      <c r="E75" s="24"/>
      <c r="F75" s="24"/>
      <c r="G75" s="24"/>
      <c r="H75" s="24"/>
      <c r="I75" s="24"/>
      <c r="J75" s="24"/>
      <c r="K75" s="24"/>
      <c r="L75" s="25"/>
      <c r="M75" s="24"/>
      <c r="N75" s="24"/>
      <c r="O75" s="24"/>
      <c r="P75" s="59"/>
      <c r="Q75" s="24"/>
    </row>
    <row r="76" spans="1:17" s="26" customFormat="1" ht="12.75" x14ac:dyDescent="0.2">
      <c r="A76" s="22" t="s">
        <v>38</v>
      </c>
      <c r="B76" s="23">
        <f>COUNT(B47:B73)</f>
        <v>27</v>
      </c>
      <c r="C76" s="24"/>
      <c r="D76" s="24"/>
      <c r="E76" s="24"/>
      <c r="F76" s="24"/>
      <c r="G76" s="24"/>
      <c r="H76" s="24"/>
      <c r="I76" s="24"/>
      <c r="J76" s="24"/>
      <c r="K76" s="24"/>
      <c r="L76" s="25"/>
      <c r="M76" s="24"/>
      <c r="N76" s="24"/>
      <c r="O76" s="24"/>
      <c r="P76" s="59"/>
      <c r="Q76" s="24"/>
    </row>
    <row r="77" spans="1:17" s="26" customFormat="1" ht="12.75" x14ac:dyDescent="0.2">
      <c r="A77" s="22" t="s">
        <v>39</v>
      </c>
      <c r="B77" s="23">
        <f>(B2-B24)*B75</f>
        <v>4931356.3182201721</v>
      </c>
      <c r="C77" s="24"/>
      <c r="D77" s="24"/>
      <c r="E77" s="24"/>
      <c r="F77" s="24"/>
      <c r="G77" s="24"/>
      <c r="H77" s="24"/>
      <c r="I77" s="24"/>
      <c r="J77" s="24"/>
      <c r="K77" s="24"/>
      <c r="L77" s="25"/>
      <c r="M77" s="24"/>
      <c r="N77" s="24"/>
      <c r="O77" s="24"/>
      <c r="P77" s="24"/>
      <c r="Q77" s="24"/>
    </row>
    <row r="78" spans="1:17" s="26" customFormat="1" ht="12.75" x14ac:dyDescent="0.2">
      <c r="A78" s="22" t="s">
        <v>40</v>
      </c>
      <c r="B78" s="23">
        <f>374268+52623+7400+1040+146+21+3</f>
        <v>435501</v>
      </c>
      <c r="C78" s="24"/>
      <c r="D78" s="24"/>
      <c r="E78" s="24"/>
      <c r="F78" s="24"/>
      <c r="G78" s="24"/>
      <c r="H78" s="24"/>
      <c r="I78" s="24"/>
      <c r="J78" s="24"/>
      <c r="K78" s="24"/>
      <c r="L78" s="25"/>
      <c r="M78" s="24"/>
      <c r="N78" s="24"/>
      <c r="O78" s="24"/>
      <c r="P78" s="24"/>
      <c r="Q78" s="24"/>
    </row>
    <row r="79" spans="1:17" s="26" customFormat="1" ht="12.75" x14ac:dyDescent="0.2">
      <c r="A79" s="24"/>
      <c r="B79" s="27"/>
      <c r="C79" s="24"/>
      <c r="D79" s="24"/>
      <c r="E79" s="24"/>
      <c r="F79" s="24"/>
      <c r="G79" s="24"/>
      <c r="H79" s="24"/>
      <c r="I79" s="24"/>
      <c r="J79" s="24"/>
      <c r="K79" s="24"/>
      <c r="L79" s="25"/>
      <c r="M79" s="24"/>
      <c r="N79" s="24"/>
      <c r="O79" s="24"/>
      <c r="P79" s="24"/>
      <c r="Q79" s="24"/>
    </row>
    <row r="80" spans="1:17" s="43" customFormat="1" ht="12.75" x14ac:dyDescent="0.2">
      <c r="A80" s="36" t="s">
        <v>85</v>
      </c>
      <c r="B80" s="56"/>
      <c r="C80" s="41"/>
      <c r="D80" s="41"/>
      <c r="E80" s="41"/>
      <c r="F80" s="41"/>
      <c r="G80" s="41"/>
      <c r="H80" s="41"/>
      <c r="I80" s="41"/>
      <c r="J80" s="41"/>
      <c r="K80" s="41"/>
      <c r="L80" s="57"/>
      <c r="M80" s="41"/>
      <c r="N80" s="41"/>
      <c r="O80" s="41"/>
      <c r="P80" s="41"/>
      <c r="Q80" s="41"/>
    </row>
    <row r="81" spans="1:17" s="26" customFormat="1" ht="12.75" x14ac:dyDescent="0.2">
      <c r="A81" s="44" t="s">
        <v>86</v>
      </c>
      <c r="B81" s="45">
        <f>VLOOKUP($A81,[1]COMBO!$A$3:$F$99,3,FALSE)</f>
        <v>182</v>
      </c>
      <c r="C81" s="45">
        <v>0</v>
      </c>
      <c r="D81" s="45" t="s">
        <v>200</v>
      </c>
      <c r="E81" s="45">
        <v>0</v>
      </c>
      <c r="F81" s="45">
        <v>0</v>
      </c>
      <c r="G81" s="45" t="s">
        <v>201</v>
      </c>
      <c r="H81" s="45">
        <v>425</v>
      </c>
      <c r="I81" s="45">
        <v>42082</v>
      </c>
      <c r="J81" s="46">
        <v>1.0099329879758567E-2</v>
      </c>
      <c r="K81" s="45">
        <v>17370786</v>
      </c>
      <c r="L81" s="47">
        <v>1.04099623845698</v>
      </c>
      <c r="M81" s="45">
        <v>6012873.5529545024</v>
      </c>
      <c r="N81" s="48">
        <f t="shared" ref="N81" si="12">L81*K81</f>
        <v>18082922.88504117</v>
      </c>
      <c r="O81" s="46">
        <f>N81/$N$82</f>
        <v>1</v>
      </c>
      <c r="P81" s="63">
        <f>O81*($B$82+$B$83)</f>
        <v>3273248</v>
      </c>
      <c r="Q81" s="50">
        <f t="shared" ref="Q81" si="13">+IF(P81&gt;M81,1,0)</f>
        <v>0</v>
      </c>
    </row>
    <row r="82" spans="1:17" s="55" customFormat="1" ht="12.75" x14ac:dyDescent="0.2">
      <c r="A82" s="22" t="s">
        <v>39</v>
      </c>
      <c r="B82" s="23">
        <f>C2</f>
        <v>3273248</v>
      </c>
      <c r="C82" s="51"/>
      <c r="D82" s="51"/>
      <c r="E82" s="51"/>
      <c r="F82" s="51"/>
      <c r="G82" s="51"/>
      <c r="H82" s="51"/>
      <c r="I82" s="51"/>
      <c r="J82" s="51"/>
      <c r="K82" s="51"/>
      <c r="L82" s="52"/>
      <c r="M82" s="51"/>
      <c r="N82" s="53">
        <f>SUM(N81:N81)</f>
        <v>18082922.88504117</v>
      </c>
      <c r="O82" s="64">
        <f>SUM(O81:O81)</f>
        <v>1</v>
      </c>
      <c r="P82" s="65">
        <f>SUM(P81:P81)</f>
        <v>3273248</v>
      </c>
      <c r="Q82" s="51"/>
    </row>
    <row r="83" spans="1:17" s="26" customFormat="1" ht="12.75" x14ac:dyDescent="0.2">
      <c r="A83" s="22" t="s">
        <v>40</v>
      </c>
      <c r="B83" s="23"/>
      <c r="C83" s="24"/>
      <c r="D83" s="24"/>
      <c r="E83" s="24"/>
      <c r="F83" s="24"/>
      <c r="G83" s="24"/>
      <c r="H83" s="24"/>
      <c r="I83" s="24"/>
      <c r="J83" s="24"/>
      <c r="K83" s="24"/>
      <c r="L83" s="25"/>
      <c r="M83" s="24"/>
      <c r="N83" s="24"/>
      <c r="O83" s="24"/>
      <c r="P83" s="59"/>
      <c r="Q83" s="24"/>
    </row>
    <row r="84" spans="1:17" s="26" customFormat="1" ht="12.75" x14ac:dyDescent="0.2">
      <c r="A84" s="24"/>
      <c r="B84" s="27"/>
      <c r="C84" s="24"/>
      <c r="D84" s="24"/>
      <c r="E84" s="24"/>
      <c r="F84" s="24"/>
      <c r="G84" s="24"/>
      <c r="H84" s="24"/>
      <c r="I84" s="24"/>
      <c r="J84" s="24"/>
      <c r="K84" s="24"/>
      <c r="L84" s="25"/>
      <c r="M84" s="24"/>
      <c r="N84" s="24"/>
      <c r="O84" s="24"/>
      <c r="P84" s="59"/>
      <c r="Q84" s="24"/>
    </row>
  </sheetData>
  <sheetProtection password="C9F9" sheet="1" objects="1" scenarios="1"/>
  <pageMargins left="0.25" right="0.25" top="0.75" bottom="0.75" header="0.3" footer="0.3"/>
  <pageSetup scale="53" fitToHeight="0" orientation="landscape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DSH FFY15 ALLOCATIONS</vt:lpstr>
      <vt:lpstr>'DSH FFY15 ALLOCATIONS'!Print_Titles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Morris</dc:creator>
  <cp:lastModifiedBy>Aaron Morris</cp:lastModifiedBy>
  <dcterms:created xsi:type="dcterms:W3CDTF">2014-11-06T14:25:18Z</dcterms:created>
  <dcterms:modified xsi:type="dcterms:W3CDTF">2014-11-06T14:42:35Z</dcterms:modified>
</cp:coreProperties>
</file>