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22 SHOPP final docs\For Website\"/>
    </mc:Choice>
  </mc:AlternateContent>
  <xr:revisionPtr revIDLastSave="0" documentId="13_ncr:1_{8AB1D046-ECF0-4ED2-B1F8-D171D2B5AD27}" xr6:coauthVersionLast="47" xr6:coauthVersionMax="47" xr10:uidLastSave="{00000000-0000-0000-0000-000000000000}"/>
  <bookViews>
    <workbookView xWindow="-108" yWindow="-108" windowWidth="23256" windowHeight="12576" activeTab="2" xr2:uid="{430999D4-76DF-4642-87E2-31C6D3C60654}"/>
  </bookViews>
  <sheets>
    <sheet name="2022 Hospital Access Payments" sheetId="2" r:id="rId1"/>
    <sheet name="2022 CAH Payments" sheetId="3" r:id="rId2"/>
    <sheet name="Hosp Payments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Tab2" localSheetId="2">#REF!</definedName>
    <definedName name="__Tab2">#REF!</definedName>
    <definedName name="_Fill" localSheetId="2" hidden="1">#REF!</definedName>
    <definedName name="_Fill" hidden="1">#REF!</definedName>
    <definedName name="_Key1" localSheetId="2" hidden="1">'[3]Hospital Facility Data'!#REF!</definedName>
    <definedName name="_Key1" hidden="1">'[3]Hospital Facility Data'!#REF!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Tab2" localSheetId="2">#REF!</definedName>
    <definedName name="_Tab2">#REF!</definedName>
    <definedName name="A" localSheetId="2">#REF!</definedName>
    <definedName name="A">#REF!</definedName>
    <definedName name="A_GME_wo_MC">[4]Hospital_Details!$A$158:$IV$158</definedName>
    <definedName name="AlphaList" localSheetId="2">#REF!</definedName>
    <definedName name="AlphaList">#REF!</definedName>
    <definedName name="B" localSheetId="2">#REF!</definedName>
    <definedName name="B">#REF!</definedName>
    <definedName name="B_GME_wo_MC">[4]Hospital_Details!$A$159:$IV$159</definedName>
    <definedName name="BaseLineMatrix" localSheetId="2">{1,2;3,4}</definedName>
    <definedName name="BaseLineMatrix">{1,2;3,4}</definedName>
    <definedName name="Bx" localSheetId="2">#REF!</definedName>
    <definedName name="Bx">#REF!</definedName>
    <definedName name="CCR_OUTPUT_SHOPP3" localSheetId="2">#REF!</definedName>
    <definedName name="CCR_OUTPUT_SHOPP3">#REF!</definedName>
    <definedName name="CCR_OUTPUT_SHOPP4" localSheetId="2">#REF!</definedName>
    <definedName name="CCR_OUTPUT_SHOPP4">#REF!</definedName>
    <definedName name="Cost_Add_Back">[4]Hospital_Details!$A$138:$IV$138</definedName>
    <definedName name="Cost_Red_Fact">[4]Hospital_Details!$A$137:$IV$137</definedName>
    <definedName name="d" localSheetId="2">#REF!</definedName>
    <definedName name="d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[4]Hospital_Details!$A$169:$IV$169</definedName>
    <definedName name="EY_11A">[4]Hospital_Details!$A$168:$IV$168</definedName>
    <definedName name="EY_18">[4]Hospital_Details!$A$172:$IV$172</definedName>
    <definedName name="EY_27">[4]Hospital_Details!$A$170:$IV$170</definedName>
    <definedName name="EY_29">[4]Hospital_Details!$A$171:$IV$171</definedName>
    <definedName name="F_1041">[4]Hospital_Details!$A$211:$IV$211</definedName>
    <definedName name="F_166">[4]Hospital_Details!$A$367:$IV$367</definedName>
    <definedName name="F_1818H1">[4]Hospital_Details!$A$312:$IV$312</definedName>
    <definedName name="F_1818H2">[4]Hospital_Details!$A$314:$IV$314</definedName>
    <definedName name="F_1818H3">[4]Hospital_Details!$A$315:$IV$315</definedName>
    <definedName name="F_1819AH1">[4]Hospital_Details!$A$318:$IV$318</definedName>
    <definedName name="F_1819AH2">[4]Hospital_Details!$A$319:$IV$319</definedName>
    <definedName name="F_1819AH3">[4]Hospital_Details!$A$320:$IV$320</definedName>
    <definedName name="F_1819H1">[4]Hospital_Details!$A$313:$IV$313</definedName>
    <definedName name="F_1820">[4]Hospital_Details!$A$300:$IV$300</definedName>
    <definedName name="F_1821">[4]Hospital_Details!$A$289:$IV$289</definedName>
    <definedName name="F_1826">[4]Hospital_Details!$A$26:$IV$26</definedName>
    <definedName name="F_1827" localSheetId="2">[4]Hospital_Details!#REF!</definedName>
    <definedName name="F_1827">[4]Hospital_Details!#REF!</definedName>
    <definedName name="F_1827x" localSheetId="2">[4]Hospital_Details!#REF!</definedName>
    <definedName name="F_1827x">[4]Hospital_Details!#REF!</definedName>
    <definedName name="F_1828">[4]Hospital_Details!$A$23:$IV$23</definedName>
    <definedName name="F_1833">[4]Hospital_Details!$A$22:$IV$22</definedName>
    <definedName name="F_1838">[4]Hospital_Details!$A$24:$IV$24</definedName>
    <definedName name="F_1838A">[4]Hospital_Details!$A$25:$IV$25</definedName>
    <definedName name="F_1854">[4]Hospital_Details!$A$64:$IV$64</definedName>
    <definedName name="F_1861">[4]Hospital_Details!$A$70:$IV$70</definedName>
    <definedName name="F_1861A">[4]Hospital_Details!$A$71:$IV$71</definedName>
    <definedName name="F_1875">[4]Hospital_Details!$A$65:$IV$65</definedName>
    <definedName name="F_1882">[4]Hospital_Details!$A$72:$IV$72</definedName>
    <definedName name="F_1882A">[4]Hospital_Details!$A$73:$IV$73</definedName>
    <definedName name="F_1896">[4]Hospital_Details!$A$66:$IV$66</definedName>
    <definedName name="F_1903">[4]Hospital_Details!$A$74:$IV$74</definedName>
    <definedName name="F_1903A">[4]Hospital_Details!$A$75:$IV$75</definedName>
    <definedName name="F_1912">[4]Hospital_Details!$A$61:$IV$61</definedName>
    <definedName name="F_1915">[4]Hospital_Details!$A$88:$IV$88</definedName>
    <definedName name="F_1917">[4]Hospital_Details!$A$62:$IV$62</definedName>
    <definedName name="F_1920">[4]Hospital_Details!$A$89:$IV$89</definedName>
    <definedName name="F_1922">[4]Hospital_Details!$A$63:$IV$63</definedName>
    <definedName name="F_1925">[4]Hospital_Details!$A$90:$IV$90</definedName>
    <definedName name="F_1946">[4]Hospital_Details!$A$187:$IV$187</definedName>
    <definedName name="F_1946x">[4]Hospital_Details!$A$188:$IV$188</definedName>
    <definedName name="F_1950">[4]Hospital_Details!$A$189:$IV$189</definedName>
    <definedName name="F_1950A">[4]Hospital_Details!$A$190:$IV$190</definedName>
    <definedName name="F_1962">[4]Hospital_Details!$A$204:$IV$204</definedName>
    <definedName name="F_1962x">[4]Hospital_Details!$A$205:$IV$205</definedName>
    <definedName name="F_1966">[4]Hospital_Details!$A$206:$IV$206</definedName>
    <definedName name="F_1966A">[4]Hospital_Details!$A$207:$IV$207</definedName>
    <definedName name="F_949">[4]Hospital_Details!$A$38:$IV$38</definedName>
    <definedName name="F_995">[4]Hospital_Details!$A$194:$IV$194</definedName>
    <definedName name="FORMULA_A">[4]Hospital_Details!$A$163:$IV$163</definedName>
    <definedName name="FORMULA_B">[4]Hospital_Details!$A$164:$IV$164</definedName>
    <definedName name="FORMULA_C">[4]Hospital_Details!$A$165:$IV$165</definedName>
    <definedName name="FORMULA_D">[4]Hospital_Details!$A$174:$IV$174</definedName>
    <definedName name="FORMULA_T">[4]Hospital_Details!$A$28:$IV$28</definedName>
    <definedName name="GME_COST">[4]Hospital_Details!$A$161:$IV$161</definedName>
    <definedName name="GME_GL">[4]Hospital_Details!$A$179:$IV$179</definedName>
    <definedName name="GME_MGN">[4]Hospital_Details!$A$181:$IV$181</definedName>
    <definedName name="GME_REV">[4]Hospital_Details!$A$153:$IV$153</definedName>
    <definedName name="H_109">[4]Hospital_Details!$A$220:$IV$220</definedName>
    <definedName name="H_110">[4]Hospital_Details!$A$221:$IV$221</definedName>
    <definedName name="H_111">[4]Hospital_Details!$A$222:$IV$222</definedName>
    <definedName name="H_133">[4]Hospital_Details!$A$167:$IV$167</definedName>
    <definedName name="H_134">[4]Hospital_Details!$A$175:$IV$175</definedName>
    <definedName name="H_135">[4]Hospital_Details!$A$176:$IV$176</definedName>
    <definedName name="H_136">[4]Hospital_Details!$A$155:$IV$155</definedName>
    <definedName name="H_137">[4]Hospital_Details!$A$156:$IV$156</definedName>
    <definedName name="H_170">[4]Hospital_Details!$A$247:$IV$247</definedName>
    <definedName name="H_171">[4]Hospital_Details!$A$248:$IV$248</definedName>
    <definedName name="H_172">[4]Hospital_Details!$A$249:$IV$249</definedName>
    <definedName name="H_173">[4]Hospital_Details!$A$239:$IV$239</definedName>
    <definedName name="H_174">[4]Hospital_Details!$A$240:$IV$240</definedName>
    <definedName name="H_180">[4]Hospital_Details!$A$369:$IV$369</definedName>
    <definedName name="H_183">[4]Hospital_Details!$A$118:$IV$118</definedName>
    <definedName name="H_187">[4]Hospital_Details!$A$177:$IV$177</definedName>
    <definedName name="H_190">[4]Hospital_Details!$A$241:$IV$241</definedName>
    <definedName name="H_219">[4]Hospital_Details!$A$258:$IV$258</definedName>
    <definedName name="H_236">[4]Hospital_Details!$A$328:$IV$328</definedName>
    <definedName name="H_236_A" localSheetId="2">[4]Hospital_Details!#REF!</definedName>
    <definedName name="H_236_A">[4]Hospital_Details!#REF!</definedName>
    <definedName name="H_237">[4]Hospital_Details!$A$242:$IV$242</definedName>
    <definedName name="H_238">[4]Hospital_Details!$A$243:$IV$243</definedName>
    <definedName name="H_33">[4]Hospital_Details!$A$134:$IV$134</definedName>
    <definedName name="H_331">[4]Hospital_Details!$A$115:$IV$115</definedName>
    <definedName name="H_332">[4]Hospital_Details!$A$123:$IV$123</definedName>
    <definedName name="H_333">[4]Hospital_Details!$A$130:$IV$130</definedName>
    <definedName name="H_336">[4]Hospital_Details!$A$67:$IV$67</definedName>
    <definedName name="H_337">[4]Hospital_Details!$A$68:$IV$68</definedName>
    <definedName name="H_338">[4]Hospital_Details!$A$69:$IV$69</definedName>
    <definedName name="H_36">[4]Hospital_Details!$A$135:$IV$135</definedName>
    <definedName name="H_47">[4]Hospital_Details!$A$226:$IV$226</definedName>
    <definedName name="H_48">[4]Hospital_Details!$A$227:$IV$227</definedName>
    <definedName name="H_51">[4]Hospital_Details!$A$111:$IV$111</definedName>
    <definedName name="H_52">[4]Hospital_Details!$A$112:$IV$112</definedName>
    <definedName name="H_53">[4]Hospital_Details!$A$113:$IV$113</definedName>
    <definedName name="H_532">[4]Hospital_Details!$A$259:$IV$259</definedName>
    <definedName name="H_553">[4]Hospital_Details!$A$116:$IV$116</definedName>
    <definedName name="H_554">[4]Hospital_Details!$A$124:$IV$124</definedName>
    <definedName name="H_555">[4]Hospital_Details!$A$131:$IV$131</definedName>
    <definedName name="H_556">[4]Hospital_Details!$A$117:$IV$117</definedName>
    <definedName name="H_557">[4]Hospital_Details!$A$125:$IV$125</definedName>
    <definedName name="H_558">[4]Hospital_Details!$A$132:$IV$132</definedName>
    <definedName name="H_559">[4]Hospital_Details!$A$76:$IV$76</definedName>
    <definedName name="H_56">[4]Hospital_Details!$A$114:$IV$114</definedName>
    <definedName name="H_560">[4]Hospital_Details!$A$79:$IV$79</definedName>
    <definedName name="H_561">[4]Hospital_Details!$A$82:$IV$82</definedName>
    <definedName name="H_562">[4]Hospital_Details!$A$85:$IV$85</definedName>
    <definedName name="H_563">[4]Hospital_Details!$A$77:$IV$77</definedName>
    <definedName name="H_564">[4]Hospital_Details!$A$80:$IV$80</definedName>
    <definedName name="H_565">[4]Hospital_Details!$A$83:$IV$83</definedName>
    <definedName name="H_566">[4]Hospital_Details!$A$86:$IV$86</definedName>
    <definedName name="H_567">[4]Hospital_Details!$A$78:$IV$78</definedName>
    <definedName name="H_568">[4]Hospital_Details!$A$81:$IV$81</definedName>
    <definedName name="H_569">[4]Hospital_Details!$A$84:$IV$84</definedName>
    <definedName name="H_57">[4]Hospital_Details!$A$119:$IV$119</definedName>
    <definedName name="H_570">[4]Hospital_Details!$A$87:$IV$87</definedName>
    <definedName name="H_58">[4]Hospital_Details!$A$120:$IV$120</definedName>
    <definedName name="H_580">[4]Hospital_Details!$A$133:$IV$133</definedName>
    <definedName name="H_581">[4]Hospital_Details!$A$157:$IV$157</definedName>
    <definedName name="H_59">[4]Hospital_Details!$A$121:$IV$121</definedName>
    <definedName name="H_60">[4]Hospital_Details!$A$122:$IV$122</definedName>
    <definedName name="H_61">[4]Hospital_Details!$A$126:$IV$126</definedName>
    <definedName name="H_62">[4]Hospital_Details!$A$127:$IV$127</definedName>
    <definedName name="H_626">[4]Hospital_Details!$A$32:$IV$32</definedName>
    <definedName name="H_627" localSheetId="2">[4]Hospital_Details!#REF!</definedName>
    <definedName name="H_627">[4]Hospital_Details!#REF!</definedName>
    <definedName name="H_628" localSheetId="2">[4]Hospital_Details!#REF!</definedName>
    <definedName name="H_628">[4]Hospital_Details!#REF!</definedName>
    <definedName name="H_63">[4]Hospital_Details!$A$128:$IV$128</definedName>
    <definedName name="H_64">[4]Hospital_Details!$A$129:$IV$129</definedName>
    <definedName name="H_65">[4]Hospital_Details!$A$39:$IV$39</definedName>
    <definedName name="H_66">[4]Hospital_Details!$A$40:$IV$40</definedName>
    <definedName name="H_67">[4]Hospital_Details!$A$41:$IV$41</definedName>
    <definedName name="H_68">[4]Hospital_Details!$A$42:$IV$42</definedName>
    <definedName name="H_805" localSheetId="2">[4]Hospital_Details!#REF!</definedName>
    <definedName name="H_805">[4]Hospital_Details!#REF!</definedName>
    <definedName name="H_806" localSheetId="2">[4]Hospital_Details!#REF!</definedName>
    <definedName name="H_806">[4]Hospital_Details!#REF!</definedName>
    <definedName name="H_83">[4]Hospital_Details!$A$368:$IV$368</definedName>
    <definedName name="H_93" localSheetId="2">[4]Hospital_Details!#REF!</definedName>
    <definedName name="H_93">[4]Hospital_Details!#REF!</definedName>
    <definedName name="HHA_COST">[4]Hospital_Details!$A$245:$IV$245</definedName>
    <definedName name="HHA_GL">[4]Hospital_Details!$A$251:$IV$251</definedName>
    <definedName name="HHA_REV">[4]Hospital_Details!$A$234:$IV$234</definedName>
    <definedName name="HospName" localSheetId="2">#REF!</definedName>
    <definedName name="HospName">#REF!</definedName>
    <definedName name="HospNum" localSheetId="2">#REF!</definedName>
    <definedName name="HospNum">#REF!</definedName>
    <definedName name="HTML_CodePage" hidden="1">1252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[4]Hospital_Details!$B$302</definedName>
    <definedName name="IME_FFS">[4]Hospital_Details!$A$301:$IV$301</definedName>
    <definedName name="INLIER_SIM_MC_PMTS">[4]Hospital_Details!$A$306:$IV$306</definedName>
    <definedName name="INP_COST">[4]Hospital_Details!$A$35:$IV$35</definedName>
    <definedName name="INP_GL">[4]Hospital_Details!$A$50:$IV$50</definedName>
    <definedName name="INP_GL_NODSH">[4]Hospital_Details!$A$291:$IV$291</definedName>
    <definedName name="INP_GL_NODSH_IME2.7">[4]Hospital_Details!$A$331:$IV$331</definedName>
    <definedName name="INP_GL_NODSH_IME3.2">[4]Hospital_Details!$A$331:$IV$331</definedName>
    <definedName name="INP_REV">[4]Hospital_Details!$A$19:$IV$19</definedName>
    <definedName name="INP_REV_NODSH">[4]Hospital_Details!$A$286:$IV$286</definedName>
    <definedName name="INP_REV_NODSH_IME2.7">[4]Hospital_Details!$A$296:$IV$296</definedName>
    <definedName name="INP_REV_NODSH_IME3.2">[4]Hospital_Details!$A$296:$IV$296</definedName>
    <definedName name="IRB">[4]Hospital_Details!$C$329</definedName>
    <definedName name="MCpct_103">[4]Hospital_Details!$A$323:$IV$323</definedName>
    <definedName name="MCpct_104">[4]Hospital_Details!$A$324:$IV$324</definedName>
    <definedName name="MCpct_105">[4]Hospital_Details!$A$325:$IV$325</definedName>
    <definedName name="MyName">"Ashton"</definedName>
    <definedName name="OkDataSet" localSheetId="2">#REF!</definedName>
    <definedName name="OkDataSet">#REF!</definedName>
    <definedName name="OKLAHOMA" localSheetId="2">#REF!</definedName>
    <definedName name="OKLAHOMA">#REF!</definedName>
    <definedName name="OUT_COST">[4]Hospital_Details!$A$109:$IV$109</definedName>
    <definedName name="OUT_GL">[4]Hospital_Details!$A$148:$IV$148</definedName>
    <definedName name="OUT_REV">[4]Hospital_Details!$A$55:$IV$55</definedName>
    <definedName name="PaymentDataSet" localSheetId="2">#REF!</definedName>
    <definedName name="PaymentDataSet">#REF!</definedName>
    <definedName name="Print_Area_1" localSheetId="2">#REF!</definedName>
    <definedName name="Print_Area_1">#REF!</definedName>
    <definedName name="Print_Area_MI">'[5]table 2.5'!$B$4:$T$154</definedName>
    <definedName name="PUBUSE" localSheetId="2">#REF!</definedName>
    <definedName name="PUBUSE">#REF!</definedName>
    <definedName name="q_sum_ex" localSheetId="2">#REF!</definedName>
    <definedName name="q_sum_ex">#REF!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[4]Hospital_Details!$A$310:$IV$310</definedName>
    <definedName name="SNF_COST">[4]Hospital_Details!$A$224:$IV$224</definedName>
    <definedName name="SNF_GL">[4]Hospital_Details!$A$229:$IV$229</definedName>
    <definedName name="SNF_REV">[4]Hospital_Details!$A$218:$IV$218</definedName>
    <definedName name="SUB_I_COST">[4]Hospital_Details!$A$192:$IV$192</definedName>
    <definedName name="SUB_I_GL">[4]Hospital_Details!$A$196:$IV$196</definedName>
    <definedName name="SUB_I_REV">[4]Hospital_Details!$A$184:$IV$184</definedName>
    <definedName name="SUB_II_COST">[4]Hospital_Details!$A$209:$IV$209</definedName>
    <definedName name="SUB_II_GL">[4]Hospital_Details!$A$213:$IV$213</definedName>
    <definedName name="SUB_II_REV">[4]Hospital_Details!$A$201:$IV$201</definedName>
    <definedName name="SWING_COST">[4]Hospital_Details!$A$261:$IV$261</definedName>
    <definedName name="SWING_GL">[4]Hospital_Details!$A$281:$IV$281</definedName>
    <definedName name="SWING_MGN">[4]Hospital_Details!$A$283:$IV$283</definedName>
    <definedName name="SWING_REV">[4]Hospital_Details!$A$256:$IV$256</definedName>
    <definedName name="TABLE4J_FY07" localSheetId="2">#REF!</definedName>
    <definedName name="TABLE4J_FY07">#REF!</definedName>
    <definedName name="TaxDataSet" localSheetId="2">#REF!</definedName>
    <definedName name="TaxDataSet">#REF!</definedName>
    <definedName name="TOT_COST">[4]Hospital_Details!$A$14:$IV$14</definedName>
    <definedName name="TOT_GL">[4]Hospital_Details!$A$15:$IV$15</definedName>
    <definedName name="TOT_REV">[4]Hospital_Details!$A$13:$IV$13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3" l="1"/>
  <c r="R41" i="3"/>
  <c r="O41" i="3"/>
  <c r="N41" i="3"/>
  <c r="K41" i="3"/>
  <c r="J41" i="3"/>
  <c r="G41" i="3"/>
  <c r="F41" i="3"/>
  <c r="T40" i="3"/>
  <c r="P40" i="3"/>
  <c r="L40" i="3"/>
  <c r="H40" i="3"/>
  <c r="A40" i="3"/>
  <c r="T39" i="3"/>
  <c r="P39" i="3"/>
  <c r="L39" i="3"/>
  <c r="H39" i="3"/>
  <c r="A39" i="3"/>
  <c r="T38" i="3"/>
  <c r="P38" i="3"/>
  <c r="L38" i="3"/>
  <c r="H38" i="3"/>
  <c r="A38" i="3"/>
  <c r="T37" i="3"/>
  <c r="P37" i="3"/>
  <c r="L37" i="3"/>
  <c r="H37" i="3"/>
  <c r="A37" i="3"/>
  <c r="T36" i="3"/>
  <c r="P36" i="3"/>
  <c r="L36" i="3"/>
  <c r="H36" i="3"/>
  <c r="T35" i="3"/>
  <c r="P35" i="3"/>
  <c r="L35" i="3"/>
  <c r="H35" i="3"/>
  <c r="A35" i="3"/>
  <c r="T34" i="3"/>
  <c r="P34" i="3"/>
  <c r="L34" i="3"/>
  <c r="H34" i="3"/>
  <c r="A34" i="3"/>
  <c r="T33" i="3"/>
  <c r="P33" i="3"/>
  <c r="L33" i="3"/>
  <c r="H33" i="3"/>
  <c r="A33" i="3"/>
  <c r="T32" i="3"/>
  <c r="P32" i="3"/>
  <c r="L32" i="3"/>
  <c r="H32" i="3"/>
  <c r="A32" i="3"/>
  <c r="T31" i="3"/>
  <c r="P31" i="3"/>
  <c r="L31" i="3"/>
  <c r="H31" i="3"/>
  <c r="A31" i="3"/>
  <c r="T30" i="3"/>
  <c r="P30" i="3"/>
  <c r="L30" i="3"/>
  <c r="H30" i="3"/>
  <c r="A30" i="3"/>
  <c r="T29" i="3"/>
  <c r="P29" i="3"/>
  <c r="L29" i="3"/>
  <c r="H29" i="3"/>
  <c r="A29" i="3"/>
  <c r="T28" i="3"/>
  <c r="P28" i="3"/>
  <c r="L28" i="3"/>
  <c r="H28" i="3"/>
  <c r="A28" i="3"/>
  <c r="T27" i="3"/>
  <c r="P27" i="3"/>
  <c r="L27" i="3"/>
  <c r="H27" i="3"/>
  <c r="A27" i="3"/>
  <c r="T26" i="3"/>
  <c r="P26" i="3"/>
  <c r="L26" i="3"/>
  <c r="H26" i="3"/>
  <c r="A26" i="3"/>
  <c r="T25" i="3"/>
  <c r="P25" i="3"/>
  <c r="L25" i="3"/>
  <c r="H25" i="3"/>
  <c r="A25" i="3"/>
  <c r="T24" i="3"/>
  <c r="P24" i="3"/>
  <c r="L24" i="3"/>
  <c r="H24" i="3"/>
  <c r="A24" i="3"/>
  <c r="T23" i="3"/>
  <c r="P23" i="3"/>
  <c r="L23" i="3"/>
  <c r="H23" i="3"/>
  <c r="A23" i="3"/>
  <c r="T22" i="3"/>
  <c r="P22" i="3"/>
  <c r="L22" i="3"/>
  <c r="H22" i="3"/>
  <c r="A22" i="3"/>
  <c r="T21" i="3"/>
  <c r="P21" i="3"/>
  <c r="L21" i="3"/>
  <c r="H21" i="3"/>
  <c r="A21" i="3"/>
  <c r="T20" i="3"/>
  <c r="P20" i="3"/>
  <c r="L20" i="3"/>
  <c r="H20" i="3"/>
  <c r="A20" i="3"/>
  <c r="T19" i="3"/>
  <c r="P19" i="3"/>
  <c r="L19" i="3"/>
  <c r="H19" i="3"/>
  <c r="A19" i="3"/>
  <c r="T18" i="3"/>
  <c r="P18" i="3"/>
  <c r="L18" i="3"/>
  <c r="H18" i="3"/>
  <c r="A18" i="3"/>
  <c r="T17" i="3"/>
  <c r="P17" i="3"/>
  <c r="L17" i="3"/>
  <c r="H17" i="3"/>
  <c r="A17" i="3"/>
  <c r="T16" i="3"/>
  <c r="P16" i="3"/>
  <c r="L16" i="3"/>
  <c r="H16" i="3"/>
  <c r="A16" i="3"/>
  <c r="T15" i="3"/>
  <c r="P15" i="3"/>
  <c r="L15" i="3"/>
  <c r="H15" i="3"/>
  <c r="A15" i="3"/>
  <c r="T14" i="3"/>
  <c r="P14" i="3"/>
  <c r="L14" i="3"/>
  <c r="H14" i="3"/>
  <c r="A14" i="3"/>
  <c r="T13" i="3"/>
  <c r="P13" i="3"/>
  <c r="L13" i="3"/>
  <c r="H13" i="3"/>
  <c r="A13" i="3"/>
  <c r="T12" i="3"/>
  <c r="P12" i="3"/>
  <c r="L12" i="3"/>
  <c r="H12" i="3"/>
  <c r="A12" i="3"/>
  <c r="T11" i="3"/>
  <c r="P11" i="3"/>
  <c r="L11" i="3"/>
  <c r="H11" i="3"/>
  <c r="A11" i="3"/>
  <c r="T10" i="3"/>
  <c r="P10" i="3"/>
  <c r="L10" i="3"/>
  <c r="H10" i="3"/>
  <c r="T9" i="3"/>
  <c r="P9" i="3"/>
  <c r="L9" i="3"/>
  <c r="H9" i="3"/>
  <c r="A9" i="3"/>
  <c r="T8" i="3"/>
  <c r="P8" i="3"/>
  <c r="L8" i="3"/>
  <c r="H8" i="3"/>
  <c r="A8" i="3"/>
  <c r="T7" i="3"/>
  <c r="P7" i="3"/>
  <c r="L7" i="3"/>
  <c r="H7" i="3"/>
  <c r="A7" i="3"/>
  <c r="T6" i="3"/>
  <c r="P6" i="3"/>
  <c r="L6" i="3"/>
  <c r="H6" i="3"/>
  <c r="T5" i="3"/>
  <c r="P5" i="3"/>
  <c r="L5" i="3"/>
  <c r="H5" i="3"/>
  <c r="T4" i="3"/>
  <c r="P4" i="3"/>
  <c r="L4" i="3"/>
  <c r="H4" i="3"/>
  <c r="T3" i="3"/>
  <c r="P3" i="3"/>
  <c r="L3" i="3"/>
  <c r="H3" i="3"/>
  <c r="A3" i="3"/>
  <c r="T2" i="3"/>
  <c r="P2" i="3"/>
  <c r="L2" i="3"/>
  <c r="H2" i="3"/>
  <c r="A2" i="3"/>
  <c r="W71" i="2"/>
  <c r="S71" i="2"/>
  <c r="O71" i="2"/>
  <c r="O73" i="2" s="1"/>
  <c r="K71" i="2"/>
  <c r="K73" i="2" s="1"/>
  <c r="G71" i="2"/>
  <c r="G73" i="2" s="1"/>
  <c r="F71" i="2"/>
  <c r="X70" i="2"/>
  <c r="T70" i="2"/>
  <c r="P70" i="2"/>
  <c r="L70" i="2"/>
  <c r="H70" i="2"/>
  <c r="A70" i="2"/>
  <c r="X69" i="2"/>
  <c r="T69" i="2"/>
  <c r="P69" i="2"/>
  <c r="L69" i="2"/>
  <c r="H69" i="2"/>
  <c r="A69" i="2"/>
  <c r="X68" i="2"/>
  <c r="T68" i="2"/>
  <c r="P68" i="2"/>
  <c r="L68" i="2"/>
  <c r="H68" i="2"/>
  <c r="A68" i="2"/>
  <c r="X67" i="2"/>
  <c r="T67" i="2"/>
  <c r="P67" i="2"/>
  <c r="L67" i="2"/>
  <c r="H67" i="2"/>
  <c r="A67" i="2"/>
  <c r="X66" i="2"/>
  <c r="T66" i="2"/>
  <c r="P66" i="2"/>
  <c r="L66" i="2"/>
  <c r="H66" i="2"/>
  <c r="A66" i="2"/>
  <c r="X65" i="2"/>
  <c r="T65" i="2"/>
  <c r="P65" i="2"/>
  <c r="L65" i="2"/>
  <c r="H65" i="2"/>
  <c r="A65" i="2"/>
  <c r="X64" i="2"/>
  <c r="T64" i="2"/>
  <c r="P64" i="2"/>
  <c r="L64" i="2"/>
  <c r="H64" i="2"/>
  <c r="A64" i="2"/>
  <c r="X63" i="2"/>
  <c r="T63" i="2"/>
  <c r="P63" i="2"/>
  <c r="L63" i="2"/>
  <c r="H63" i="2"/>
  <c r="A63" i="2"/>
  <c r="X62" i="2"/>
  <c r="T62" i="2"/>
  <c r="P62" i="2"/>
  <c r="L62" i="2"/>
  <c r="H62" i="2"/>
  <c r="A62" i="2"/>
  <c r="X61" i="2"/>
  <c r="T61" i="2"/>
  <c r="P61" i="2"/>
  <c r="L61" i="2"/>
  <c r="H61" i="2"/>
  <c r="A61" i="2"/>
  <c r="X60" i="2"/>
  <c r="T60" i="2"/>
  <c r="P60" i="2"/>
  <c r="L60" i="2"/>
  <c r="H60" i="2"/>
  <c r="A60" i="2"/>
  <c r="X59" i="2"/>
  <c r="T59" i="2"/>
  <c r="P59" i="2"/>
  <c r="L59" i="2"/>
  <c r="H59" i="2"/>
  <c r="A59" i="2"/>
  <c r="X58" i="2"/>
  <c r="T58" i="2"/>
  <c r="P58" i="2"/>
  <c r="L58" i="2"/>
  <c r="H58" i="2"/>
  <c r="A58" i="2"/>
  <c r="X57" i="2"/>
  <c r="T57" i="2"/>
  <c r="P57" i="2"/>
  <c r="L57" i="2"/>
  <c r="H57" i="2"/>
  <c r="A57" i="2"/>
  <c r="X56" i="2"/>
  <c r="T56" i="2"/>
  <c r="P56" i="2"/>
  <c r="L56" i="2"/>
  <c r="H56" i="2"/>
  <c r="A56" i="2"/>
  <c r="X55" i="2"/>
  <c r="T55" i="2"/>
  <c r="P55" i="2"/>
  <c r="L55" i="2"/>
  <c r="H55" i="2"/>
  <c r="A55" i="2"/>
  <c r="V54" i="2"/>
  <c r="X54" i="2" s="1"/>
  <c r="R54" i="2"/>
  <c r="T54" i="2" s="1"/>
  <c r="N54" i="2"/>
  <c r="P54" i="2" s="1"/>
  <c r="J54" i="2"/>
  <c r="L54" i="2" s="1"/>
  <c r="H54" i="2"/>
  <c r="A54" i="2"/>
  <c r="X53" i="2"/>
  <c r="T53" i="2"/>
  <c r="P53" i="2"/>
  <c r="L53" i="2"/>
  <c r="H53" i="2"/>
  <c r="A53" i="2"/>
  <c r="X52" i="2"/>
  <c r="T52" i="2"/>
  <c r="P52" i="2"/>
  <c r="L52" i="2"/>
  <c r="H52" i="2"/>
  <c r="A52" i="2"/>
  <c r="X51" i="2"/>
  <c r="T51" i="2"/>
  <c r="P51" i="2"/>
  <c r="L51" i="2"/>
  <c r="H51" i="2"/>
  <c r="A51" i="2"/>
  <c r="X50" i="2"/>
  <c r="T50" i="2"/>
  <c r="P50" i="2"/>
  <c r="L50" i="2"/>
  <c r="H50" i="2"/>
  <c r="A50" i="2"/>
  <c r="X49" i="2"/>
  <c r="T49" i="2"/>
  <c r="P49" i="2"/>
  <c r="L49" i="2"/>
  <c r="H49" i="2"/>
  <c r="A49" i="2"/>
  <c r="X48" i="2"/>
  <c r="T48" i="2"/>
  <c r="P48" i="2"/>
  <c r="L48" i="2"/>
  <c r="H48" i="2"/>
  <c r="A48" i="2"/>
  <c r="X47" i="2"/>
  <c r="T47" i="2"/>
  <c r="P47" i="2"/>
  <c r="L47" i="2"/>
  <c r="H47" i="2"/>
  <c r="A47" i="2"/>
  <c r="X46" i="2"/>
  <c r="T46" i="2"/>
  <c r="P46" i="2"/>
  <c r="L46" i="2"/>
  <c r="H46" i="2"/>
  <c r="A46" i="2"/>
  <c r="V45" i="2"/>
  <c r="X45" i="2" s="1"/>
  <c r="R45" i="2"/>
  <c r="T45" i="2" s="1"/>
  <c r="N45" i="2"/>
  <c r="P45" i="2" s="1"/>
  <c r="J45" i="2"/>
  <c r="L45" i="2" s="1"/>
  <c r="H45" i="2"/>
  <c r="A45" i="2"/>
  <c r="V44" i="2"/>
  <c r="X44" i="2" s="1"/>
  <c r="R44" i="2"/>
  <c r="T44" i="2" s="1"/>
  <c r="N44" i="2"/>
  <c r="P44" i="2" s="1"/>
  <c r="J44" i="2"/>
  <c r="L44" i="2" s="1"/>
  <c r="H44" i="2"/>
  <c r="A44" i="2"/>
  <c r="X43" i="2"/>
  <c r="T43" i="2"/>
  <c r="P43" i="2"/>
  <c r="L43" i="2"/>
  <c r="H43" i="2"/>
  <c r="A43" i="2"/>
  <c r="X42" i="2"/>
  <c r="T42" i="2"/>
  <c r="P42" i="2"/>
  <c r="L42" i="2"/>
  <c r="H42" i="2"/>
  <c r="A42" i="2"/>
  <c r="X41" i="2"/>
  <c r="T41" i="2"/>
  <c r="P41" i="2"/>
  <c r="L41" i="2"/>
  <c r="H41" i="2"/>
  <c r="A41" i="2"/>
  <c r="X40" i="2"/>
  <c r="T40" i="2"/>
  <c r="P40" i="2"/>
  <c r="L40" i="2"/>
  <c r="H40" i="2"/>
  <c r="A40" i="2"/>
  <c r="X39" i="2"/>
  <c r="T39" i="2"/>
  <c r="P39" i="2"/>
  <c r="L39" i="2"/>
  <c r="H39" i="2"/>
  <c r="A39" i="2"/>
  <c r="X38" i="2"/>
  <c r="T38" i="2"/>
  <c r="P38" i="2"/>
  <c r="L38" i="2"/>
  <c r="H38" i="2"/>
  <c r="A38" i="2"/>
  <c r="V37" i="2"/>
  <c r="X37" i="2" s="1"/>
  <c r="R37" i="2"/>
  <c r="T37" i="2" s="1"/>
  <c r="N37" i="2"/>
  <c r="P37" i="2" s="1"/>
  <c r="J37" i="2"/>
  <c r="L37" i="2" s="1"/>
  <c r="H37" i="2"/>
  <c r="A37" i="2"/>
  <c r="X36" i="2"/>
  <c r="T36" i="2"/>
  <c r="P36" i="2"/>
  <c r="L36" i="2"/>
  <c r="H36" i="2"/>
  <c r="A36" i="2"/>
  <c r="X35" i="2"/>
  <c r="T35" i="2"/>
  <c r="P35" i="2"/>
  <c r="L35" i="2"/>
  <c r="H35" i="2"/>
  <c r="X34" i="2"/>
  <c r="T34" i="2"/>
  <c r="P34" i="2"/>
  <c r="L34" i="2"/>
  <c r="H34" i="2"/>
  <c r="A34" i="2"/>
  <c r="X33" i="2"/>
  <c r="T33" i="2"/>
  <c r="P33" i="2"/>
  <c r="L33" i="2"/>
  <c r="H33" i="2"/>
  <c r="A33" i="2"/>
  <c r="X32" i="2"/>
  <c r="T32" i="2"/>
  <c r="P32" i="2"/>
  <c r="L32" i="2"/>
  <c r="H32" i="2"/>
  <c r="X31" i="2"/>
  <c r="T31" i="2"/>
  <c r="P31" i="2"/>
  <c r="L31" i="2"/>
  <c r="H31" i="2"/>
  <c r="A31" i="2"/>
  <c r="X30" i="2"/>
  <c r="T30" i="2"/>
  <c r="P30" i="2"/>
  <c r="L30" i="2"/>
  <c r="H30" i="2"/>
  <c r="A30" i="2"/>
  <c r="X29" i="2"/>
  <c r="T29" i="2"/>
  <c r="P29" i="2"/>
  <c r="L29" i="2"/>
  <c r="H29" i="2"/>
  <c r="A29" i="2"/>
  <c r="X28" i="2"/>
  <c r="T28" i="2"/>
  <c r="P28" i="2"/>
  <c r="L28" i="2"/>
  <c r="H28" i="2"/>
  <c r="A28" i="2"/>
  <c r="X27" i="2"/>
  <c r="T27" i="2"/>
  <c r="P27" i="2"/>
  <c r="L27" i="2"/>
  <c r="H27" i="2"/>
  <c r="A27" i="2"/>
  <c r="X26" i="2"/>
  <c r="T26" i="2"/>
  <c r="P26" i="2"/>
  <c r="L26" i="2"/>
  <c r="H26" i="2"/>
  <c r="A26" i="2"/>
  <c r="X25" i="2"/>
  <c r="T25" i="2"/>
  <c r="P25" i="2"/>
  <c r="L25" i="2"/>
  <c r="H25" i="2"/>
  <c r="A25" i="2"/>
  <c r="X24" i="2"/>
  <c r="T24" i="2"/>
  <c r="P24" i="2"/>
  <c r="L24" i="2"/>
  <c r="H24" i="2"/>
  <c r="A24" i="2"/>
  <c r="X23" i="2"/>
  <c r="T23" i="2"/>
  <c r="P23" i="2"/>
  <c r="L23" i="2"/>
  <c r="H23" i="2"/>
  <c r="A23" i="2"/>
  <c r="X22" i="2"/>
  <c r="T22" i="2"/>
  <c r="P22" i="2"/>
  <c r="L22" i="2"/>
  <c r="H22" i="2"/>
  <c r="A22" i="2"/>
  <c r="X21" i="2"/>
  <c r="T21" i="2"/>
  <c r="P21" i="2"/>
  <c r="L21" i="2"/>
  <c r="H21" i="2"/>
  <c r="A21" i="2"/>
  <c r="X20" i="2"/>
  <c r="T20" i="2"/>
  <c r="P20" i="2"/>
  <c r="L20" i="2"/>
  <c r="H20" i="2"/>
  <c r="A20" i="2"/>
  <c r="X19" i="2"/>
  <c r="T19" i="2"/>
  <c r="P19" i="2"/>
  <c r="L19" i="2"/>
  <c r="H19" i="2"/>
  <c r="A19" i="2"/>
  <c r="X18" i="2"/>
  <c r="T18" i="2"/>
  <c r="P18" i="2"/>
  <c r="L18" i="2"/>
  <c r="H18" i="2"/>
  <c r="A18" i="2"/>
  <c r="X17" i="2"/>
  <c r="T17" i="2"/>
  <c r="P17" i="2"/>
  <c r="L17" i="2"/>
  <c r="H17" i="2"/>
  <c r="A17" i="2"/>
  <c r="V16" i="2"/>
  <c r="X16" i="2" s="1"/>
  <c r="R16" i="2"/>
  <c r="T16" i="2" s="1"/>
  <c r="N16" i="2"/>
  <c r="P16" i="2" s="1"/>
  <c r="J16" i="2"/>
  <c r="L16" i="2" s="1"/>
  <c r="H16" i="2"/>
  <c r="A16" i="2"/>
  <c r="V15" i="2"/>
  <c r="R15" i="2"/>
  <c r="N15" i="2"/>
  <c r="J15" i="2"/>
  <c r="H15" i="2"/>
  <c r="A15" i="2"/>
  <c r="X14" i="2"/>
  <c r="T14" i="2"/>
  <c r="P14" i="2"/>
  <c r="L14" i="2"/>
  <c r="H14" i="2"/>
  <c r="A14" i="2"/>
  <c r="X13" i="2"/>
  <c r="T13" i="2"/>
  <c r="P13" i="2"/>
  <c r="L13" i="2"/>
  <c r="H13" i="2"/>
  <c r="A13" i="2"/>
  <c r="X12" i="2"/>
  <c r="T12" i="2"/>
  <c r="P12" i="2"/>
  <c r="L12" i="2"/>
  <c r="H12" i="2"/>
  <c r="A12" i="2"/>
  <c r="X11" i="2"/>
  <c r="T11" i="2"/>
  <c r="P11" i="2"/>
  <c r="L11" i="2"/>
  <c r="H11" i="2"/>
  <c r="A11" i="2"/>
  <c r="X10" i="2"/>
  <c r="T10" i="2"/>
  <c r="P10" i="2"/>
  <c r="L10" i="2"/>
  <c r="H10" i="2"/>
  <c r="A10" i="2"/>
  <c r="X9" i="2"/>
  <c r="T9" i="2"/>
  <c r="P9" i="2"/>
  <c r="L9" i="2"/>
  <c r="H9" i="2"/>
  <c r="A9" i="2"/>
  <c r="X8" i="2"/>
  <c r="T8" i="2"/>
  <c r="P8" i="2"/>
  <c r="L8" i="2"/>
  <c r="H8" i="2"/>
  <c r="A8" i="2"/>
  <c r="X7" i="2"/>
  <c r="T7" i="2"/>
  <c r="P7" i="2"/>
  <c r="L7" i="2"/>
  <c r="H7" i="2"/>
  <c r="A7" i="2"/>
  <c r="X6" i="2"/>
  <c r="T6" i="2"/>
  <c r="P6" i="2"/>
  <c r="L6" i="2"/>
  <c r="H6" i="2"/>
  <c r="A6" i="2"/>
  <c r="X5" i="2"/>
  <c r="T5" i="2"/>
  <c r="P5" i="2"/>
  <c r="L5" i="2"/>
  <c r="H5" i="2"/>
  <c r="A5" i="2"/>
  <c r="X4" i="2"/>
  <c r="T4" i="2"/>
  <c r="P4" i="2"/>
  <c r="L4" i="2"/>
  <c r="H4" i="2"/>
  <c r="A4" i="2"/>
  <c r="X3" i="2"/>
  <c r="T3" i="2"/>
  <c r="P3" i="2"/>
  <c r="L3" i="2"/>
  <c r="H3" i="2"/>
  <c r="A3" i="2"/>
  <c r="X2" i="2"/>
  <c r="T2" i="2"/>
  <c r="P2" i="2"/>
  <c r="L2" i="2"/>
  <c r="H2" i="2"/>
  <c r="A2" i="2"/>
  <c r="F73" i="2" l="1"/>
  <c r="P41" i="3"/>
  <c r="S73" i="2"/>
  <c r="T41" i="3"/>
  <c r="R71" i="2"/>
  <c r="R73" i="2" s="1"/>
  <c r="V71" i="2"/>
  <c r="X15" i="2"/>
  <c r="X71" i="2" s="1"/>
  <c r="J71" i="2"/>
  <c r="J73" i="2" s="1"/>
  <c r="L15" i="2"/>
  <c r="L71" i="2" s="1"/>
  <c r="T15" i="2"/>
  <c r="T71" i="2" s="1"/>
  <c r="T73" i="2" s="1"/>
  <c r="H71" i="2"/>
  <c r="L41" i="3"/>
  <c r="N71" i="2"/>
  <c r="N73" i="2" s="1"/>
  <c r="P15" i="2"/>
  <c r="P71" i="2" s="1"/>
  <c r="H41" i="3"/>
  <c r="P73" i="2" l="1"/>
  <c r="L73" i="2"/>
  <c r="H73" i="2"/>
  <c r="H142" i="1" l="1"/>
  <c r="H141" i="1"/>
  <c r="AC137" i="1"/>
  <c r="AA137" i="1"/>
  <c r="Z137" i="1"/>
  <c r="Y137" i="1"/>
  <c r="X137" i="1"/>
  <c r="W137" i="1"/>
  <c r="M137" i="1"/>
  <c r="L137" i="1"/>
  <c r="J137" i="1"/>
  <c r="C137" i="1"/>
  <c r="K137" i="1" s="1"/>
  <c r="AC136" i="1"/>
  <c r="AA136" i="1"/>
  <c r="Z136" i="1"/>
  <c r="Y136" i="1"/>
  <c r="X136" i="1"/>
  <c r="W136" i="1"/>
  <c r="M136" i="1"/>
  <c r="L136" i="1"/>
  <c r="J136" i="1"/>
  <c r="C136" i="1"/>
  <c r="K136" i="1" s="1"/>
  <c r="AC135" i="1"/>
  <c r="AA135" i="1"/>
  <c r="Z135" i="1"/>
  <c r="Y135" i="1"/>
  <c r="X135" i="1"/>
  <c r="W135" i="1"/>
  <c r="M135" i="1"/>
  <c r="L135" i="1"/>
  <c r="J135" i="1"/>
  <c r="C135" i="1"/>
  <c r="K135" i="1" s="1"/>
  <c r="AC134" i="1"/>
  <c r="AA134" i="1"/>
  <c r="Z134" i="1"/>
  <c r="Y134" i="1"/>
  <c r="X134" i="1"/>
  <c r="W134" i="1"/>
  <c r="M134" i="1"/>
  <c r="N134" i="1" s="1"/>
  <c r="P134" i="1" s="1"/>
  <c r="Q134" i="1" s="1"/>
  <c r="L134" i="1"/>
  <c r="J134" i="1"/>
  <c r="C134" i="1"/>
  <c r="K134" i="1" s="1"/>
  <c r="AC133" i="1"/>
  <c r="AA133" i="1"/>
  <c r="Z133" i="1"/>
  <c r="Y133" i="1"/>
  <c r="X133" i="1"/>
  <c r="W133" i="1"/>
  <c r="M133" i="1"/>
  <c r="L133" i="1"/>
  <c r="J133" i="1"/>
  <c r="C133" i="1"/>
  <c r="K133" i="1" s="1"/>
  <c r="AC132" i="1"/>
  <c r="AA132" i="1"/>
  <c r="Z132" i="1"/>
  <c r="Y132" i="1"/>
  <c r="X132" i="1"/>
  <c r="W132" i="1"/>
  <c r="M132" i="1"/>
  <c r="L132" i="1"/>
  <c r="J132" i="1"/>
  <c r="C132" i="1"/>
  <c r="G132" i="1" s="1"/>
  <c r="AC131" i="1"/>
  <c r="AA131" i="1"/>
  <c r="Z131" i="1"/>
  <c r="Y131" i="1"/>
  <c r="X131" i="1"/>
  <c r="W131" i="1"/>
  <c r="M131" i="1"/>
  <c r="L131" i="1"/>
  <c r="N131" i="1" s="1"/>
  <c r="J131" i="1"/>
  <c r="C131" i="1"/>
  <c r="AC130" i="1"/>
  <c r="AA130" i="1"/>
  <c r="Z130" i="1"/>
  <c r="Y130" i="1"/>
  <c r="X130" i="1"/>
  <c r="W130" i="1"/>
  <c r="M130" i="1"/>
  <c r="L130" i="1"/>
  <c r="J130" i="1"/>
  <c r="C130" i="1"/>
  <c r="G130" i="1" s="1"/>
  <c r="AC129" i="1"/>
  <c r="AA129" i="1"/>
  <c r="Z129" i="1"/>
  <c r="Y129" i="1"/>
  <c r="X129" i="1"/>
  <c r="W129" i="1"/>
  <c r="M129" i="1"/>
  <c r="L129" i="1"/>
  <c r="J129" i="1"/>
  <c r="C129" i="1"/>
  <c r="K129" i="1" s="1"/>
  <c r="AC128" i="1"/>
  <c r="AA128" i="1"/>
  <c r="Z128" i="1"/>
  <c r="Y128" i="1"/>
  <c r="X128" i="1"/>
  <c r="W128" i="1"/>
  <c r="M128" i="1"/>
  <c r="L128" i="1"/>
  <c r="J128" i="1"/>
  <c r="C128" i="1"/>
  <c r="G128" i="1" s="1"/>
  <c r="AC127" i="1"/>
  <c r="AA127" i="1"/>
  <c r="Z127" i="1"/>
  <c r="Y127" i="1"/>
  <c r="X127" i="1"/>
  <c r="W127" i="1"/>
  <c r="M127" i="1"/>
  <c r="L127" i="1"/>
  <c r="J127" i="1"/>
  <c r="C127" i="1"/>
  <c r="K127" i="1" s="1"/>
  <c r="AC126" i="1"/>
  <c r="AA126" i="1"/>
  <c r="Z126" i="1"/>
  <c r="Y126" i="1"/>
  <c r="X126" i="1"/>
  <c r="W126" i="1"/>
  <c r="M126" i="1"/>
  <c r="N126" i="1" s="1"/>
  <c r="P126" i="1" s="1"/>
  <c r="Q126" i="1" s="1"/>
  <c r="L126" i="1"/>
  <c r="J126" i="1"/>
  <c r="C126" i="1"/>
  <c r="K126" i="1" s="1"/>
  <c r="AC125" i="1"/>
  <c r="AA125" i="1"/>
  <c r="Z125" i="1"/>
  <c r="Y125" i="1"/>
  <c r="X125" i="1"/>
  <c r="W125" i="1"/>
  <c r="M125" i="1"/>
  <c r="L125" i="1"/>
  <c r="J125" i="1"/>
  <c r="C125" i="1"/>
  <c r="G125" i="1" s="1"/>
  <c r="AC124" i="1"/>
  <c r="AA124" i="1"/>
  <c r="Z124" i="1"/>
  <c r="Y124" i="1"/>
  <c r="X124" i="1"/>
  <c r="W124" i="1"/>
  <c r="M124" i="1"/>
  <c r="L124" i="1"/>
  <c r="J124" i="1"/>
  <c r="C124" i="1"/>
  <c r="K124" i="1" s="1"/>
  <c r="U124" i="1" s="1"/>
  <c r="AC123" i="1"/>
  <c r="AA123" i="1"/>
  <c r="Z123" i="1"/>
  <c r="Y123" i="1"/>
  <c r="X123" i="1"/>
  <c r="W123" i="1"/>
  <c r="M123" i="1"/>
  <c r="L123" i="1"/>
  <c r="J123" i="1"/>
  <c r="C123" i="1"/>
  <c r="AC122" i="1"/>
  <c r="AA122" i="1"/>
  <c r="Z122" i="1"/>
  <c r="Y122" i="1"/>
  <c r="X122" i="1"/>
  <c r="W122" i="1"/>
  <c r="M122" i="1"/>
  <c r="L122" i="1"/>
  <c r="J122" i="1"/>
  <c r="C122" i="1"/>
  <c r="G122" i="1" s="1"/>
  <c r="I122" i="1" s="1"/>
  <c r="AC121" i="1"/>
  <c r="AA121" i="1"/>
  <c r="Z121" i="1"/>
  <c r="Y121" i="1"/>
  <c r="X121" i="1"/>
  <c r="W121" i="1"/>
  <c r="M121" i="1"/>
  <c r="L121" i="1"/>
  <c r="J121" i="1"/>
  <c r="C121" i="1"/>
  <c r="K121" i="1" s="1"/>
  <c r="AC120" i="1"/>
  <c r="AA120" i="1"/>
  <c r="Z120" i="1"/>
  <c r="Y120" i="1"/>
  <c r="X120" i="1"/>
  <c r="W120" i="1"/>
  <c r="M120" i="1"/>
  <c r="L120" i="1"/>
  <c r="J120" i="1"/>
  <c r="C120" i="1"/>
  <c r="AC119" i="1"/>
  <c r="AA119" i="1"/>
  <c r="Z119" i="1"/>
  <c r="Y119" i="1"/>
  <c r="X119" i="1"/>
  <c r="W119" i="1"/>
  <c r="M119" i="1"/>
  <c r="L119" i="1"/>
  <c r="J119" i="1"/>
  <c r="C119" i="1"/>
  <c r="G119" i="1" s="1"/>
  <c r="I119" i="1" s="1"/>
  <c r="AC118" i="1"/>
  <c r="AA118" i="1"/>
  <c r="Z118" i="1"/>
  <c r="Y118" i="1"/>
  <c r="X118" i="1"/>
  <c r="W118" i="1"/>
  <c r="M118" i="1"/>
  <c r="L118" i="1"/>
  <c r="J118" i="1"/>
  <c r="C118" i="1"/>
  <c r="K118" i="1" s="1"/>
  <c r="AC117" i="1"/>
  <c r="AA117" i="1"/>
  <c r="Z117" i="1"/>
  <c r="Y117" i="1"/>
  <c r="X117" i="1"/>
  <c r="W117" i="1"/>
  <c r="M117" i="1"/>
  <c r="L117" i="1"/>
  <c r="J117" i="1"/>
  <c r="C117" i="1"/>
  <c r="K117" i="1" s="1"/>
  <c r="AC114" i="1"/>
  <c r="AA114" i="1"/>
  <c r="Y114" i="1"/>
  <c r="W114" i="1"/>
  <c r="M114" i="1"/>
  <c r="K114" i="1"/>
  <c r="C114" i="1"/>
  <c r="G114" i="1" s="1"/>
  <c r="AC113" i="1"/>
  <c r="AA113" i="1"/>
  <c r="Y113" i="1"/>
  <c r="W113" i="1"/>
  <c r="M113" i="1"/>
  <c r="C113" i="1"/>
  <c r="K113" i="1" s="1"/>
  <c r="AC112" i="1"/>
  <c r="AA112" i="1"/>
  <c r="Y112" i="1"/>
  <c r="W112" i="1"/>
  <c r="M112" i="1"/>
  <c r="C112" i="1"/>
  <c r="K112" i="1" s="1"/>
  <c r="AC111" i="1"/>
  <c r="AA111" i="1"/>
  <c r="Y111" i="1"/>
  <c r="W111" i="1"/>
  <c r="M111" i="1"/>
  <c r="C111" i="1"/>
  <c r="G111" i="1" s="1"/>
  <c r="I111" i="1" s="1"/>
  <c r="AC110" i="1"/>
  <c r="AA110" i="1"/>
  <c r="Y110" i="1"/>
  <c r="W110" i="1"/>
  <c r="M110" i="1"/>
  <c r="C110" i="1"/>
  <c r="K110" i="1" s="1"/>
  <c r="AC109" i="1"/>
  <c r="AA109" i="1"/>
  <c r="Y109" i="1"/>
  <c r="W109" i="1"/>
  <c r="M109" i="1"/>
  <c r="C109" i="1"/>
  <c r="G109" i="1" s="1"/>
  <c r="I109" i="1" s="1"/>
  <c r="AC108" i="1"/>
  <c r="AA108" i="1"/>
  <c r="Y108" i="1"/>
  <c r="W108" i="1"/>
  <c r="M108" i="1"/>
  <c r="C108" i="1"/>
  <c r="G108" i="1" s="1"/>
  <c r="AC107" i="1"/>
  <c r="AA107" i="1"/>
  <c r="Y107" i="1"/>
  <c r="W107" i="1"/>
  <c r="M107" i="1"/>
  <c r="C107" i="1"/>
  <c r="K107" i="1" s="1"/>
  <c r="AC106" i="1"/>
  <c r="AA106" i="1"/>
  <c r="Y106" i="1"/>
  <c r="W106" i="1"/>
  <c r="M106" i="1"/>
  <c r="C106" i="1"/>
  <c r="K106" i="1" s="1"/>
  <c r="AC105" i="1"/>
  <c r="AA105" i="1"/>
  <c r="Y105" i="1"/>
  <c r="W105" i="1"/>
  <c r="M105" i="1"/>
  <c r="C105" i="1"/>
  <c r="K105" i="1" s="1"/>
  <c r="AC104" i="1"/>
  <c r="AA104" i="1"/>
  <c r="Y104" i="1"/>
  <c r="W104" i="1"/>
  <c r="M104" i="1"/>
  <c r="C104" i="1"/>
  <c r="K104" i="1" s="1"/>
  <c r="AC103" i="1"/>
  <c r="AA103" i="1"/>
  <c r="Y103" i="1"/>
  <c r="W103" i="1"/>
  <c r="M103" i="1"/>
  <c r="C103" i="1"/>
  <c r="K103" i="1" s="1"/>
  <c r="AC102" i="1"/>
  <c r="AA102" i="1"/>
  <c r="Y102" i="1"/>
  <c r="W102" i="1"/>
  <c r="M102" i="1"/>
  <c r="C102" i="1"/>
  <c r="K102" i="1" s="1"/>
  <c r="AC101" i="1"/>
  <c r="AA101" i="1"/>
  <c r="Y101" i="1"/>
  <c r="W101" i="1"/>
  <c r="M101" i="1"/>
  <c r="G101" i="1"/>
  <c r="I101" i="1" s="1"/>
  <c r="C101" i="1"/>
  <c r="K101" i="1" s="1"/>
  <c r="AC100" i="1"/>
  <c r="AA100" i="1"/>
  <c r="Y100" i="1"/>
  <c r="W100" i="1"/>
  <c r="M100" i="1"/>
  <c r="C100" i="1"/>
  <c r="K100" i="1" s="1"/>
  <c r="H94" i="1"/>
  <c r="H93" i="1"/>
  <c r="AC90" i="1"/>
  <c r="AA90" i="1"/>
  <c r="Z90" i="1"/>
  <c r="Y90" i="1"/>
  <c r="X90" i="1"/>
  <c r="W90" i="1"/>
  <c r="M90" i="1"/>
  <c r="L90" i="1"/>
  <c r="N90" i="1" s="1"/>
  <c r="J90" i="1"/>
  <c r="C90" i="1"/>
  <c r="AC89" i="1"/>
  <c r="AA89" i="1"/>
  <c r="Z89" i="1"/>
  <c r="Y89" i="1"/>
  <c r="X89" i="1"/>
  <c r="W89" i="1"/>
  <c r="M89" i="1"/>
  <c r="L89" i="1"/>
  <c r="J89" i="1"/>
  <c r="C89" i="1"/>
  <c r="G89" i="1" s="1"/>
  <c r="AC88" i="1"/>
  <c r="AA88" i="1"/>
  <c r="Z88" i="1"/>
  <c r="Y88" i="1"/>
  <c r="X88" i="1"/>
  <c r="W88" i="1"/>
  <c r="M88" i="1"/>
  <c r="L88" i="1"/>
  <c r="J88" i="1"/>
  <c r="C88" i="1"/>
  <c r="K88" i="1" s="1"/>
  <c r="AC87" i="1"/>
  <c r="AA87" i="1"/>
  <c r="Z87" i="1"/>
  <c r="Y87" i="1"/>
  <c r="X87" i="1"/>
  <c r="W87" i="1"/>
  <c r="M87" i="1"/>
  <c r="L87" i="1"/>
  <c r="J87" i="1"/>
  <c r="C87" i="1"/>
  <c r="K87" i="1" s="1"/>
  <c r="AC86" i="1"/>
  <c r="AA86" i="1"/>
  <c r="Z86" i="1"/>
  <c r="Y86" i="1"/>
  <c r="X86" i="1"/>
  <c r="W86" i="1"/>
  <c r="M86" i="1"/>
  <c r="L86" i="1"/>
  <c r="J86" i="1"/>
  <c r="C86" i="1"/>
  <c r="K86" i="1" s="1"/>
  <c r="AC85" i="1"/>
  <c r="AA85" i="1"/>
  <c r="Z85" i="1"/>
  <c r="Y85" i="1"/>
  <c r="X85" i="1"/>
  <c r="W85" i="1"/>
  <c r="M85" i="1"/>
  <c r="L85" i="1"/>
  <c r="N85" i="1" s="1"/>
  <c r="P85" i="1" s="1"/>
  <c r="Q85" i="1" s="1"/>
  <c r="J85" i="1"/>
  <c r="C85" i="1"/>
  <c r="AC84" i="1"/>
  <c r="AA84" i="1"/>
  <c r="Z84" i="1"/>
  <c r="Y84" i="1"/>
  <c r="X84" i="1"/>
  <c r="W84" i="1"/>
  <c r="M84" i="1"/>
  <c r="L84" i="1"/>
  <c r="J84" i="1"/>
  <c r="C84" i="1"/>
  <c r="G84" i="1" s="1"/>
  <c r="AC83" i="1"/>
  <c r="AA83" i="1"/>
  <c r="Z83" i="1"/>
  <c r="Y83" i="1"/>
  <c r="X83" i="1"/>
  <c r="W83" i="1"/>
  <c r="M83" i="1"/>
  <c r="L83" i="1"/>
  <c r="J83" i="1"/>
  <c r="C83" i="1"/>
  <c r="G83" i="1" s="1"/>
  <c r="AC82" i="1"/>
  <c r="AA82" i="1"/>
  <c r="Z82" i="1"/>
  <c r="Y82" i="1"/>
  <c r="X82" i="1"/>
  <c r="W82" i="1"/>
  <c r="M82" i="1"/>
  <c r="N82" i="1" s="1"/>
  <c r="L82" i="1"/>
  <c r="J82" i="1"/>
  <c r="C82" i="1"/>
  <c r="AC81" i="1"/>
  <c r="AA81" i="1"/>
  <c r="Z81" i="1"/>
  <c r="AB81" i="1" s="1"/>
  <c r="AG81" i="1" s="1"/>
  <c r="Y81" i="1"/>
  <c r="X81" i="1"/>
  <c r="W81" i="1"/>
  <c r="M81" i="1"/>
  <c r="L81" i="1"/>
  <c r="N81" i="1" s="1"/>
  <c r="S81" i="1" s="1"/>
  <c r="J81" i="1"/>
  <c r="C81" i="1"/>
  <c r="G81" i="1" s="1"/>
  <c r="AC80" i="1"/>
  <c r="AA80" i="1"/>
  <c r="Z80" i="1"/>
  <c r="Y80" i="1"/>
  <c r="X80" i="1"/>
  <c r="W80" i="1"/>
  <c r="M80" i="1"/>
  <c r="L80" i="1"/>
  <c r="J80" i="1"/>
  <c r="G80" i="1"/>
  <c r="I80" i="1" s="1"/>
  <c r="C80" i="1"/>
  <c r="K80" i="1" s="1"/>
  <c r="AC79" i="1"/>
  <c r="AA79" i="1"/>
  <c r="Z79" i="1"/>
  <c r="Y79" i="1"/>
  <c r="X79" i="1"/>
  <c r="W79" i="1"/>
  <c r="M79" i="1"/>
  <c r="L79" i="1"/>
  <c r="J79" i="1"/>
  <c r="C79" i="1"/>
  <c r="K79" i="1" s="1"/>
  <c r="AC78" i="1"/>
  <c r="AA78" i="1"/>
  <c r="Z78" i="1"/>
  <c r="Y78" i="1"/>
  <c r="X78" i="1"/>
  <c r="W78" i="1"/>
  <c r="M78" i="1"/>
  <c r="L78" i="1"/>
  <c r="N78" i="1" s="1"/>
  <c r="P78" i="1" s="1"/>
  <c r="Q78" i="1" s="1"/>
  <c r="J78" i="1"/>
  <c r="C78" i="1"/>
  <c r="G78" i="1" s="1"/>
  <c r="AC77" i="1"/>
  <c r="AA77" i="1"/>
  <c r="Z77" i="1"/>
  <c r="Y77" i="1"/>
  <c r="X77" i="1"/>
  <c r="W77" i="1"/>
  <c r="M77" i="1"/>
  <c r="L77" i="1"/>
  <c r="J77" i="1"/>
  <c r="C77" i="1"/>
  <c r="AC76" i="1"/>
  <c r="AA76" i="1"/>
  <c r="Z76" i="1"/>
  <c r="Y76" i="1"/>
  <c r="AI76" i="1" s="1"/>
  <c r="X76" i="1"/>
  <c r="W76" i="1"/>
  <c r="M76" i="1"/>
  <c r="L76" i="1"/>
  <c r="J76" i="1"/>
  <c r="C76" i="1"/>
  <c r="AC75" i="1"/>
  <c r="AA75" i="1"/>
  <c r="Z75" i="1"/>
  <c r="Y75" i="1"/>
  <c r="X75" i="1"/>
  <c r="W75" i="1"/>
  <c r="M75" i="1"/>
  <c r="L75" i="1"/>
  <c r="J75" i="1"/>
  <c r="C75" i="1"/>
  <c r="K75" i="1" s="1"/>
  <c r="AC74" i="1"/>
  <c r="AA74" i="1"/>
  <c r="Z74" i="1"/>
  <c r="Y74" i="1"/>
  <c r="X74" i="1"/>
  <c r="W74" i="1"/>
  <c r="M74" i="1"/>
  <c r="L74" i="1"/>
  <c r="J74" i="1"/>
  <c r="G74" i="1"/>
  <c r="C74" i="1"/>
  <c r="K74" i="1" s="1"/>
  <c r="AC73" i="1"/>
  <c r="AA73" i="1"/>
  <c r="Z73" i="1"/>
  <c r="Y73" i="1"/>
  <c r="X73" i="1"/>
  <c r="W73" i="1"/>
  <c r="M73" i="1"/>
  <c r="L73" i="1"/>
  <c r="J73" i="1"/>
  <c r="C73" i="1"/>
  <c r="G73" i="1" s="1"/>
  <c r="I73" i="1" s="1"/>
  <c r="AA70" i="1"/>
  <c r="Y70" i="1"/>
  <c r="W70" i="1"/>
  <c r="M70" i="1"/>
  <c r="C70" i="1"/>
  <c r="G70" i="1" s="1"/>
  <c r="AA69" i="1"/>
  <c r="Y69" i="1"/>
  <c r="W69" i="1"/>
  <c r="M69" i="1"/>
  <c r="C69" i="1"/>
  <c r="AA68" i="1"/>
  <c r="Y68" i="1"/>
  <c r="W68" i="1"/>
  <c r="M68" i="1"/>
  <c r="C68" i="1"/>
  <c r="G68" i="1" s="1"/>
  <c r="I68" i="1" s="1"/>
  <c r="AA67" i="1"/>
  <c r="Y67" i="1"/>
  <c r="W67" i="1"/>
  <c r="M67" i="1"/>
  <c r="C67" i="1"/>
  <c r="G67" i="1" s="1"/>
  <c r="I67" i="1" s="1"/>
  <c r="AA66" i="1"/>
  <c r="Y66" i="1"/>
  <c r="W66" i="1"/>
  <c r="M66" i="1"/>
  <c r="C66" i="1"/>
  <c r="G66" i="1" s="1"/>
  <c r="I66" i="1" s="1"/>
  <c r="AA65" i="1"/>
  <c r="Y65" i="1"/>
  <c r="W65" i="1"/>
  <c r="M65" i="1"/>
  <c r="C65" i="1"/>
  <c r="K65" i="1" s="1"/>
  <c r="AA64" i="1"/>
  <c r="Y64" i="1"/>
  <c r="W64" i="1"/>
  <c r="M64" i="1"/>
  <c r="C64" i="1"/>
  <c r="K64" i="1" s="1"/>
  <c r="AA63" i="1"/>
  <c r="Y63" i="1"/>
  <c r="W63" i="1"/>
  <c r="M63" i="1"/>
  <c r="C63" i="1"/>
  <c r="G63" i="1" s="1"/>
  <c r="I63" i="1" s="1"/>
  <c r="AA62" i="1"/>
  <c r="Y62" i="1"/>
  <c r="W62" i="1"/>
  <c r="M62" i="1"/>
  <c r="C62" i="1"/>
  <c r="K62" i="1" s="1"/>
  <c r="AA61" i="1"/>
  <c r="Y61" i="1"/>
  <c r="W61" i="1"/>
  <c r="M61" i="1"/>
  <c r="C61" i="1"/>
  <c r="AC58" i="1"/>
  <c r="AA58" i="1"/>
  <c r="Y58" i="1"/>
  <c r="W58" i="1"/>
  <c r="M58" i="1"/>
  <c r="C58" i="1"/>
  <c r="K58" i="1" s="1"/>
  <c r="AC57" i="1"/>
  <c r="AA57" i="1"/>
  <c r="Y57" i="1"/>
  <c r="W57" i="1"/>
  <c r="M57" i="1"/>
  <c r="C57" i="1"/>
  <c r="G57" i="1" s="1"/>
  <c r="AC56" i="1"/>
  <c r="AA56" i="1"/>
  <c r="Y56" i="1"/>
  <c r="W56" i="1"/>
  <c r="M56" i="1"/>
  <c r="C56" i="1"/>
  <c r="K56" i="1" s="1"/>
  <c r="AC55" i="1"/>
  <c r="AA55" i="1"/>
  <c r="Y55" i="1"/>
  <c r="W55" i="1"/>
  <c r="M55" i="1"/>
  <c r="C55" i="1"/>
  <c r="K55" i="1" s="1"/>
  <c r="AC54" i="1"/>
  <c r="AA54" i="1"/>
  <c r="Y54" i="1"/>
  <c r="W54" i="1"/>
  <c r="M54" i="1"/>
  <c r="C54" i="1"/>
  <c r="AC53" i="1"/>
  <c r="AA53" i="1"/>
  <c r="Y53" i="1"/>
  <c r="W53" i="1"/>
  <c r="M53" i="1"/>
  <c r="C53" i="1"/>
  <c r="AC52" i="1"/>
  <c r="AA52" i="1"/>
  <c r="Y52" i="1"/>
  <c r="W52" i="1"/>
  <c r="M52" i="1"/>
  <c r="C52" i="1"/>
  <c r="G52" i="1" s="1"/>
  <c r="I52" i="1" s="1"/>
  <c r="AC51" i="1"/>
  <c r="AA51" i="1"/>
  <c r="Y51" i="1"/>
  <c r="W51" i="1"/>
  <c r="M51" i="1"/>
  <c r="C51" i="1"/>
  <c r="K51" i="1" s="1"/>
  <c r="AC50" i="1"/>
  <c r="AA50" i="1"/>
  <c r="Y50" i="1"/>
  <c r="W50" i="1"/>
  <c r="M50" i="1"/>
  <c r="C50" i="1"/>
  <c r="K50" i="1" s="1"/>
  <c r="AC49" i="1"/>
  <c r="AA49" i="1"/>
  <c r="Y49" i="1"/>
  <c r="W49" i="1"/>
  <c r="M49" i="1"/>
  <c r="C49" i="1"/>
  <c r="AC48" i="1"/>
  <c r="AA48" i="1"/>
  <c r="Y48" i="1"/>
  <c r="W48" i="1"/>
  <c r="M48" i="1"/>
  <c r="C48" i="1"/>
  <c r="G48" i="1" s="1"/>
  <c r="AC47" i="1"/>
  <c r="AA47" i="1"/>
  <c r="Y47" i="1"/>
  <c r="W47" i="1"/>
  <c r="M47" i="1"/>
  <c r="C47" i="1"/>
  <c r="G47" i="1" s="1"/>
  <c r="I47" i="1" s="1"/>
  <c r="AC46" i="1"/>
  <c r="AA46" i="1"/>
  <c r="Y46" i="1"/>
  <c r="W46" i="1"/>
  <c r="M46" i="1"/>
  <c r="C46" i="1"/>
  <c r="G46" i="1" s="1"/>
  <c r="AC45" i="1"/>
  <c r="AA45" i="1"/>
  <c r="Y45" i="1"/>
  <c r="W45" i="1"/>
  <c r="M45" i="1"/>
  <c r="C45" i="1"/>
  <c r="G45" i="1" s="1"/>
  <c r="AC44" i="1"/>
  <c r="AA44" i="1"/>
  <c r="Y44" i="1"/>
  <c r="W44" i="1"/>
  <c r="M44" i="1"/>
  <c r="C44" i="1"/>
  <c r="G44" i="1" s="1"/>
  <c r="AC43" i="1"/>
  <c r="AA43" i="1"/>
  <c r="Y43" i="1"/>
  <c r="W43" i="1"/>
  <c r="M43" i="1"/>
  <c r="C43" i="1"/>
  <c r="G43" i="1" s="1"/>
  <c r="AC42" i="1"/>
  <c r="AA42" i="1"/>
  <c r="Y42" i="1"/>
  <c r="W42" i="1"/>
  <c r="M42" i="1"/>
  <c r="C42" i="1"/>
  <c r="K42" i="1" s="1"/>
  <c r="AC41" i="1"/>
  <c r="AA41" i="1"/>
  <c r="Y41" i="1"/>
  <c r="W41" i="1"/>
  <c r="M41" i="1"/>
  <c r="C41" i="1"/>
  <c r="AC40" i="1"/>
  <c r="AA40" i="1"/>
  <c r="Y40" i="1"/>
  <c r="W40" i="1"/>
  <c r="M40" i="1"/>
  <c r="C40" i="1"/>
  <c r="G40" i="1" s="1"/>
  <c r="I40" i="1" s="1"/>
  <c r="AC39" i="1"/>
  <c r="AA39" i="1"/>
  <c r="Y39" i="1"/>
  <c r="W39" i="1"/>
  <c r="M39" i="1"/>
  <c r="C39" i="1"/>
  <c r="G39" i="1" s="1"/>
  <c r="AC38" i="1"/>
  <c r="AA38" i="1"/>
  <c r="Y38" i="1"/>
  <c r="W38" i="1"/>
  <c r="F38" i="1" s="1"/>
  <c r="M38" i="1"/>
  <c r="K38" i="1"/>
  <c r="I38" i="1"/>
  <c r="AC37" i="1"/>
  <c r="AA37" i="1"/>
  <c r="Y37" i="1"/>
  <c r="W37" i="1"/>
  <c r="M37" i="1"/>
  <c r="C37" i="1"/>
  <c r="K37" i="1" s="1"/>
  <c r="AC36" i="1"/>
  <c r="AA36" i="1"/>
  <c r="Y36" i="1"/>
  <c r="W36" i="1"/>
  <c r="M36" i="1"/>
  <c r="C36" i="1"/>
  <c r="G36" i="1" s="1"/>
  <c r="I36" i="1" s="1"/>
  <c r="AC35" i="1"/>
  <c r="AA35" i="1"/>
  <c r="Y35" i="1"/>
  <c r="W35" i="1"/>
  <c r="M35" i="1"/>
  <c r="C35" i="1"/>
  <c r="AC34" i="1"/>
  <c r="AA34" i="1"/>
  <c r="Y34" i="1"/>
  <c r="W34" i="1"/>
  <c r="M34" i="1"/>
  <c r="C34" i="1"/>
  <c r="G34" i="1" s="1"/>
  <c r="I34" i="1" s="1"/>
  <c r="AC33" i="1"/>
  <c r="AA33" i="1"/>
  <c r="Y33" i="1"/>
  <c r="W33" i="1"/>
  <c r="M33" i="1"/>
  <c r="C33" i="1"/>
  <c r="G33" i="1" s="1"/>
  <c r="I33" i="1" s="1"/>
  <c r="AC32" i="1"/>
  <c r="AA32" i="1"/>
  <c r="Y32" i="1"/>
  <c r="W32" i="1"/>
  <c r="M32" i="1"/>
  <c r="C32" i="1"/>
  <c r="AC31" i="1"/>
  <c r="AA31" i="1"/>
  <c r="Y31" i="1"/>
  <c r="W31" i="1"/>
  <c r="M31" i="1"/>
  <c r="C31" i="1"/>
  <c r="G31" i="1" s="1"/>
  <c r="I31" i="1" s="1"/>
  <c r="AC30" i="1"/>
  <c r="AA30" i="1"/>
  <c r="Y30" i="1"/>
  <c r="W30" i="1"/>
  <c r="M30" i="1"/>
  <c r="C30" i="1"/>
  <c r="K30" i="1" s="1"/>
  <c r="AC29" i="1"/>
  <c r="AA29" i="1"/>
  <c r="Y29" i="1"/>
  <c r="W29" i="1"/>
  <c r="M29" i="1"/>
  <c r="C29" i="1"/>
  <c r="K29" i="1" s="1"/>
  <c r="AC28" i="1"/>
  <c r="AA28" i="1"/>
  <c r="Y28" i="1"/>
  <c r="W28" i="1"/>
  <c r="M28" i="1"/>
  <c r="C28" i="1"/>
  <c r="AC27" i="1"/>
  <c r="AA27" i="1"/>
  <c r="Y27" i="1"/>
  <c r="W27" i="1"/>
  <c r="M27" i="1"/>
  <c r="C27" i="1"/>
  <c r="G27" i="1" s="1"/>
  <c r="AC26" i="1"/>
  <c r="AA26" i="1"/>
  <c r="Y26" i="1"/>
  <c r="W26" i="1"/>
  <c r="M26" i="1"/>
  <c r="C26" i="1"/>
  <c r="AC25" i="1"/>
  <c r="AA25" i="1"/>
  <c r="Y25" i="1"/>
  <c r="W25" i="1"/>
  <c r="M25" i="1"/>
  <c r="C25" i="1"/>
  <c r="G25" i="1" s="1"/>
  <c r="AC24" i="1"/>
  <c r="AA24" i="1"/>
  <c r="Y24" i="1"/>
  <c r="W24" i="1"/>
  <c r="M24" i="1"/>
  <c r="C24" i="1"/>
  <c r="G24" i="1" s="1"/>
  <c r="F24" i="1" s="1"/>
  <c r="AC23" i="1"/>
  <c r="AA23" i="1"/>
  <c r="Y23" i="1"/>
  <c r="W23" i="1"/>
  <c r="M23" i="1"/>
  <c r="C23" i="1"/>
  <c r="K23" i="1" s="1"/>
  <c r="AC22" i="1"/>
  <c r="AA22" i="1"/>
  <c r="Y22" i="1"/>
  <c r="W22" i="1"/>
  <c r="M22" i="1"/>
  <c r="K22" i="1"/>
  <c r="C22" i="1"/>
  <c r="G22" i="1" s="1"/>
  <c r="AC21" i="1"/>
  <c r="AA21" i="1"/>
  <c r="Y21" i="1"/>
  <c r="W21" i="1"/>
  <c r="M21" i="1"/>
  <c r="C21" i="1"/>
  <c r="G21" i="1" s="1"/>
  <c r="I21" i="1" s="1"/>
  <c r="AC20" i="1"/>
  <c r="AA20" i="1"/>
  <c r="Y20" i="1"/>
  <c r="W20" i="1"/>
  <c r="M20" i="1"/>
  <c r="C20" i="1"/>
  <c r="K20" i="1" s="1"/>
  <c r="AC19" i="1"/>
  <c r="AA19" i="1"/>
  <c r="Y19" i="1"/>
  <c r="W19" i="1"/>
  <c r="M19" i="1"/>
  <c r="C19" i="1"/>
  <c r="G19" i="1" s="1"/>
  <c r="I19" i="1" s="1"/>
  <c r="AC18" i="1"/>
  <c r="AA18" i="1"/>
  <c r="Y18" i="1"/>
  <c r="W18" i="1"/>
  <c r="M18" i="1"/>
  <c r="C18" i="1"/>
  <c r="G18" i="1" s="1"/>
  <c r="I18" i="1" s="1"/>
  <c r="AC17" i="1"/>
  <c r="AA17" i="1"/>
  <c r="Y17" i="1"/>
  <c r="W17" i="1"/>
  <c r="M17" i="1"/>
  <c r="C17" i="1"/>
  <c r="G17" i="1" s="1"/>
  <c r="AC16" i="1"/>
  <c r="AA16" i="1"/>
  <c r="Y16" i="1"/>
  <c r="W16" i="1"/>
  <c r="M16" i="1"/>
  <c r="C16" i="1"/>
  <c r="K16" i="1" s="1"/>
  <c r="AC15" i="1"/>
  <c r="AA15" i="1"/>
  <c r="Y15" i="1"/>
  <c r="W15" i="1"/>
  <c r="M15" i="1"/>
  <c r="C15" i="1"/>
  <c r="K15" i="1" s="1"/>
  <c r="AC14" i="1"/>
  <c r="AA14" i="1"/>
  <c r="Y14" i="1"/>
  <c r="W14" i="1"/>
  <c r="M14" i="1"/>
  <c r="C14" i="1"/>
  <c r="K14" i="1" s="1"/>
  <c r="AC13" i="1"/>
  <c r="AA13" i="1"/>
  <c r="Y13" i="1"/>
  <c r="W13" i="1"/>
  <c r="M13" i="1"/>
  <c r="C13" i="1"/>
  <c r="AC12" i="1"/>
  <c r="AA12" i="1"/>
  <c r="Y12" i="1"/>
  <c r="W12" i="1"/>
  <c r="M12" i="1"/>
  <c r="C12" i="1"/>
  <c r="K12" i="1" s="1"/>
  <c r="AC11" i="1"/>
  <c r="AA11" i="1"/>
  <c r="Y11" i="1"/>
  <c r="W11" i="1"/>
  <c r="M11" i="1"/>
  <c r="C11" i="1"/>
  <c r="K11" i="1" s="1"/>
  <c r="AC10" i="1"/>
  <c r="AA10" i="1"/>
  <c r="Y10" i="1"/>
  <c r="W10" i="1"/>
  <c r="M10" i="1"/>
  <c r="C10" i="1"/>
  <c r="G10" i="1" s="1"/>
  <c r="AC9" i="1"/>
  <c r="AA9" i="1"/>
  <c r="Y9" i="1"/>
  <c r="W9" i="1"/>
  <c r="F9" i="1" s="1"/>
  <c r="M9" i="1"/>
  <c r="K9" i="1"/>
  <c r="I9" i="1"/>
  <c r="AC8" i="1"/>
  <c r="AA8" i="1"/>
  <c r="Y8" i="1"/>
  <c r="W8" i="1"/>
  <c r="M8" i="1"/>
  <c r="C8" i="1"/>
  <c r="AC7" i="1"/>
  <c r="AA7" i="1"/>
  <c r="Y7" i="1"/>
  <c r="W7" i="1"/>
  <c r="M7" i="1"/>
  <c r="C7" i="1"/>
  <c r="K7" i="1" s="1"/>
  <c r="AC6" i="1"/>
  <c r="AA6" i="1"/>
  <c r="Y6" i="1"/>
  <c r="W6" i="1"/>
  <c r="M6" i="1"/>
  <c r="C6" i="1"/>
  <c r="AC5" i="1"/>
  <c r="AA5" i="1"/>
  <c r="Y5" i="1"/>
  <c r="W5" i="1"/>
  <c r="M5" i="1"/>
  <c r="C5" i="1"/>
  <c r="K5" i="1" s="1"/>
  <c r="AA1" i="1"/>
  <c r="Z1" i="1"/>
  <c r="M1" i="1"/>
  <c r="L1" i="1"/>
  <c r="AI85" i="1" l="1"/>
  <c r="AB117" i="1"/>
  <c r="AD117" i="1" s="1"/>
  <c r="AE117" i="1" s="1"/>
  <c r="N123" i="1"/>
  <c r="G58" i="1"/>
  <c r="N77" i="1"/>
  <c r="R77" i="1" s="1"/>
  <c r="N80" i="1"/>
  <c r="S80" i="1" s="1"/>
  <c r="K84" i="1"/>
  <c r="U84" i="1" s="1"/>
  <c r="F130" i="1"/>
  <c r="AB123" i="1"/>
  <c r="AB73" i="1"/>
  <c r="S78" i="1"/>
  <c r="AB90" i="1"/>
  <c r="AD90" i="1" s="1"/>
  <c r="AE90" i="1" s="1"/>
  <c r="K108" i="1"/>
  <c r="AB120" i="1"/>
  <c r="AF120" i="1" s="1"/>
  <c r="N130" i="1"/>
  <c r="S130" i="1" s="1"/>
  <c r="AI74" i="1"/>
  <c r="AB77" i="1"/>
  <c r="AD77" i="1" s="1"/>
  <c r="U86" i="1"/>
  <c r="N119" i="1"/>
  <c r="S119" i="1" s="1"/>
  <c r="AI132" i="1"/>
  <c r="U80" i="1"/>
  <c r="AI122" i="1"/>
  <c r="N135" i="1"/>
  <c r="S135" i="1" s="1"/>
  <c r="AB137" i="1"/>
  <c r="AG137" i="1" s="1"/>
  <c r="U134" i="1"/>
  <c r="AB79" i="1"/>
  <c r="AF79" i="1" s="1"/>
  <c r="AB83" i="1"/>
  <c r="AF83" i="1" s="1"/>
  <c r="N84" i="1"/>
  <c r="AI89" i="1"/>
  <c r="G113" i="1"/>
  <c r="I113" i="1" s="1"/>
  <c r="AB86" i="1"/>
  <c r="AG86" i="1" s="1"/>
  <c r="AI117" i="1"/>
  <c r="N128" i="1"/>
  <c r="G16" i="1"/>
  <c r="K31" i="1"/>
  <c r="AB78" i="1"/>
  <c r="AF78" i="1" s="1"/>
  <c r="G121" i="1"/>
  <c r="AB121" i="1"/>
  <c r="AG121" i="1" s="1"/>
  <c r="N122" i="1"/>
  <c r="AB126" i="1"/>
  <c r="AG126" i="1" s="1"/>
  <c r="N127" i="1"/>
  <c r="S127" i="1" s="1"/>
  <c r="K45" i="1"/>
  <c r="K52" i="1"/>
  <c r="AE77" i="1"/>
  <c r="G88" i="1"/>
  <c r="AI119" i="1"/>
  <c r="N120" i="1"/>
  <c r="AB128" i="1"/>
  <c r="AG128" i="1" s="1"/>
  <c r="N129" i="1"/>
  <c r="K68" i="1"/>
  <c r="N86" i="1"/>
  <c r="P86" i="1" s="1"/>
  <c r="Q86" i="1" s="1"/>
  <c r="N89" i="1"/>
  <c r="S89" i="1" s="1"/>
  <c r="F113" i="1"/>
  <c r="AB131" i="1"/>
  <c r="AG131" i="1" s="1"/>
  <c r="N132" i="1"/>
  <c r="S132" i="1" s="1"/>
  <c r="N76" i="1"/>
  <c r="S76" i="1" s="1"/>
  <c r="K83" i="1"/>
  <c r="AB119" i="1"/>
  <c r="AG119" i="1" s="1"/>
  <c r="U126" i="1"/>
  <c r="U129" i="1"/>
  <c r="G14" i="1"/>
  <c r="I14" i="1" s="1"/>
  <c r="K40" i="1"/>
  <c r="G29" i="1"/>
  <c r="I29" i="1" s="1"/>
  <c r="F34" i="1"/>
  <c r="K24" i="1"/>
  <c r="G56" i="1"/>
  <c r="I56" i="1" s="1"/>
  <c r="AB74" i="1"/>
  <c r="AF74" i="1" s="1"/>
  <c r="G75" i="1"/>
  <c r="AI78" i="1"/>
  <c r="K81" i="1"/>
  <c r="U87" i="1"/>
  <c r="N88" i="1"/>
  <c r="R88" i="1" s="1"/>
  <c r="AI90" i="1"/>
  <c r="G129" i="1"/>
  <c r="U137" i="1"/>
  <c r="F74" i="1"/>
  <c r="AI86" i="1"/>
  <c r="AB125" i="1"/>
  <c r="K18" i="1"/>
  <c r="K27" i="1"/>
  <c r="F47" i="1"/>
  <c r="K48" i="1"/>
  <c r="G23" i="1"/>
  <c r="F23" i="1" s="1"/>
  <c r="K19" i="1"/>
  <c r="F10" i="1"/>
  <c r="U1" i="1"/>
  <c r="K25" i="1"/>
  <c r="F46" i="1"/>
  <c r="N75" i="1"/>
  <c r="S75" i="1" s="1"/>
  <c r="G86" i="1"/>
  <c r="F86" i="1" s="1"/>
  <c r="G100" i="1"/>
  <c r="F100" i="1" s="1"/>
  <c r="U117" i="1"/>
  <c r="R80" i="1"/>
  <c r="AD81" i="1"/>
  <c r="AE81" i="1" s="1"/>
  <c r="AB89" i="1"/>
  <c r="AG89" i="1" s="1"/>
  <c r="G106" i="1"/>
  <c r="F106" i="1" s="1"/>
  <c r="F111" i="1"/>
  <c r="G112" i="1"/>
  <c r="G117" i="1"/>
  <c r="F117" i="1" s="1"/>
  <c r="AI120" i="1"/>
  <c r="AB122" i="1"/>
  <c r="R130" i="1"/>
  <c r="U135" i="1"/>
  <c r="AI135" i="1"/>
  <c r="K73" i="1"/>
  <c r="U73" i="1" s="1"/>
  <c r="N74" i="1"/>
  <c r="S74" i="1" s="1"/>
  <c r="AF81" i="1"/>
  <c r="K122" i="1"/>
  <c r="U122" i="1" s="1"/>
  <c r="AI124" i="1"/>
  <c r="N125" i="1"/>
  <c r="S125" i="1" s="1"/>
  <c r="AI131" i="1"/>
  <c r="K28" i="1"/>
  <c r="G28" i="1"/>
  <c r="F28" i="1" s="1"/>
  <c r="G7" i="1"/>
  <c r="I7" i="1" s="1"/>
  <c r="I24" i="1"/>
  <c r="F57" i="1"/>
  <c r="I57" i="1"/>
  <c r="S88" i="1"/>
  <c r="AG117" i="1"/>
  <c r="F128" i="1"/>
  <c r="I128" i="1"/>
  <c r="F78" i="1"/>
  <c r="I78" i="1"/>
  <c r="G8" i="1"/>
  <c r="I8" i="1" s="1"/>
  <c r="K8" i="1"/>
  <c r="F16" i="1"/>
  <c r="I16" i="1"/>
  <c r="I27" i="1"/>
  <c r="F27" i="1"/>
  <c r="AD73" i="1"/>
  <c r="AE73" i="1" s="1"/>
  <c r="AG73" i="1"/>
  <c r="AF131" i="1"/>
  <c r="K6" i="1"/>
  <c r="G6" i="1"/>
  <c r="G32" i="1"/>
  <c r="F32" i="1" s="1"/>
  <c r="K32" i="1"/>
  <c r="S122" i="1"/>
  <c r="R122" i="1"/>
  <c r="P122" i="1"/>
  <c r="Q122" i="1" s="1"/>
  <c r="F83" i="1"/>
  <c r="I83" i="1"/>
  <c r="AF123" i="1"/>
  <c r="AG123" i="1"/>
  <c r="K17" i="1"/>
  <c r="G30" i="1"/>
  <c r="F30" i="1" s="1"/>
  <c r="K36" i="1"/>
  <c r="G42" i="1"/>
  <c r="G51" i="1"/>
  <c r="F51" i="1" s="1"/>
  <c r="G55" i="1"/>
  <c r="I55" i="1" s="1"/>
  <c r="S77" i="1"/>
  <c r="AF77" i="1"/>
  <c r="K78" i="1"/>
  <c r="G79" i="1"/>
  <c r="K89" i="1"/>
  <c r="U89" i="1" s="1"/>
  <c r="K109" i="1"/>
  <c r="R119" i="1"/>
  <c r="G124" i="1"/>
  <c r="G126" i="1"/>
  <c r="I130" i="1"/>
  <c r="P77" i="1"/>
  <c r="Q77" i="1" s="1"/>
  <c r="G107" i="1"/>
  <c r="I117" i="1"/>
  <c r="F119" i="1"/>
  <c r="K125" i="1"/>
  <c r="U125" i="1" s="1"/>
  <c r="AB127" i="1"/>
  <c r="AG127" i="1" s="1"/>
  <c r="AB129" i="1"/>
  <c r="K34" i="1"/>
  <c r="G11" i="1"/>
  <c r="G15" i="1"/>
  <c r="F15" i="1" s="1"/>
  <c r="F21" i="1"/>
  <c r="F33" i="1"/>
  <c r="G37" i="1"/>
  <c r="F37" i="1" s="1"/>
  <c r="G62" i="1"/>
  <c r="G65" i="1"/>
  <c r="F65" i="1" s="1"/>
  <c r="K66" i="1"/>
  <c r="K67" i="1"/>
  <c r="AI73" i="1"/>
  <c r="AI81" i="1"/>
  <c r="AI82" i="1"/>
  <c r="AI84" i="1"/>
  <c r="AI88" i="1"/>
  <c r="F18" i="1"/>
  <c r="K33" i="1"/>
  <c r="F43" i="1"/>
  <c r="K47" i="1"/>
  <c r="K63" i="1"/>
  <c r="K70" i="1"/>
  <c r="AB76" i="1"/>
  <c r="AB80" i="1"/>
  <c r="AD80" i="1" s="1"/>
  <c r="AE80" i="1" s="1"/>
  <c r="AB82" i="1"/>
  <c r="AD82" i="1" s="1"/>
  <c r="AE82" i="1" s="1"/>
  <c r="AB84" i="1"/>
  <c r="AD84" i="1" s="1"/>
  <c r="AE84" i="1" s="1"/>
  <c r="G102" i="1"/>
  <c r="G105" i="1"/>
  <c r="G110" i="1"/>
  <c r="K128" i="1"/>
  <c r="K130" i="1"/>
  <c r="U130" i="1" s="1"/>
  <c r="F132" i="1"/>
  <c r="U133" i="1"/>
  <c r="G134" i="1"/>
  <c r="G137" i="1"/>
  <c r="F52" i="1"/>
  <c r="F56" i="1"/>
  <c r="U75" i="1"/>
  <c r="AI77" i="1"/>
  <c r="U81" i="1"/>
  <c r="AB85" i="1"/>
  <c r="AG85" i="1" s="1"/>
  <c r="U88" i="1"/>
  <c r="G118" i="1"/>
  <c r="I118" i="1" s="1"/>
  <c r="AB118" i="1"/>
  <c r="AG118" i="1" s="1"/>
  <c r="K119" i="1"/>
  <c r="U119" i="1" s="1"/>
  <c r="AI121" i="1"/>
  <c r="I132" i="1"/>
  <c r="AB132" i="1"/>
  <c r="AG132" i="1" s="1"/>
  <c r="G133" i="1"/>
  <c r="I133" i="1" s="1"/>
  <c r="AB134" i="1"/>
  <c r="AG134" i="1" s="1"/>
  <c r="AB135" i="1"/>
  <c r="AG135" i="1" s="1"/>
  <c r="G136" i="1"/>
  <c r="F122" i="1"/>
  <c r="AB130" i="1"/>
  <c r="AD130" i="1" s="1"/>
  <c r="AE130" i="1" s="1"/>
  <c r="U83" i="1"/>
  <c r="F40" i="1"/>
  <c r="N73" i="1"/>
  <c r="P73" i="1" s="1"/>
  <c r="Q73" i="1" s="1"/>
  <c r="N83" i="1"/>
  <c r="R83" i="1" s="1"/>
  <c r="AB87" i="1"/>
  <c r="AD87" i="1" s="1"/>
  <c r="AE87" i="1" s="1"/>
  <c r="N118" i="1"/>
  <c r="S118" i="1" s="1"/>
  <c r="AI123" i="1"/>
  <c r="K132" i="1"/>
  <c r="U132" i="1" s="1"/>
  <c r="N133" i="1"/>
  <c r="S133" i="1" s="1"/>
  <c r="N136" i="1"/>
  <c r="S136" i="1" s="1"/>
  <c r="N137" i="1"/>
  <c r="R137" i="1" s="1"/>
  <c r="G104" i="1"/>
  <c r="I104" i="1" s="1"/>
  <c r="F109" i="1"/>
  <c r="P119" i="1"/>
  <c r="Q119" i="1" s="1"/>
  <c r="AG120" i="1"/>
  <c r="N121" i="1"/>
  <c r="P121" i="1" s="1"/>
  <c r="Q121" i="1" s="1"/>
  <c r="U127" i="1"/>
  <c r="AI128" i="1"/>
  <c r="AI129" i="1"/>
  <c r="AA93" i="1"/>
  <c r="G12" i="1"/>
  <c r="K10" i="1"/>
  <c r="I22" i="1"/>
  <c r="F22" i="1"/>
  <c r="K41" i="1"/>
  <c r="G41" i="1"/>
  <c r="L144" i="1"/>
  <c r="L96" i="1"/>
  <c r="G5" i="1"/>
  <c r="AC93" i="1"/>
  <c r="F19" i="1"/>
  <c r="K26" i="1"/>
  <c r="G26" i="1"/>
  <c r="Z144" i="1"/>
  <c r="Z96" i="1"/>
  <c r="F8" i="1"/>
  <c r="I17" i="1"/>
  <c r="F17" i="1"/>
  <c r="X41" i="1"/>
  <c r="Z41" i="1" s="1"/>
  <c r="AI1" i="1"/>
  <c r="M93" i="1"/>
  <c r="W94" i="1"/>
  <c r="W93" i="1"/>
  <c r="X34" i="1" s="1"/>
  <c r="G20" i="1"/>
  <c r="F14" i="1"/>
  <c r="X24" i="1"/>
  <c r="Y93" i="1"/>
  <c r="I10" i="1"/>
  <c r="G13" i="1"/>
  <c r="K13" i="1"/>
  <c r="I25" i="1"/>
  <c r="F25" i="1"/>
  <c r="F39" i="1"/>
  <c r="I39" i="1"/>
  <c r="I44" i="1"/>
  <c r="F44" i="1"/>
  <c r="K21" i="1"/>
  <c r="I43" i="1"/>
  <c r="I48" i="1"/>
  <c r="F48" i="1"/>
  <c r="K49" i="1"/>
  <c r="G49" i="1"/>
  <c r="G35" i="1"/>
  <c r="K35" i="1"/>
  <c r="K44" i="1"/>
  <c r="I45" i="1"/>
  <c r="F45" i="1"/>
  <c r="I46" i="1"/>
  <c r="F29" i="1"/>
  <c r="G53" i="1"/>
  <c r="K53" i="1"/>
  <c r="K54" i="1"/>
  <c r="G54" i="1"/>
  <c r="I58" i="1"/>
  <c r="F58" i="1"/>
  <c r="X38" i="1"/>
  <c r="X39" i="1"/>
  <c r="X42" i="1"/>
  <c r="X69" i="1"/>
  <c r="F31" i="1"/>
  <c r="I32" i="1"/>
  <c r="F36" i="1"/>
  <c r="X43" i="1"/>
  <c r="AD74" i="1"/>
  <c r="AE74" i="1" s="1"/>
  <c r="AG74" i="1"/>
  <c r="X68" i="1"/>
  <c r="F70" i="1"/>
  <c r="I70" i="1"/>
  <c r="S82" i="1"/>
  <c r="R82" i="1"/>
  <c r="P82" i="1"/>
  <c r="Q82" i="1" s="1"/>
  <c r="K39" i="1"/>
  <c r="K43" i="1"/>
  <c r="K46" i="1"/>
  <c r="K57" i="1"/>
  <c r="X65" i="1"/>
  <c r="F66" i="1"/>
  <c r="G76" i="1"/>
  <c r="K76" i="1"/>
  <c r="U76" i="1" s="1"/>
  <c r="X64" i="1"/>
  <c r="S73" i="1"/>
  <c r="I75" i="1"/>
  <c r="F75" i="1"/>
  <c r="AI75" i="1"/>
  <c r="K61" i="1"/>
  <c r="G61" i="1"/>
  <c r="G69" i="1"/>
  <c r="K69" i="1"/>
  <c r="AB75" i="1"/>
  <c r="G50" i="1"/>
  <c r="F63" i="1"/>
  <c r="F67" i="1"/>
  <c r="AG83" i="1"/>
  <c r="AD83" i="1"/>
  <c r="AE83" i="1" s="1"/>
  <c r="I88" i="1"/>
  <c r="F88" i="1"/>
  <c r="R81" i="1"/>
  <c r="P81" i="1"/>
  <c r="Q81" i="1" s="1"/>
  <c r="K82" i="1"/>
  <c r="U82" i="1" s="1"/>
  <c r="G82" i="1"/>
  <c r="R89" i="1"/>
  <c r="P89" i="1"/>
  <c r="Q89" i="1" s="1"/>
  <c r="K90" i="1"/>
  <c r="U90" i="1" s="1"/>
  <c r="G90" i="1"/>
  <c r="AF73" i="1"/>
  <c r="I74" i="1"/>
  <c r="P75" i="1"/>
  <c r="Q75" i="1" s="1"/>
  <c r="K77" i="1"/>
  <c r="U77" i="1" s="1"/>
  <c r="G77" i="1"/>
  <c r="AI80" i="1"/>
  <c r="S85" i="1"/>
  <c r="R85" i="1"/>
  <c r="G64" i="1"/>
  <c r="R75" i="1"/>
  <c r="AG77" i="1"/>
  <c r="AF82" i="1"/>
  <c r="I84" i="1"/>
  <c r="F84" i="1"/>
  <c r="N87" i="1"/>
  <c r="AF90" i="1"/>
  <c r="AG76" i="1"/>
  <c r="U78" i="1"/>
  <c r="U79" i="1"/>
  <c r="AG82" i="1"/>
  <c r="AI83" i="1"/>
  <c r="AG84" i="1"/>
  <c r="AF84" i="1"/>
  <c r="K85" i="1"/>
  <c r="U85" i="1" s="1"/>
  <c r="G85" i="1"/>
  <c r="S90" i="1"/>
  <c r="R90" i="1"/>
  <c r="P90" i="1"/>
  <c r="Q90" i="1" s="1"/>
  <c r="AG90" i="1"/>
  <c r="I79" i="1"/>
  <c r="F79" i="1"/>
  <c r="AD79" i="1"/>
  <c r="AE79" i="1" s="1"/>
  <c r="AG79" i="1"/>
  <c r="I81" i="1"/>
  <c r="F81" i="1"/>
  <c r="S83" i="1"/>
  <c r="I89" i="1"/>
  <c r="F89" i="1"/>
  <c r="F73" i="1"/>
  <c r="U74" i="1"/>
  <c r="P74" i="1"/>
  <c r="Q74" i="1" s="1"/>
  <c r="AG78" i="1"/>
  <c r="AD78" i="1"/>
  <c r="AE78" i="1" s="1"/>
  <c r="F80" i="1"/>
  <c r="S84" i="1"/>
  <c r="R84" i="1"/>
  <c r="P84" i="1"/>
  <c r="Q84" i="1" s="1"/>
  <c r="AD85" i="1"/>
  <c r="AE85" i="1" s="1"/>
  <c r="AB88" i="1"/>
  <c r="F68" i="1"/>
  <c r="R78" i="1"/>
  <c r="N79" i="1"/>
  <c r="P118" i="1"/>
  <c r="Q118" i="1" s="1"/>
  <c r="AI79" i="1"/>
  <c r="AI87" i="1"/>
  <c r="P120" i="1"/>
  <c r="Q120" i="1" s="1"/>
  <c r="R120" i="1"/>
  <c r="S120" i="1"/>
  <c r="G87" i="1"/>
  <c r="R121" i="1"/>
  <c r="P123" i="1"/>
  <c r="Q123" i="1" s="1"/>
  <c r="R123" i="1"/>
  <c r="S123" i="1"/>
  <c r="AF132" i="1"/>
  <c r="I121" i="1"/>
  <c r="F121" i="1"/>
  <c r="K123" i="1"/>
  <c r="U123" i="1" s="1"/>
  <c r="G123" i="1"/>
  <c r="AB124" i="1"/>
  <c r="I125" i="1"/>
  <c r="F125" i="1"/>
  <c r="AI127" i="1"/>
  <c r="U128" i="1"/>
  <c r="AD128" i="1"/>
  <c r="AE128" i="1" s="1"/>
  <c r="AF129" i="1"/>
  <c r="AD129" i="1"/>
  <c r="AE129" i="1" s="1"/>
  <c r="R132" i="1"/>
  <c r="R133" i="1"/>
  <c r="R135" i="1"/>
  <c r="P135" i="1"/>
  <c r="Q135" i="1" s="1"/>
  <c r="AB136" i="1"/>
  <c r="AC141" i="1"/>
  <c r="F104" i="1"/>
  <c r="AG122" i="1"/>
  <c r="AF122" i="1"/>
  <c r="AF126" i="1"/>
  <c r="I110" i="1"/>
  <c r="F110" i="1"/>
  <c r="AF121" i="1"/>
  <c r="AD121" i="1"/>
  <c r="AE121" i="1" s="1"/>
  <c r="AF125" i="1"/>
  <c r="AD125" i="1"/>
  <c r="AE125" i="1" s="1"/>
  <c r="AG125" i="1"/>
  <c r="AI126" i="1"/>
  <c r="R129" i="1"/>
  <c r="P129" i="1"/>
  <c r="Q129" i="1" s="1"/>
  <c r="S129" i="1"/>
  <c r="AI130" i="1"/>
  <c r="P131" i="1"/>
  <c r="Q131" i="1" s="1"/>
  <c r="R131" i="1"/>
  <c r="M141" i="1"/>
  <c r="W142" i="1"/>
  <c r="W141" i="1"/>
  <c r="X102" i="1" s="1"/>
  <c r="G103" i="1"/>
  <c r="F108" i="1"/>
  <c r="I108" i="1"/>
  <c r="I114" i="1"/>
  <c r="F114" i="1"/>
  <c r="N117" i="1"/>
  <c r="U118" i="1"/>
  <c r="AD122" i="1"/>
  <c r="AE122" i="1" s="1"/>
  <c r="R125" i="1"/>
  <c r="P125" i="1"/>
  <c r="Q125" i="1" s="1"/>
  <c r="R127" i="1"/>
  <c r="P127" i="1"/>
  <c r="Q127" i="1" s="1"/>
  <c r="AG129" i="1"/>
  <c r="S131" i="1"/>
  <c r="AF137" i="1"/>
  <c r="AI118" i="1"/>
  <c r="K120" i="1"/>
  <c r="U120" i="1" s="1"/>
  <c r="G120" i="1"/>
  <c r="S134" i="1"/>
  <c r="R134" i="1"/>
  <c r="G135" i="1"/>
  <c r="Y141" i="1"/>
  <c r="F101" i="1"/>
  <c r="AF119" i="1"/>
  <c r="I112" i="1"/>
  <c r="F112" i="1"/>
  <c r="S128" i="1"/>
  <c r="P128" i="1"/>
  <c r="Q128" i="1" s="1"/>
  <c r="I129" i="1"/>
  <c r="F129" i="1"/>
  <c r="K131" i="1"/>
  <c r="U131" i="1" s="1"/>
  <c r="G131" i="1"/>
  <c r="U136" i="1"/>
  <c r="P137" i="1"/>
  <c r="Q137" i="1" s="1"/>
  <c r="AD137" i="1"/>
  <c r="AE137" i="1" s="1"/>
  <c r="I100" i="1"/>
  <c r="AA141" i="1"/>
  <c r="AD119" i="1"/>
  <c r="AE119" i="1" s="1"/>
  <c r="U121" i="1"/>
  <c r="N124" i="1"/>
  <c r="S126" i="1"/>
  <c r="R126" i="1"/>
  <c r="G127" i="1"/>
  <c r="R128" i="1"/>
  <c r="P132" i="1"/>
  <c r="Q132" i="1" s="1"/>
  <c r="AB133" i="1"/>
  <c r="AI134" i="1"/>
  <c r="AF135" i="1"/>
  <c r="I136" i="1"/>
  <c r="F136" i="1"/>
  <c r="AI137" i="1"/>
  <c r="K111" i="1"/>
  <c r="AI125" i="1"/>
  <c r="AI133" i="1"/>
  <c r="AI136" i="1"/>
  <c r="AD120" i="1"/>
  <c r="AE120" i="1" s="1"/>
  <c r="AD123" i="1"/>
  <c r="AE123" i="1" s="1"/>
  <c r="AD131" i="1"/>
  <c r="AE131" i="1" s="1"/>
  <c r="AD118" i="1" l="1"/>
  <c r="AE118" i="1" s="1"/>
  <c r="AF127" i="1"/>
  <c r="R118" i="1"/>
  <c r="AD127" i="1"/>
  <c r="AE127" i="1" s="1"/>
  <c r="AF118" i="1"/>
  <c r="AF128" i="1"/>
  <c r="AD126" i="1"/>
  <c r="AE126" i="1" s="1"/>
  <c r="AG130" i="1"/>
  <c r="P130" i="1"/>
  <c r="Q130" i="1" s="1"/>
  <c r="AF117" i="1"/>
  <c r="AD134" i="1"/>
  <c r="AE134" i="1" s="1"/>
  <c r="R76" i="1"/>
  <c r="AF85" i="1"/>
  <c r="AF86" i="1"/>
  <c r="P80" i="1"/>
  <c r="Q80" i="1" s="1"/>
  <c r="AD86" i="1"/>
  <c r="AE86" i="1" s="1"/>
  <c r="P76" i="1"/>
  <c r="Q76" i="1" s="1"/>
  <c r="P88" i="1"/>
  <c r="Q88" i="1" s="1"/>
  <c r="I51" i="1"/>
  <c r="AD132" i="1"/>
  <c r="AE132" i="1" s="1"/>
  <c r="Z102" i="1"/>
  <c r="AB102" i="1" s="1"/>
  <c r="AG102" i="1" s="1"/>
  <c r="P136" i="1"/>
  <c r="Q136" i="1" s="1"/>
  <c r="S121" i="1"/>
  <c r="R136" i="1"/>
  <c r="P133" i="1"/>
  <c r="Q133" i="1" s="1"/>
  <c r="AF130" i="1"/>
  <c r="AG87" i="1"/>
  <c r="I86" i="1"/>
  <c r="AD135" i="1"/>
  <c r="AE135" i="1" s="1"/>
  <c r="P83" i="1"/>
  <c r="Q83" i="1" s="1"/>
  <c r="AF134" i="1"/>
  <c r="F118" i="1"/>
  <c r="I30" i="1"/>
  <c r="S86" i="1"/>
  <c r="R86" i="1"/>
  <c r="R74" i="1"/>
  <c r="I106" i="1"/>
  <c r="F55" i="1"/>
  <c r="X58" i="1"/>
  <c r="Z58" i="1" s="1"/>
  <c r="AB58" i="1" s="1"/>
  <c r="F7" i="1"/>
  <c r="AF87" i="1"/>
  <c r="I28" i="1"/>
  <c r="K141" i="1"/>
  <c r="X109" i="1"/>
  <c r="Z109" i="1" s="1"/>
  <c r="AB109" i="1" s="1"/>
  <c r="AF109" i="1" s="1"/>
  <c r="I15" i="1"/>
  <c r="X16" i="1"/>
  <c r="Z16" i="1" s="1"/>
  <c r="X106" i="1"/>
  <c r="Z106" i="1" s="1"/>
  <c r="AI106" i="1" s="1"/>
  <c r="R73" i="1"/>
  <c r="X45" i="1"/>
  <c r="Z45" i="1" s="1"/>
  <c r="AD89" i="1"/>
  <c r="AE89" i="1" s="1"/>
  <c r="AF89" i="1"/>
  <c r="X114" i="1"/>
  <c r="Z114" i="1" s="1"/>
  <c r="AI114" i="1" s="1"/>
  <c r="Z68" i="1"/>
  <c r="AI68" i="1" s="1"/>
  <c r="I23" i="1"/>
  <c r="Z42" i="1"/>
  <c r="I37" i="1"/>
  <c r="Z34" i="1"/>
  <c r="AB34" i="1" s="1"/>
  <c r="AD34" i="1" s="1"/>
  <c r="AE34" i="1" s="1"/>
  <c r="X30" i="1"/>
  <c r="Z30" i="1" s="1"/>
  <c r="AI30" i="1" s="1"/>
  <c r="X35" i="1"/>
  <c r="Z35" i="1" s="1"/>
  <c r="I134" i="1"/>
  <c r="F134" i="1"/>
  <c r="AF76" i="1"/>
  <c r="AD76" i="1"/>
  <c r="AE76" i="1" s="1"/>
  <c r="I62" i="1"/>
  <c r="F62" i="1"/>
  <c r="F6" i="1"/>
  <c r="I6" i="1"/>
  <c r="I137" i="1"/>
  <c r="F137" i="1"/>
  <c r="F133" i="1"/>
  <c r="X23" i="1"/>
  <c r="Z23" i="1" s="1"/>
  <c r="AI23" i="1" s="1"/>
  <c r="X27" i="1"/>
  <c r="Z27" i="1" s="1"/>
  <c r="I126" i="1"/>
  <c r="F126" i="1"/>
  <c r="F102" i="1"/>
  <c r="I102" i="1"/>
  <c r="S137" i="1"/>
  <c r="X103" i="1"/>
  <c r="Z103" i="1" s="1"/>
  <c r="AB103" i="1" s="1"/>
  <c r="AD103" i="1" s="1"/>
  <c r="AE103" i="1" s="1"/>
  <c r="X12" i="1"/>
  <c r="F124" i="1"/>
  <c r="I124" i="1"/>
  <c r="AF80" i="1"/>
  <c r="F42" i="1"/>
  <c r="I42" i="1"/>
  <c r="X111" i="1"/>
  <c r="Z111" i="1" s="1"/>
  <c r="AB111" i="1" s="1"/>
  <c r="AH111" i="1" s="1"/>
  <c r="G141" i="1"/>
  <c r="AG80" i="1"/>
  <c r="I65" i="1"/>
  <c r="I11" i="1"/>
  <c r="F11" i="1"/>
  <c r="F107" i="1"/>
  <c r="I107" i="1"/>
  <c r="I105" i="1"/>
  <c r="F105" i="1"/>
  <c r="I127" i="1"/>
  <c r="F127" i="1"/>
  <c r="G142" i="1"/>
  <c r="S117" i="1"/>
  <c r="P117" i="1"/>
  <c r="Q117" i="1" s="1"/>
  <c r="R117" i="1"/>
  <c r="AB114" i="1"/>
  <c r="I103" i="1"/>
  <c r="F103" i="1"/>
  <c r="AI109" i="1"/>
  <c r="Z38" i="1"/>
  <c r="Z24" i="1"/>
  <c r="G94" i="1"/>
  <c r="G93" i="1"/>
  <c r="F5" i="1"/>
  <c r="I5" i="1"/>
  <c r="F12" i="1"/>
  <c r="I12" i="1"/>
  <c r="S79" i="1"/>
  <c r="R79" i="1"/>
  <c r="P79" i="1"/>
  <c r="Q79" i="1" s="1"/>
  <c r="S124" i="1"/>
  <c r="R124" i="1"/>
  <c r="P124" i="1"/>
  <c r="Q124" i="1" s="1"/>
  <c r="I135" i="1"/>
  <c r="F135" i="1"/>
  <c r="X113" i="1"/>
  <c r="Z113" i="1" s="1"/>
  <c r="X105" i="1"/>
  <c r="Z105" i="1" s="1"/>
  <c r="X112" i="1"/>
  <c r="Z112" i="1" s="1"/>
  <c r="X108" i="1"/>
  <c r="Z108" i="1" s="1"/>
  <c r="X104" i="1"/>
  <c r="Z104" i="1" s="1"/>
  <c r="X101" i="1"/>
  <c r="Z101" i="1" s="1"/>
  <c r="X100" i="1"/>
  <c r="X107" i="1"/>
  <c r="Z107" i="1" s="1"/>
  <c r="X110" i="1"/>
  <c r="Z110" i="1" s="1"/>
  <c r="Z65" i="1"/>
  <c r="F53" i="1"/>
  <c r="I53" i="1"/>
  <c r="X66" i="1"/>
  <c r="Z66" i="1" s="1"/>
  <c r="X62" i="1"/>
  <c r="Z62" i="1" s="1"/>
  <c r="X56" i="1"/>
  <c r="Z56" i="1" s="1"/>
  <c r="X63" i="1"/>
  <c r="Z63" i="1" s="1"/>
  <c r="X52" i="1"/>
  <c r="Z52" i="1" s="1"/>
  <c r="X70" i="1"/>
  <c r="Z70" i="1" s="1"/>
  <c r="X61" i="1"/>
  <c r="Z61" i="1" s="1"/>
  <c r="X50" i="1"/>
  <c r="Z50" i="1" s="1"/>
  <c r="X48" i="1"/>
  <c r="Z48" i="1" s="1"/>
  <c r="X40" i="1"/>
  <c r="Z40" i="1" s="1"/>
  <c r="X57" i="1"/>
  <c r="Z57" i="1" s="1"/>
  <c r="X55" i="1"/>
  <c r="Z55" i="1" s="1"/>
  <c r="X28" i="1"/>
  <c r="Z28" i="1" s="1"/>
  <c r="X67" i="1"/>
  <c r="Z67" i="1" s="1"/>
  <c r="X33" i="1"/>
  <c r="Z33" i="1" s="1"/>
  <c r="X21" i="1"/>
  <c r="Z21" i="1" s="1"/>
  <c r="X22" i="1"/>
  <c r="Z22" i="1" s="1"/>
  <c r="X14" i="1"/>
  <c r="Z14" i="1" s="1"/>
  <c r="X53" i="1"/>
  <c r="Z53" i="1" s="1"/>
  <c r="X15" i="1"/>
  <c r="Z15" i="1" s="1"/>
  <c r="X51" i="1"/>
  <c r="Z51" i="1" s="1"/>
  <c r="X47" i="1"/>
  <c r="Z47" i="1" s="1"/>
  <c r="X46" i="1"/>
  <c r="Z46" i="1" s="1"/>
  <c r="X44" i="1"/>
  <c r="Z44" i="1" s="1"/>
  <c r="X29" i="1"/>
  <c r="Z29" i="1" s="1"/>
  <c r="X20" i="1"/>
  <c r="Z20" i="1" s="1"/>
  <c r="X32" i="1"/>
  <c r="Z32" i="1" s="1"/>
  <c r="X18" i="1"/>
  <c r="Z18" i="1" s="1"/>
  <c r="X5" i="1"/>
  <c r="X8" i="1"/>
  <c r="Z8" i="1" s="1"/>
  <c r="X36" i="1"/>
  <c r="Z36" i="1" s="1"/>
  <c r="X26" i="1"/>
  <c r="Z26" i="1" s="1"/>
  <c r="X10" i="1"/>
  <c r="Z10" i="1" s="1"/>
  <c r="X54" i="1"/>
  <c r="Z54" i="1" s="1"/>
  <c r="AA149" i="1"/>
  <c r="I64" i="1"/>
  <c r="F64" i="1"/>
  <c r="F50" i="1"/>
  <c r="I50" i="1"/>
  <c r="F61" i="1"/>
  <c r="I61" i="1"/>
  <c r="F35" i="1"/>
  <c r="I35" i="1"/>
  <c r="AF34" i="1"/>
  <c r="AG34" i="1"/>
  <c r="W149" i="1"/>
  <c r="AB41" i="1"/>
  <c r="AI41" i="1"/>
  <c r="I26" i="1"/>
  <c r="F26" i="1"/>
  <c r="Z12" i="1"/>
  <c r="AD102" i="1"/>
  <c r="AE102" i="1" s="1"/>
  <c r="S87" i="1"/>
  <c r="R87" i="1"/>
  <c r="P87" i="1"/>
  <c r="Q87" i="1" s="1"/>
  <c r="AF75" i="1"/>
  <c r="AG75" i="1"/>
  <c r="AD75" i="1"/>
  <c r="AE75" i="1" s="1"/>
  <c r="M149" i="1"/>
  <c r="F41" i="1"/>
  <c r="I41" i="1"/>
  <c r="AF133" i="1"/>
  <c r="AD133" i="1"/>
  <c r="AE133" i="1" s="1"/>
  <c r="AG133" i="1"/>
  <c r="AD111" i="1"/>
  <c r="AE111" i="1" s="1"/>
  <c r="F123" i="1"/>
  <c r="I123" i="1"/>
  <c r="I82" i="1"/>
  <c r="F82" i="1"/>
  <c r="Z69" i="1"/>
  <c r="I13" i="1"/>
  <c r="F13" i="1"/>
  <c r="X11" i="1"/>
  <c r="Z11" i="1" s="1"/>
  <c r="X25" i="1"/>
  <c r="Z25" i="1" s="1"/>
  <c r="X19" i="1"/>
  <c r="Z19" i="1" s="1"/>
  <c r="X7" i="1"/>
  <c r="Z7" i="1" s="1"/>
  <c r="F131" i="1"/>
  <c r="I131" i="1"/>
  <c r="AG124" i="1"/>
  <c r="AD124" i="1"/>
  <c r="AE124" i="1" s="1"/>
  <c r="AF124" i="1"/>
  <c r="AH109" i="1"/>
  <c r="F120" i="1"/>
  <c r="I120" i="1"/>
  <c r="AF136" i="1"/>
  <c r="AD136" i="1"/>
  <c r="AE136" i="1" s="1"/>
  <c r="AG136" i="1"/>
  <c r="I69" i="1"/>
  <c r="F69" i="1"/>
  <c r="Z64" i="1"/>
  <c r="F49" i="1"/>
  <c r="I49" i="1"/>
  <c r="X31" i="1"/>
  <c r="Z31" i="1" s="1"/>
  <c r="F20" i="1"/>
  <c r="I20" i="1"/>
  <c r="X13" i="1"/>
  <c r="Z13" i="1" s="1"/>
  <c r="I85" i="1"/>
  <c r="F85" i="1"/>
  <c r="I90" i="1"/>
  <c r="F90" i="1"/>
  <c r="AB68" i="1"/>
  <c r="AB42" i="1"/>
  <c r="AI42" i="1"/>
  <c r="I54" i="1"/>
  <c r="F54" i="1"/>
  <c r="Y149" i="1"/>
  <c r="AB23" i="1"/>
  <c r="AC149" i="1"/>
  <c r="K93" i="1"/>
  <c r="I87" i="1"/>
  <c r="F87" i="1"/>
  <c r="AG88" i="1"/>
  <c r="AF88" i="1"/>
  <c r="AD88" i="1"/>
  <c r="AE88" i="1" s="1"/>
  <c r="I77" i="1"/>
  <c r="F77" i="1"/>
  <c r="I76" i="1"/>
  <c r="F76" i="1"/>
  <c r="Z43" i="1"/>
  <c r="Z39" i="1"/>
  <c r="X37" i="1"/>
  <c r="Z37" i="1" s="1"/>
  <c r="X9" i="1"/>
  <c r="Z9" i="1" s="1"/>
  <c r="X49" i="1"/>
  <c r="Z49" i="1" s="1"/>
  <c r="X17" i="1"/>
  <c r="Z17" i="1" s="1"/>
  <c r="X6" i="1"/>
  <c r="Z6" i="1" s="1"/>
  <c r="AB106" i="1" l="1"/>
  <c r="AH106" i="1" s="1"/>
  <c r="AI102" i="1"/>
  <c r="AI34" i="1"/>
  <c r="AB30" i="1"/>
  <c r="AH30" i="1" s="1"/>
  <c r="AI111" i="1"/>
  <c r="AH102" i="1"/>
  <c r="AG111" i="1"/>
  <c r="I141" i="1"/>
  <c r="AF102" i="1"/>
  <c r="AF111" i="1"/>
  <c r="K149" i="1"/>
  <c r="AI58" i="1"/>
  <c r="AD109" i="1"/>
  <c r="AE109" i="1" s="1"/>
  <c r="AG109" i="1"/>
  <c r="AH34" i="1"/>
  <c r="J100" i="1"/>
  <c r="L100" i="1" s="1"/>
  <c r="J106" i="1"/>
  <c r="L106" i="1" s="1"/>
  <c r="N106" i="1" s="1"/>
  <c r="G149" i="1"/>
  <c r="I142" i="1"/>
  <c r="AG103" i="1"/>
  <c r="J112" i="1"/>
  <c r="L112" i="1" s="1"/>
  <c r="U112" i="1" s="1"/>
  <c r="AF103" i="1"/>
  <c r="AH103" i="1"/>
  <c r="AI103" i="1"/>
  <c r="J114" i="1"/>
  <c r="L114" i="1" s="1"/>
  <c r="U114" i="1" s="1"/>
  <c r="J108" i="1"/>
  <c r="L108" i="1" s="1"/>
  <c r="U108" i="1" s="1"/>
  <c r="AF30" i="1"/>
  <c r="AD30" i="1"/>
  <c r="AE30" i="1" s="1"/>
  <c r="AB69" i="1"/>
  <c r="AI69" i="1"/>
  <c r="AB12" i="1"/>
  <c r="AI12" i="1"/>
  <c r="AB105" i="1"/>
  <c r="AI105" i="1"/>
  <c r="AB9" i="1"/>
  <c r="AI9" i="1"/>
  <c r="AB64" i="1"/>
  <c r="AI64" i="1"/>
  <c r="AB19" i="1"/>
  <c r="AI19" i="1"/>
  <c r="AB18" i="1"/>
  <c r="AI18" i="1"/>
  <c r="AB15" i="1"/>
  <c r="AI15" i="1"/>
  <c r="AB55" i="1"/>
  <c r="AI55" i="1"/>
  <c r="AB63" i="1"/>
  <c r="AI63" i="1"/>
  <c r="AB65" i="1"/>
  <c r="AI65" i="1"/>
  <c r="AB112" i="1"/>
  <c r="AI112" i="1"/>
  <c r="AG114" i="1"/>
  <c r="AF114" i="1"/>
  <c r="AH114" i="1"/>
  <c r="AD114" i="1"/>
  <c r="AE114" i="1" s="1"/>
  <c r="AB25" i="1"/>
  <c r="AI25" i="1"/>
  <c r="AB40" i="1"/>
  <c r="AI40" i="1"/>
  <c r="AB110" i="1"/>
  <c r="AI110" i="1"/>
  <c r="AB37" i="1"/>
  <c r="AI37" i="1"/>
  <c r="AB11" i="1"/>
  <c r="AI11" i="1"/>
  <c r="AI10" i="1"/>
  <c r="AB10" i="1"/>
  <c r="AB29" i="1"/>
  <c r="AI29" i="1"/>
  <c r="AB22" i="1"/>
  <c r="AI22" i="1"/>
  <c r="AB48" i="1"/>
  <c r="AI48" i="1"/>
  <c r="AB66" i="1"/>
  <c r="AI66" i="1"/>
  <c r="AI107" i="1"/>
  <c r="AB107" i="1"/>
  <c r="J110" i="1"/>
  <c r="L110" i="1" s="1"/>
  <c r="AI24" i="1"/>
  <c r="AB24" i="1"/>
  <c r="AI32" i="1"/>
  <c r="AB32" i="1"/>
  <c r="AB62" i="1"/>
  <c r="AI62" i="1"/>
  <c r="AB113" i="1"/>
  <c r="AI113" i="1"/>
  <c r="AB31" i="1"/>
  <c r="AI31" i="1"/>
  <c r="AB26" i="1"/>
  <c r="AI26" i="1"/>
  <c r="AB44" i="1"/>
  <c r="AI44" i="1"/>
  <c r="AB21" i="1"/>
  <c r="AI21" i="1"/>
  <c r="AB50" i="1"/>
  <c r="AI50" i="1"/>
  <c r="X141" i="1"/>
  <c r="Z100" i="1"/>
  <c r="AH68" i="1"/>
  <c r="AG68" i="1"/>
  <c r="AD68" i="1"/>
  <c r="AE68" i="1" s="1"/>
  <c r="AF68" i="1"/>
  <c r="AB35" i="1"/>
  <c r="AI35" i="1"/>
  <c r="AB56" i="1"/>
  <c r="AI56" i="1"/>
  <c r="AB54" i="1"/>
  <c r="AI54" i="1"/>
  <c r="AH23" i="1"/>
  <c r="AG23" i="1"/>
  <c r="AF23" i="1"/>
  <c r="AD23" i="1"/>
  <c r="AE23" i="1" s="1"/>
  <c r="AB36" i="1"/>
  <c r="AI36" i="1"/>
  <c r="AI46" i="1"/>
  <c r="AB46" i="1"/>
  <c r="AB33" i="1"/>
  <c r="AI33" i="1"/>
  <c r="AB61" i="1"/>
  <c r="AI61" i="1"/>
  <c r="AB101" i="1"/>
  <c r="AI101" i="1"/>
  <c r="AB16" i="1"/>
  <c r="AI16" i="1"/>
  <c r="AG58" i="1"/>
  <c r="AF58" i="1"/>
  <c r="AH58" i="1"/>
  <c r="AD58" i="1"/>
  <c r="AE58" i="1" s="1"/>
  <c r="AB57" i="1"/>
  <c r="AI57" i="1"/>
  <c r="AB14" i="1"/>
  <c r="AI14" i="1"/>
  <c r="AB6" i="1"/>
  <c r="AI6" i="1"/>
  <c r="AI39" i="1"/>
  <c r="AB39" i="1"/>
  <c r="AD41" i="1"/>
  <c r="AH41" i="1"/>
  <c r="AG41" i="1"/>
  <c r="AF41" i="1"/>
  <c r="AB8" i="1"/>
  <c r="AI8" i="1"/>
  <c r="AB47" i="1"/>
  <c r="AI47" i="1"/>
  <c r="AB67" i="1"/>
  <c r="AI67" i="1"/>
  <c r="AB70" i="1"/>
  <c r="AI70" i="1"/>
  <c r="AB104" i="1"/>
  <c r="AI104" i="1"/>
  <c r="J105" i="1"/>
  <c r="L105" i="1" s="1"/>
  <c r="J104" i="1"/>
  <c r="L104" i="1" s="1"/>
  <c r="J102" i="1"/>
  <c r="L102" i="1" s="1"/>
  <c r="J113" i="1"/>
  <c r="L113" i="1" s="1"/>
  <c r="J111" i="1"/>
  <c r="L111" i="1" s="1"/>
  <c r="J101" i="1"/>
  <c r="L101" i="1" s="1"/>
  <c r="J107" i="1"/>
  <c r="L107" i="1" s="1"/>
  <c r="J109" i="1"/>
  <c r="L109" i="1" s="1"/>
  <c r="I94" i="1"/>
  <c r="I93" i="1"/>
  <c r="J50" i="1" s="1"/>
  <c r="L50" i="1" s="1"/>
  <c r="AB49" i="1"/>
  <c r="AI49" i="1"/>
  <c r="AB53" i="1"/>
  <c r="AI53" i="1"/>
  <c r="AB27" i="1"/>
  <c r="AI27" i="1"/>
  <c r="AB20" i="1"/>
  <c r="AI20" i="1"/>
  <c r="AB45" i="1"/>
  <c r="AI45" i="1"/>
  <c r="AI17" i="1"/>
  <c r="AB17" i="1"/>
  <c r="AI43" i="1"/>
  <c r="AB43" i="1"/>
  <c r="AG42" i="1"/>
  <c r="AF42" i="1"/>
  <c r="AH42" i="1"/>
  <c r="AD42" i="1"/>
  <c r="AE42" i="1" s="1"/>
  <c r="AB13" i="1"/>
  <c r="AI13" i="1"/>
  <c r="AI7" i="1"/>
  <c r="AB7" i="1"/>
  <c r="AF106" i="1"/>
  <c r="X93" i="1"/>
  <c r="Z5" i="1"/>
  <c r="AB51" i="1"/>
  <c r="AI51" i="1"/>
  <c r="AB28" i="1"/>
  <c r="AI28" i="1"/>
  <c r="AB52" i="1"/>
  <c r="AI52" i="1"/>
  <c r="AI108" i="1"/>
  <c r="AB108" i="1"/>
  <c r="AB38" i="1"/>
  <c r="AI38" i="1"/>
  <c r="J103" i="1"/>
  <c r="L103" i="1" s="1"/>
  <c r="AG106" i="1" l="1"/>
  <c r="AD106" i="1"/>
  <c r="AE106" i="1" s="1"/>
  <c r="AG30" i="1"/>
  <c r="N108" i="1"/>
  <c r="P108" i="1" s="1"/>
  <c r="Q108" i="1" s="1"/>
  <c r="J5" i="1"/>
  <c r="L5" i="1" s="1"/>
  <c r="U106" i="1"/>
  <c r="N114" i="1"/>
  <c r="P114" i="1" s="1"/>
  <c r="Q114" i="1" s="1"/>
  <c r="J13" i="1"/>
  <c r="L13" i="1" s="1"/>
  <c r="U13" i="1" s="1"/>
  <c r="N112" i="1"/>
  <c r="T112" i="1" s="1"/>
  <c r="J61" i="1"/>
  <c r="L61" i="1" s="1"/>
  <c r="N61" i="1" s="1"/>
  <c r="N50" i="1"/>
  <c r="U50" i="1"/>
  <c r="N102" i="1"/>
  <c r="U102" i="1"/>
  <c r="N111" i="1"/>
  <c r="U111" i="1"/>
  <c r="J35" i="1"/>
  <c r="L35" i="1" s="1"/>
  <c r="AH21" i="1"/>
  <c r="AF21" i="1"/>
  <c r="AD21" i="1"/>
  <c r="AE21" i="1" s="1"/>
  <c r="AG21" i="1"/>
  <c r="S112" i="1"/>
  <c r="AD10" i="1"/>
  <c r="AE10" i="1" s="1"/>
  <c r="AH10" i="1"/>
  <c r="AG10" i="1"/>
  <c r="AF10" i="1"/>
  <c r="AD55" i="1"/>
  <c r="AE55" i="1" s="1"/>
  <c r="AH55" i="1"/>
  <c r="AG55" i="1"/>
  <c r="AF55" i="1"/>
  <c r="R108" i="1"/>
  <c r="T108" i="1"/>
  <c r="S108" i="1"/>
  <c r="AG12" i="1"/>
  <c r="AD12" i="1"/>
  <c r="AE12" i="1" s="1"/>
  <c r="AH12" i="1"/>
  <c r="AF12" i="1"/>
  <c r="J141" i="1"/>
  <c r="N103" i="1"/>
  <c r="U103" i="1"/>
  <c r="AG28" i="1"/>
  <c r="AH28" i="1"/>
  <c r="AF28" i="1"/>
  <c r="AD28" i="1"/>
  <c r="AE28" i="1" s="1"/>
  <c r="AF45" i="1"/>
  <c r="AD45" i="1"/>
  <c r="AE45" i="1" s="1"/>
  <c r="AH45" i="1"/>
  <c r="AG45" i="1"/>
  <c r="AG49" i="1"/>
  <c r="AF49" i="1"/>
  <c r="AH49" i="1"/>
  <c r="AD49" i="1"/>
  <c r="AE49" i="1" s="1"/>
  <c r="N113" i="1"/>
  <c r="U113" i="1"/>
  <c r="AF70" i="1"/>
  <c r="AG70" i="1"/>
  <c r="AD70" i="1"/>
  <c r="AE70" i="1" s="1"/>
  <c r="AH70" i="1"/>
  <c r="AD61" i="1"/>
  <c r="AE61" i="1" s="1"/>
  <c r="AH61" i="1"/>
  <c r="AG61" i="1"/>
  <c r="AF61" i="1"/>
  <c r="J41" i="1"/>
  <c r="L41" i="1" s="1"/>
  <c r="AH54" i="1"/>
  <c r="AD54" i="1"/>
  <c r="AE54" i="1" s="1"/>
  <c r="AG54" i="1"/>
  <c r="AF54" i="1"/>
  <c r="J20" i="1"/>
  <c r="L20" i="1" s="1"/>
  <c r="AG66" i="1"/>
  <c r="AF66" i="1"/>
  <c r="AD66" i="1"/>
  <c r="AE66" i="1" s="1"/>
  <c r="AH66" i="1"/>
  <c r="AH40" i="1"/>
  <c r="AF40" i="1"/>
  <c r="AG40" i="1"/>
  <c r="AD40" i="1"/>
  <c r="AE40" i="1" s="1"/>
  <c r="N13" i="1"/>
  <c r="AH44" i="1"/>
  <c r="AF44" i="1"/>
  <c r="AD44" i="1"/>
  <c r="AE44" i="1" s="1"/>
  <c r="AG44" i="1"/>
  <c r="AG112" i="1"/>
  <c r="AD112" i="1"/>
  <c r="AE112" i="1" s="1"/>
  <c r="AH112" i="1"/>
  <c r="AF112" i="1"/>
  <c r="N104" i="1"/>
  <c r="U104" i="1"/>
  <c r="AD33" i="1"/>
  <c r="AE33" i="1" s="1"/>
  <c r="AH33" i="1"/>
  <c r="AG33" i="1"/>
  <c r="AF33" i="1"/>
  <c r="AH48" i="1"/>
  <c r="AF48" i="1"/>
  <c r="AG48" i="1"/>
  <c r="AD48" i="1"/>
  <c r="AE48" i="1" s="1"/>
  <c r="N105" i="1"/>
  <c r="U105" i="1"/>
  <c r="AF14" i="1"/>
  <c r="AD14" i="1"/>
  <c r="AE14" i="1" s="1"/>
  <c r="AH14" i="1"/>
  <c r="AG14" i="1"/>
  <c r="AG46" i="1"/>
  <c r="AH46" i="1"/>
  <c r="AD46" i="1"/>
  <c r="AE46" i="1" s="1"/>
  <c r="AF46" i="1"/>
  <c r="J64" i="1"/>
  <c r="L64" i="1" s="1"/>
  <c r="AH26" i="1"/>
  <c r="AG26" i="1"/>
  <c r="AF26" i="1"/>
  <c r="AD26" i="1"/>
  <c r="AE26" i="1" s="1"/>
  <c r="AD113" i="1"/>
  <c r="AE113" i="1" s="1"/>
  <c r="AH113" i="1"/>
  <c r="AF113" i="1"/>
  <c r="AG113" i="1"/>
  <c r="J12" i="1"/>
  <c r="L12" i="1" s="1"/>
  <c r="AD25" i="1"/>
  <c r="AE25" i="1" s="1"/>
  <c r="AH25" i="1"/>
  <c r="AG25" i="1"/>
  <c r="AF25" i="1"/>
  <c r="AG65" i="1"/>
  <c r="AF65" i="1"/>
  <c r="AH65" i="1"/>
  <c r="AD65" i="1"/>
  <c r="AE65" i="1" s="1"/>
  <c r="AH18" i="1"/>
  <c r="AG18" i="1"/>
  <c r="AF18" i="1"/>
  <c r="AD18" i="1"/>
  <c r="AE18" i="1" s="1"/>
  <c r="AH9" i="1"/>
  <c r="AD9" i="1"/>
  <c r="AE9" i="1" s="1"/>
  <c r="AG9" i="1"/>
  <c r="AF9" i="1"/>
  <c r="AH7" i="1"/>
  <c r="AG7" i="1"/>
  <c r="AF7" i="1"/>
  <c r="AD7" i="1"/>
  <c r="AE7" i="1" s="1"/>
  <c r="AH6" i="1"/>
  <c r="AF6" i="1"/>
  <c r="AD6" i="1"/>
  <c r="AE6" i="1" s="1"/>
  <c r="AG6" i="1"/>
  <c r="AG31" i="1"/>
  <c r="AF31" i="1"/>
  <c r="AD31" i="1"/>
  <c r="AE31" i="1" s="1"/>
  <c r="AH31" i="1"/>
  <c r="AD64" i="1"/>
  <c r="AE64" i="1" s="1"/>
  <c r="AG64" i="1"/>
  <c r="AH64" i="1"/>
  <c r="AF64" i="1"/>
  <c r="AF38" i="1"/>
  <c r="AH38" i="1"/>
  <c r="AG38" i="1"/>
  <c r="AD38" i="1"/>
  <c r="AE38" i="1" s="1"/>
  <c r="AG20" i="1"/>
  <c r="AD20" i="1"/>
  <c r="AE20" i="1" s="1"/>
  <c r="AH20" i="1"/>
  <c r="AF20" i="1"/>
  <c r="AD67" i="1"/>
  <c r="AE67" i="1" s="1"/>
  <c r="AG67" i="1"/>
  <c r="AF67" i="1"/>
  <c r="AH67" i="1"/>
  <c r="J54" i="1"/>
  <c r="L54" i="1" s="1"/>
  <c r="AH13" i="1"/>
  <c r="AD13" i="1"/>
  <c r="AE13" i="1" s="1"/>
  <c r="AF13" i="1"/>
  <c r="AG13" i="1"/>
  <c r="AF27" i="1"/>
  <c r="AD27" i="1"/>
  <c r="AE27" i="1" s="1"/>
  <c r="AH27" i="1"/>
  <c r="AG27" i="1"/>
  <c r="N109" i="1"/>
  <c r="U109" i="1"/>
  <c r="AH47" i="1"/>
  <c r="AF47" i="1"/>
  <c r="AD47" i="1"/>
  <c r="AE47" i="1" s="1"/>
  <c r="AG47" i="1"/>
  <c r="T114" i="1"/>
  <c r="R114" i="1"/>
  <c r="J69" i="1"/>
  <c r="L69" i="1" s="1"/>
  <c r="AH16" i="1"/>
  <c r="AG16" i="1"/>
  <c r="AF16" i="1"/>
  <c r="AD16" i="1"/>
  <c r="AE16" i="1" s="1"/>
  <c r="N110" i="1"/>
  <c r="U110" i="1"/>
  <c r="AG22" i="1"/>
  <c r="AF22" i="1"/>
  <c r="AD22" i="1"/>
  <c r="AE22" i="1" s="1"/>
  <c r="AH22" i="1"/>
  <c r="AG37" i="1"/>
  <c r="AF37" i="1"/>
  <c r="AD37" i="1"/>
  <c r="AE37" i="1" s="1"/>
  <c r="AH37" i="1"/>
  <c r="AH24" i="1"/>
  <c r="AG24" i="1"/>
  <c r="AF24" i="1"/>
  <c r="AD24" i="1"/>
  <c r="AE24" i="1" s="1"/>
  <c r="AG15" i="1"/>
  <c r="AF15" i="1"/>
  <c r="AH15" i="1"/>
  <c r="AD15" i="1"/>
  <c r="AE15" i="1" s="1"/>
  <c r="J63" i="1"/>
  <c r="L63" i="1" s="1"/>
  <c r="J29" i="1"/>
  <c r="L29" i="1" s="1"/>
  <c r="J33" i="1"/>
  <c r="L33" i="1" s="1"/>
  <c r="J36" i="1"/>
  <c r="L36" i="1" s="1"/>
  <c r="J24" i="1"/>
  <c r="L24" i="1" s="1"/>
  <c r="J14" i="1"/>
  <c r="L14" i="1" s="1"/>
  <c r="J57" i="1"/>
  <c r="L57" i="1" s="1"/>
  <c r="J8" i="1"/>
  <c r="L8" i="1" s="1"/>
  <c r="J9" i="1"/>
  <c r="L9" i="1" s="1"/>
  <c r="J11" i="1"/>
  <c r="L11" i="1" s="1"/>
  <c r="J40" i="1"/>
  <c r="L40" i="1" s="1"/>
  <c r="J67" i="1"/>
  <c r="L67" i="1" s="1"/>
  <c r="J27" i="1"/>
  <c r="L27" i="1" s="1"/>
  <c r="J52" i="1"/>
  <c r="L52" i="1" s="1"/>
  <c r="J66" i="1"/>
  <c r="L66" i="1" s="1"/>
  <c r="J23" i="1"/>
  <c r="L23" i="1" s="1"/>
  <c r="J55" i="1"/>
  <c r="L55" i="1" s="1"/>
  <c r="J56" i="1"/>
  <c r="L56" i="1" s="1"/>
  <c r="J34" i="1"/>
  <c r="L34" i="1" s="1"/>
  <c r="J47" i="1"/>
  <c r="L47" i="1" s="1"/>
  <c r="J21" i="1"/>
  <c r="L21" i="1" s="1"/>
  <c r="J62" i="1"/>
  <c r="L62" i="1" s="1"/>
  <c r="J16" i="1"/>
  <c r="L16" i="1" s="1"/>
  <c r="J6" i="1"/>
  <c r="L6" i="1" s="1"/>
  <c r="J19" i="1"/>
  <c r="L19" i="1" s="1"/>
  <c r="J42" i="1"/>
  <c r="L42" i="1" s="1"/>
  <c r="J18" i="1"/>
  <c r="L18" i="1" s="1"/>
  <c r="J68" i="1"/>
  <c r="L68" i="1" s="1"/>
  <c r="J38" i="1"/>
  <c r="L38" i="1" s="1"/>
  <c r="J7" i="1"/>
  <c r="L7" i="1" s="1"/>
  <c r="J31" i="1"/>
  <c r="L31" i="1" s="1"/>
  <c r="J32" i="1"/>
  <c r="L32" i="1" s="1"/>
  <c r="J46" i="1"/>
  <c r="L46" i="1" s="1"/>
  <c r="J39" i="1"/>
  <c r="L39" i="1" s="1"/>
  <c r="J44" i="1"/>
  <c r="L44" i="1" s="1"/>
  <c r="J70" i="1"/>
  <c r="L70" i="1" s="1"/>
  <c r="J37" i="1"/>
  <c r="L37" i="1" s="1"/>
  <c r="J22" i="1"/>
  <c r="L22" i="1" s="1"/>
  <c r="J51" i="1"/>
  <c r="L51" i="1" s="1"/>
  <c r="J28" i="1"/>
  <c r="L28" i="1" s="1"/>
  <c r="J48" i="1"/>
  <c r="L48" i="1" s="1"/>
  <c r="J43" i="1"/>
  <c r="L43" i="1" s="1"/>
  <c r="J10" i="1"/>
  <c r="L10" i="1" s="1"/>
  <c r="J45" i="1"/>
  <c r="L45" i="1" s="1"/>
  <c r="J65" i="1"/>
  <c r="L65" i="1" s="1"/>
  <c r="J25" i="1"/>
  <c r="L25" i="1" s="1"/>
  <c r="J17" i="1"/>
  <c r="L17" i="1" s="1"/>
  <c r="J58" i="1"/>
  <c r="L58" i="1" s="1"/>
  <c r="J15" i="1"/>
  <c r="L15" i="1" s="1"/>
  <c r="J30" i="1"/>
  <c r="L30" i="1" s="1"/>
  <c r="AF56" i="1"/>
  <c r="AG56" i="1"/>
  <c r="AD56" i="1"/>
  <c r="AE56" i="1" s="1"/>
  <c r="AH56" i="1"/>
  <c r="AG108" i="1"/>
  <c r="AH108" i="1"/>
  <c r="AF108" i="1"/>
  <c r="AD108" i="1"/>
  <c r="AE108" i="1" s="1"/>
  <c r="AH43" i="1"/>
  <c r="AG43" i="1"/>
  <c r="AF43" i="1"/>
  <c r="AD43" i="1"/>
  <c r="AE43" i="1" s="1"/>
  <c r="AH35" i="1"/>
  <c r="AG35" i="1"/>
  <c r="AD35" i="1"/>
  <c r="AE35" i="1" s="1"/>
  <c r="AF35" i="1"/>
  <c r="AH50" i="1"/>
  <c r="AF50" i="1"/>
  <c r="AG50" i="1"/>
  <c r="AD50" i="1"/>
  <c r="AE50" i="1" s="1"/>
  <c r="J26" i="1"/>
  <c r="L26" i="1" s="1"/>
  <c r="AG62" i="1"/>
  <c r="AF62" i="1"/>
  <c r="AD62" i="1"/>
  <c r="AE62" i="1" s="1"/>
  <c r="AH62" i="1"/>
  <c r="AF107" i="1"/>
  <c r="AD107" i="1"/>
  <c r="AE107" i="1" s="1"/>
  <c r="AH107" i="1"/>
  <c r="AG107" i="1"/>
  <c r="AG63" i="1"/>
  <c r="AF63" i="1"/>
  <c r="AD63" i="1"/>
  <c r="AE63" i="1" s="1"/>
  <c r="AH63" i="1"/>
  <c r="AF19" i="1"/>
  <c r="AD19" i="1"/>
  <c r="AE19" i="1" s="1"/>
  <c r="AG19" i="1"/>
  <c r="AH19" i="1"/>
  <c r="AD105" i="1"/>
  <c r="AE105" i="1" s="1"/>
  <c r="AF105" i="1"/>
  <c r="AH105" i="1"/>
  <c r="AG105" i="1"/>
  <c r="AF69" i="1"/>
  <c r="AH69" i="1"/>
  <c r="AG69" i="1"/>
  <c r="AD69" i="1"/>
  <c r="AE69" i="1" s="1"/>
  <c r="AD51" i="1"/>
  <c r="AE51" i="1" s="1"/>
  <c r="AF51" i="1"/>
  <c r="AG51" i="1"/>
  <c r="AH51" i="1"/>
  <c r="T106" i="1"/>
  <c r="P106" i="1"/>
  <c r="Q106" i="1" s="1"/>
  <c r="S106" i="1"/>
  <c r="R106" i="1"/>
  <c r="Z141" i="1"/>
  <c r="AB100" i="1"/>
  <c r="AI100" i="1"/>
  <c r="AI141" i="1" s="1"/>
  <c r="AF11" i="1"/>
  <c r="AH11" i="1"/>
  <c r="AG11" i="1"/>
  <c r="AD11" i="1"/>
  <c r="AE11" i="1" s="1"/>
  <c r="Z93" i="1"/>
  <c r="AB5" i="1"/>
  <c r="AI5" i="1"/>
  <c r="AI93" i="1" s="1"/>
  <c r="AD17" i="1"/>
  <c r="AE17" i="1" s="1"/>
  <c r="AH17" i="1"/>
  <c r="AG17" i="1"/>
  <c r="AF17" i="1"/>
  <c r="N107" i="1"/>
  <c r="U107" i="1"/>
  <c r="AD104" i="1"/>
  <c r="AE104" i="1" s="1"/>
  <c r="AH104" i="1"/>
  <c r="AG104" i="1"/>
  <c r="AF104" i="1"/>
  <c r="J49" i="1"/>
  <c r="L49" i="1" s="1"/>
  <c r="AF52" i="1"/>
  <c r="AG52" i="1"/>
  <c r="AD52" i="1"/>
  <c r="AE52" i="1" s="1"/>
  <c r="AH52" i="1"/>
  <c r="AH53" i="1"/>
  <c r="AG53" i="1"/>
  <c r="AF53" i="1"/>
  <c r="AD53" i="1"/>
  <c r="AE53" i="1" s="1"/>
  <c r="N101" i="1"/>
  <c r="U101" i="1"/>
  <c r="J53" i="1"/>
  <c r="L53" i="1" s="1"/>
  <c r="AH8" i="1"/>
  <c r="AF8" i="1"/>
  <c r="AD8" i="1"/>
  <c r="AE8" i="1" s="1"/>
  <c r="AG8" i="1"/>
  <c r="AH39" i="1"/>
  <c r="AG39" i="1"/>
  <c r="AF39" i="1"/>
  <c r="AD39" i="1"/>
  <c r="AE39" i="1" s="1"/>
  <c r="AH57" i="1"/>
  <c r="AG57" i="1"/>
  <c r="AD57" i="1"/>
  <c r="AE57" i="1" s="1"/>
  <c r="AF57" i="1"/>
  <c r="AH101" i="1"/>
  <c r="AG101" i="1"/>
  <c r="AF101" i="1"/>
  <c r="AD101" i="1"/>
  <c r="AE101" i="1" s="1"/>
  <c r="AH36" i="1"/>
  <c r="AD36" i="1"/>
  <c r="AE36" i="1" s="1"/>
  <c r="AG36" i="1"/>
  <c r="AF36" i="1"/>
  <c r="AD32" i="1"/>
  <c r="AE32" i="1" s="1"/>
  <c r="AH32" i="1"/>
  <c r="AG32" i="1"/>
  <c r="AF32" i="1"/>
  <c r="AD29" i="1"/>
  <c r="AE29" i="1" s="1"/>
  <c r="AH29" i="1"/>
  <c r="AG29" i="1"/>
  <c r="AF29" i="1"/>
  <c r="AG110" i="1"/>
  <c r="AD110" i="1"/>
  <c r="AE110" i="1" s="1"/>
  <c r="AH110" i="1"/>
  <c r="AF110" i="1"/>
  <c r="L141" i="1"/>
  <c r="N100" i="1"/>
  <c r="U100" i="1"/>
  <c r="S114" i="1" l="1"/>
  <c r="U61" i="1"/>
  <c r="P112" i="1"/>
  <c r="Q112" i="1" s="1"/>
  <c r="R112" i="1"/>
  <c r="N9" i="1"/>
  <c r="U9" i="1"/>
  <c r="AB93" i="1"/>
  <c r="AG5" i="1"/>
  <c r="AG93" i="1" s="1"/>
  <c r="AD5" i="1"/>
  <c r="AH5" i="1"/>
  <c r="AH93" i="1" s="1"/>
  <c r="AF5" i="1"/>
  <c r="AF93" i="1" s="1"/>
  <c r="N30" i="1"/>
  <c r="U30" i="1"/>
  <c r="N43" i="1"/>
  <c r="U43" i="1"/>
  <c r="N39" i="1"/>
  <c r="U39" i="1"/>
  <c r="N42" i="1"/>
  <c r="U42" i="1"/>
  <c r="N56" i="1"/>
  <c r="U56" i="1"/>
  <c r="N11" i="1"/>
  <c r="U11" i="1"/>
  <c r="N29" i="1"/>
  <c r="U29" i="1"/>
  <c r="N48" i="1"/>
  <c r="U48" i="1"/>
  <c r="T13" i="1"/>
  <c r="S13" i="1"/>
  <c r="R13" i="1"/>
  <c r="P13" i="1"/>
  <c r="Q13" i="1" s="1"/>
  <c r="N35" i="1"/>
  <c r="U35" i="1"/>
  <c r="P107" i="1"/>
  <c r="Q107" i="1" s="1"/>
  <c r="S107" i="1"/>
  <c r="R107" i="1"/>
  <c r="T107" i="1"/>
  <c r="N58" i="1"/>
  <c r="U58" i="1"/>
  <c r="N28" i="1"/>
  <c r="U28" i="1"/>
  <c r="N32" i="1"/>
  <c r="U32" i="1"/>
  <c r="N6" i="1"/>
  <c r="U6" i="1"/>
  <c r="N23" i="1"/>
  <c r="U23" i="1"/>
  <c r="N8" i="1"/>
  <c r="U8" i="1"/>
  <c r="L93" i="1"/>
  <c r="L149" i="1" s="1"/>
  <c r="L153" i="1" s="1"/>
  <c r="N5" i="1"/>
  <c r="U5" i="1"/>
  <c r="N69" i="1"/>
  <c r="U69" i="1"/>
  <c r="N12" i="1"/>
  <c r="U12" i="1"/>
  <c r="N20" i="1"/>
  <c r="U20" i="1"/>
  <c r="R101" i="1"/>
  <c r="P101" i="1"/>
  <c r="Q101" i="1" s="1"/>
  <c r="T101" i="1"/>
  <c r="S101" i="1"/>
  <c r="N26" i="1"/>
  <c r="U26" i="1"/>
  <c r="N17" i="1"/>
  <c r="U17" i="1"/>
  <c r="N51" i="1"/>
  <c r="U51" i="1"/>
  <c r="N31" i="1"/>
  <c r="U31" i="1"/>
  <c r="N16" i="1"/>
  <c r="U16" i="1"/>
  <c r="N66" i="1"/>
  <c r="U66" i="1"/>
  <c r="N57" i="1"/>
  <c r="U57" i="1"/>
  <c r="J93" i="1"/>
  <c r="N64" i="1"/>
  <c r="U64" i="1"/>
  <c r="S111" i="1"/>
  <c r="T111" i="1"/>
  <c r="R111" i="1"/>
  <c r="P111" i="1"/>
  <c r="Q111" i="1" s="1"/>
  <c r="Z149" i="1"/>
  <c r="Z153" i="1" s="1"/>
  <c r="Z94" i="1"/>
  <c r="N46" i="1"/>
  <c r="U46" i="1"/>
  <c r="N49" i="1"/>
  <c r="U49" i="1"/>
  <c r="N25" i="1"/>
  <c r="U25" i="1"/>
  <c r="N22" i="1"/>
  <c r="U22" i="1"/>
  <c r="N7" i="1"/>
  <c r="U7" i="1"/>
  <c r="N62" i="1"/>
  <c r="U62" i="1"/>
  <c r="N52" i="1"/>
  <c r="U52" i="1"/>
  <c r="N14" i="1"/>
  <c r="U14" i="1"/>
  <c r="S109" i="1"/>
  <c r="R109" i="1"/>
  <c r="T109" i="1"/>
  <c r="P109" i="1"/>
  <c r="Q109" i="1" s="1"/>
  <c r="N53" i="1"/>
  <c r="U53" i="1"/>
  <c r="N55" i="1"/>
  <c r="U55" i="1"/>
  <c r="N65" i="1"/>
  <c r="U65" i="1"/>
  <c r="N37" i="1"/>
  <c r="U37" i="1"/>
  <c r="N38" i="1"/>
  <c r="U38" i="1"/>
  <c r="N21" i="1"/>
  <c r="U21" i="1"/>
  <c r="N27" i="1"/>
  <c r="U27" i="1"/>
  <c r="N24" i="1"/>
  <c r="U24" i="1"/>
  <c r="R110" i="1"/>
  <c r="P110" i="1"/>
  <c r="Q110" i="1" s="1"/>
  <c r="T110" i="1"/>
  <c r="S110" i="1"/>
  <c r="N54" i="1"/>
  <c r="U54" i="1"/>
  <c r="T105" i="1"/>
  <c r="S105" i="1"/>
  <c r="R105" i="1"/>
  <c r="P105" i="1"/>
  <c r="Q105" i="1" s="1"/>
  <c r="S102" i="1"/>
  <c r="R102" i="1"/>
  <c r="P102" i="1"/>
  <c r="Q102" i="1" s="1"/>
  <c r="T102" i="1"/>
  <c r="N19" i="1"/>
  <c r="U19" i="1"/>
  <c r="S113" i="1"/>
  <c r="R113" i="1"/>
  <c r="P113" i="1"/>
  <c r="Q113" i="1" s="1"/>
  <c r="T113" i="1"/>
  <c r="U141" i="1"/>
  <c r="T61" i="1"/>
  <c r="S61" i="1"/>
  <c r="P61" i="1"/>
  <c r="Q61" i="1" s="1"/>
  <c r="R61" i="1"/>
  <c r="N45" i="1"/>
  <c r="U45" i="1"/>
  <c r="N70" i="1"/>
  <c r="U70" i="1"/>
  <c r="N68" i="1"/>
  <c r="U68" i="1"/>
  <c r="N47" i="1"/>
  <c r="U47" i="1"/>
  <c r="N67" i="1"/>
  <c r="U67" i="1"/>
  <c r="N36" i="1"/>
  <c r="U36" i="1"/>
  <c r="N15" i="1"/>
  <c r="U15" i="1"/>
  <c r="N63" i="1"/>
  <c r="U63" i="1"/>
  <c r="N141" i="1"/>
  <c r="R100" i="1"/>
  <c r="P100" i="1"/>
  <c r="T100" i="1"/>
  <c r="S100" i="1"/>
  <c r="AI149" i="1"/>
  <c r="AB141" i="1"/>
  <c r="AH100" i="1"/>
  <c r="AH141" i="1" s="1"/>
  <c r="AG100" i="1"/>
  <c r="AG141" i="1" s="1"/>
  <c r="AF100" i="1"/>
  <c r="AF141" i="1" s="1"/>
  <c r="AD100" i="1"/>
  <c r="N10" i="1"/>
  <c r="U10" i="1"/>
  <c r="N44" i="1"/>
  <c r="U44" i="1"/>
  <c r="N18" i="1"/>
  <c r="U18" i="1"/>
  <c r="N34" i="1"/>
  <c r="U34" i="1"/>
  <c r="N40" i="1"/>
  <c r="U40" i="1"/>
  <c r="N33" i="1"/>
  <c r="U33" i="1"/>
  <c r="T104" i="1"/>
  <c r="P104" i="1"/>
  <c r="Q104" i="1" s="1"/>
  <c r="S104" i="1"/>
  <c r="R104" i="1"/>
  <c r="N41" i="1"/>
  <c r="U41" i="1"/>
  <c r="S103" i="1"/>
  <c r="T103" i="1"/>
  <c r="P103" i="1"/>
  <c r="Q103" i="1" s="1"/>
  <c r="R103" i="1"/>
  <c r="T50" i="1"/>
  <c r="R50" i="1"/>
  <c r="P50" i="1"/>
  <c r="Q50" i="1" s="1"/>
  <c r="S50" i="1"/>
  <c r="T41" i="1" l="1"/>
  <c r="S41" i="1"/>
  <c r="P41" i="1"/>
  <c r="Q41" i="1" s="1"/>
  <c r="R41" i="1"/>
  <c r="P10" i="1"/>
  <c r="Q10" i="1" s="1"/>
  <c r="T10" i="1"/>
  <c r="S10" i="1"/>
  <c r="R10" i="1"/>
  <c r="T54" i="1"/>
  <c r="R54" i="1"/>
  <c r="S54" i="1"/>
  <c r="P54" i="1"/>
  <c r="Q54" i="1" s="1"/>
  <c r="P46" i="1"/>
  <c r="Q46" i="1" s="1"/>
  <c r="R46" i="1"/>
  <c r="T46" i="1"/>
  <c r="S46" i="1"/>
  <c r="S23" i="1"/>
  <c r="P23" i="1"/>
  <c r="Q23" i="1" s="1"/>
  <c r="T23" i="1"/>
  <c r="R23" i="1"/>
  <c r="S58" i="1"/>
  <c r="R58" i="1"/>
  <c r="P58" i="1"/>
  <c r="Q58" i="1" s="1"/>
  <c r="T58" i="1"/>
  <c r="S11" i="1"/>
  <c r="R11" i="1"/>
  <c r="P11" i="1"/>
  <c r="Q11" i="1" s="1"/>
  <c r="T11" i="1"/>
  <c r="S34" i="1"/>
  <c r="R34" i="1"/>
  <c r="T34" i="1"/>
  <c r="P34" i="1"/>
  <c r="Q34" i="1" s="1"/>
  <c r="R141" i="1"/>
  <c r="T21" i="1"/>
  <c r="S21" i="1"/>
  <c r="R21" i="1"/>
  <c r="P21" i="1"/>
  <c r="Q21" i="1" s="1"/>
  <c r="S55" i="1"/>
  <c r="R55" i="1"/>
  <c r="T55" i="1"/>
  <c r="P55" i="1"/>
  <c r="Q55" i="1" s="1"/>
  <c r="R14" i="1"/>
  <c r="T14" i="1"/>
  <c r="S14" i="1"/>
  <c r="P14" i="1"/>
  <c r="Q14" i="1" s="1"/>
  <c r="R22" i="1"/>
  <c r="P22" i="1"/>
  <c r="Q22" i="1" s="1"/>
  <c r="S22" i="1"/>
  <c r="T22" i="1"/>
  <c r="U93" i="1"/>
  <c r="U149" i="1" s="1"/>
  <c r="P6" i="1"/>
  <c r="Q6" i="1" s="1"/>
  <c r="R6" i="1"/>
  <c r="T6" i="1"/>
  <c r="S6" i="1"/>
  <c r="T56" i="1"/>
  <c r="S56" i="1"/>
  <c r="R56" i="1"/>
  <c r="P56" i="1"/>
  <c r="Q56" i="1" s="1"/>
  <c r="S30" i="1"/>
  <c r="R30" i="1"/>
  <c r="P30" i="1"/>
  <c r="Q30" i="1" s="1"/>
  <c r="T30" i="1"/>
  <c r="T141" i="1"/>
  <c r="P65" i="1"/>
  <c r="Q65" i="1" s="1"/>
  <c r="T65" i="1"/>
  <c r="R65" i="1"/>
  <c r="S65" i="1"/>
  <c r="S67" i="1"/>
  <c r="R67" i="1"/>
  <c r="P67" i="1"/>
  <c r="Q67" i="1" s="1"/>
  <c r="T67" i="1"/>
  <c r="T45" i="1"/>
  <c r="S45" i="1"/>
  <c r="P45" i="1"/>
  <c r="Q45" i="1" s="1"/>
  <c r="R45" i="1"/>
  <c r="P57" i="1"/>
  <c r="Q57" i="1" s="1"/>
  <c r="S57" i="1"/>
  <c r="R57" i="1"/>
  <c r="T57" i="1"/>
  <c r="T51" i="1"/>
  <c r="S51" i="1"/>
  <c r="P51" i="1"/>
  <c r="Q51" i="1" s="1"/>
  <c r="R51" i="1"/>
  <c r="N93" i="1"/>
  <c r="N149" i="1" s="1"/>
  <c r="P5" i="1"/>
  <c r="T5" i="1"/>
  <c r="S5" i="1"/>
  <c r="R5" i="1"/>
  <c r="AF149" i="1"/>
  <c r="P53" i="1"/>
  <c r="Q53" i="1" s="1"/>
  <c r="R53" i="1"/>
  <c r="T53" i="1"/>
  <c r="S53" i="1"/>
  <c r="P52" i="1"/>
  <c r="Q52" i="1" s="1"/>
  <c r="T52" i="1"/>
  <c r="S52" i="1"/>
  <c r="R52" i="1"/>
  <c r="S25" i="1"/>
  <c r="R25" i="1"/>
  <c r="P25" i="1"/>
  <c r="Q25" i="1" s="1"/>
  <c r="T25" i="1"/>
  <c r="P42" i="1"/>
  <c r="Q42" i="1" s="1"/>
  <c r="T42" i="1"/>
  <c r="S42" i="1"/>
  <c r="R42" i="1"/>
  <c r="R63" i="1"/>
  <c r="T63" i="1"/>
  <c r="S63" i="1"/>
  <c r="P63" i="1"/>
  <c r="Q63" i="1" s="1"/>
  <c r="T47" i="1"/>
  <c r="R47" i="1"/>
  <c r="P47" i="1"/>
  <c r="Q47" i="1" s="1"/>
  <c r="S47" i="1"/>
  <c r="R66" i="1"/>
  <c r="T66" i="1"/>
  <c r="S66" i="1"/>
  <c r="P66" i="1"/>
  <c r="Q66" i="1" s="1"/>
  <c r="R17" i="1"/>
  <c r="P17" i="1"/>
  <c r="Q17" i="1" s="1"/>
  <c r="T17" i="1"/>
  <c r="S17" i="1"/>
  <c r="P20" i="1"/>
  <c r="Q20" i="1" s="1"/>
  <c r="T20" i="1"/>
  <c r="S20" i="1"/>
  <c r="R20" i="1"/>
  <c r="AD93" i="1"/>
  <c r="AE5" i="1"/>
  <c r="AE93" i="1" s="1"/>
  <c r="S18" i="1"/>
  <c r="R18" i="1"/>
  <c r="T18" i="1"/>
  <c r="P18" i="1"/>
  <c r="Q18" i="1" s="1"/>
  <c r="AH149" i="1"/>
  <c r="R33" i="1"/>
  <c r="T33" i="1"/>
  <c r="S33" i="1"/>
  <c r="P33" i="1"/>
  <c r="Q33" i="1" s="1"/>
  <c r="R44" i="1"/>
  <c r="P44" i="1"/>
  <c r="Q44" i="1" s="1"/>
  <c r="T44" i="1"/>
  <c r="S44" i="1"/>
  <c r="T19" i="1"/>
  <c r="S19" i="1"/>
  <c r="R19" i="1"/>
  <c r="P19" i="1"/>
  <c r="Q19" i="1" s="1"/>
  <c r="T24" i="1"/>
  <c r="R24" i="1"/>
  <c r="P24" i="1"/>
  <c r="Q24" i="1" s="1"/>
  <c r="S24" i="1"/>
  <c r="T37" i="1"/>
  <c r="S37" i="1"/>
  <c r="P37" i="1"/>
  <c r="Q37" i="1" s="1"/>
  <c r="R37" i="1"/>
  <c r="T62" i="1"/>
  <c r="S62" i="1"/>
  <c r="R62" i="1"/>
  <c r="P62" i="1"/>
  <c r="Q62" i="1" s="1"/>
  <c r="S49" i="1"/>
  <c r="R49" i="1"/>
  <c r="T49" i="1"/>
  <c r="P49" i="1"/>
  <c r="Q49" i="1" s="1"/>
  <c r="T8" i="1"/>
  <c r="S8" i="1"/>
  <c r="R8" i="1"/>
  <c r="P8" i="1"/>
  <c r="Q8" i="1" s="1"/>
  <c r="P28" i="1"/>
  <c r="Q28" i="1" s="1"/>
  <c r="T28" i="1"/>
  <c r="S28" i="1"/>
  <c r="R28" i="1"/>
  <c r="P35" i="1"/>
  <c r="Q35" i="1" s="1"/>
  <c r="T35" i="1"/>
  <c r="S35" i="1"/>
  <c r="R35" i="1"/>
  <c r="R29" i="1"/>
  <c r="T29" i="1"/>
  <c r="S29" i="1"/>
  <c r="P29" i="1"/>
  <c r="Q29" i="1" s="1"/>
  <c r="P39" i="1"/>
  <c r="Q39" i="1" s="1"/>
  <c r="T39" i="1"/>
  <c r="S39" i="1"/>
  <c r="R39" i="1"/>
  <c r="AG149" i="1"/>
  <c r="S38" i="1"/>
  <c r="R38" i="1"/>
  <c r="T38" i="1"/>
  <c r="P38" i="1"/>
  <c r="Q38" i="1" s="1"/>
  <c r="P32" i="1"/>
  <c r="Q32" i="1" s="1"/>
  <c r="T32" i="1"/>
  <c r="S32" i="1"/>
  <c r="R32" i="1"/>
  <c r="R48" i="1"/>
  <c r="S48" i="1"/>
  <c r="P48" i="1"/>
  <c r="Q48" i="1" s="1"/>
  <c r="T48" i="1"/>
  <c r="S141" i="1"/>
  <c r="S15" i="1"/>
  <c r="P15" i="1"/>
  <c r="Q15" i="1" s="1"/>
  <c r="T15" i="1"/>
  <c r="R15" i="1"/>
  <c r="P68" i="1"/>
  <c r="Q68" i="1" s="1"/>
  <c r="S68" i="1"/>
  <c r="R68" i="1"/>
  <c r="T68" i="1"/>
  <c r="T16" i="1"/>
  <c r="P16" i="1"/>
  <c r="Q16" i="1" s="1"/>
  <c r="S16" i="1"/>
  <c r="R16" i="1"/>
  <c r="T26" i="1"/>
  <c r="S26" i="1"/>
  <c r="R26" i="1"/>
  <c r="P26" i="1"/>
  <c r="Q26" i="1" s="1"/>
  <c r="P12" i="1"/>
  <c r="Q12" i="1" s="1"/>
  <c r="T12" i="1"/>
  <c r="S12" i="1"/>
  <c r="R12" i="1"/>
  <c r="AB149" i="1"/>
  <c r="S40" i="1"/>
  <c r="R40" i="1"/>
  <c r="T40" i="1"/>
  <c r="P40" i="1"/>
  <c r="Q40" i="1" s="1"/>
  <c r="T27" i="1"/>
  <c r="S27" i="1"/>
  <c r="R27" i="1"/>
  <c r="P27" i="1"/>
  <c r="Q27" i="1" s="1"/>
  <c r="R7" i="1"/>
  <c r="P7" i="1"/>
  <c r="Q7" i="1" s="1"/>
  <c r="S7" i="1"/>
  <c r="T7" i="1"/>
  <c r="T64" i="1"/>
  <c r="R64" i="1"/>
  <c r="P64" i="1"/>
  <c r="Q64" i="1" s="1"/>
  <c r="S64" i="1"/>
  <c r="P43" i="1"/>
  <c r="Q43" i="1" s="1"/>
  <c r="T43" i="1"/>
  <c r="S43" i="1"/>
  <c r="R43" i="1"/>
  <c r="AD141" i="1"/>
  <c r="AE100" i="1"/>
  <c r="AE141" i="1" s="1"/>
  <c r="P141" i="1"/>
  <c r="Q100" i="1"/>
  <c r="Q141" i="1" s="1"/>
  <c r="R36" i="1"/>
  <c r="T36" i="1"/>
  <c r="S36" i="1"/>
  <c r="P36" i="1"/>
  <c r="Q36" i="1" s="1"/>
  <c r="R70" i="1"/>
  <c r="P70" i="1"/>
  <c r="Q70" i="1" s="1"/>
  <c r="T70" i="1"/>
  <c r="S70" i="1"/>
  <c r="T31" i="1"/>
  <c r="P31" i="1"/>
  <c r="Q31" i="1" s="1"/>
  <c r="S31" i="1"/>
  <c r="R31" i="1"/>
  <c r="S69" i="1"/>
  <c r="R69" i="1"/>
  <c r="T69" i="1"/>
  <c r="P69" i="1"/>
  <c r="Q69" i="1" s="1"/>
  <c r="T9" i="1"/>
  <c r="S9" i="1"/>
  <c r="R9" i="1"/>
  <c r="P9" i="1"/>
  <c r="Q9" i="1" s="1"/>
  <c r="AE149" i="1" l="1"/>
  <c r="AD149" i="1"/>
  <c r="R93" i="1"/>
  <c r="R149" i="1" s="1"/>
  <c r="T93" i="1"/>
  <c r="T149" i="1" s="1"/>
  <c r="S93" i="1"/>
  <c r="S149" i="1" s="1"/>
  <c r="P93" i="1"/>
  <c r="P149" i="1" s="1"/>
  <c r="Q5" i="1"/>
  <c r="Q93" i="1" s="1"/>
  <c r="Q1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Kambra Reddick</author>
    <author>Jimmy Witcosky</author>
  </authors>
  <commentList>
    <comment ref="C36" authorId="0" shapeId="0" xr:uid="{49B597AA-9AAD-4F41-AAD7-C8E70023444C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LTC</t>
        </r>
      </text>
    </comment>
    <comment ref="C54" authorId="0" shapeId="0" xr:uid="{EFFC71B3-970D-49D5-B537-A30CCAAF8BB9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Add to SHOPP UPL</t>
        </r>
      </text>
    </comment>
    <comment ref="B81" authorId="1" shapeId="0" xr:uid="{A812F1D6-B2B9-4865-AF5B-E0E3E9687368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100699500S</t>
        </r>
      </text>
    </comment>
    <comment ref="C81" authorId="0" shapeId="0" xr:uid="{297923F2-6216-4E5F-80D1-C38119BF6348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100699500A</t>
        </r>
      </text>
    </comment>
    <comment ref="B82" authorId="1" shapeId="0" xr:uid="{531E0C78-7220-427D-AFBC-86DD5762D96E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200285100A</t>
        </r>
      </text>
    </comment>
    <comment ref="C82" authorId="0" shapeId="0" xr:uid="{EA6F2F1A-BD02-43BB-9B84-BA295038293E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100699500A
</t>
        </r>
      </text>
    </comment>
    <comment ref="B83" authorId="1" shapeId="0" xr:uid="{3A739ADE-B210-4145-BD0F-F0642D8361E8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100697950F</t>
        </r>
      </text>
    </comment>
    <comment ref="C83" authorId="0" shapeId="0" xr:uid="{7601FC40-4E66-43D4-91B6-4990026F1AC8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100697950B
</t>
        </r>
      </text>
    </comment>
    <comment ref="B84" authorId="0" shapeId="0" xr:uid="{8EE06303-E90A-4F71-BB04-4C1F6DECB16C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Type Change 100738360J
</t>
        </r>
      </text>
    </comment>
    <comment ref="B85" authorId="0" shapeId="0" xr:uid="{1A1265EC-D687-45B3-A9CE-4D7F5D1715E2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Combined with 100699540P
</t>
        </r>
      </text>
    </comment>
    <comment ref="C85" authorId="1" shapeId="0" xr:uid="{B8891683-C59F-425C-9573-637757E5678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SHOPP Payments included on 100699540A</t>
        </r>
      </text>
    </comment>
    <comment ref="B86" authorId="0" shapeId="0" xr:uid="{3F377426-4F58-4792-BE0C-2553D2BC7F4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Type change 100699540I</t>
        </r>
      </text>
    </comment>
    <comment ref="C86" authorId="0" shapeId="0" xr:uid="{ABAA1919-81B6-4BAF-A6C4-2AE3C0842453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100699540A</t>
        </r>
      </text>
    </comment>
    <comment ref="B87" authorId="0" shapeId="0" xr:uid="{88CF2E1A-527B-4D31-AC24-E5E16960541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Type Change 100699540H
</t>
        </r>
      </text>
    </comment>
    <comment ref="C87" authorId="0" shapeId="0" xr:uid="{0F993A2E-B6FD-4769-B5E1-4B1FECC74817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100699540A</t>
        </r>
      </text>
    </comment>
    <comment ref="B88" authorId="1" shapeId="0" xr:uid="{2B343B3F-5785-4B45-B301-F4CC2029DE45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CHOW 100701710D
Type Change 200673510B</t>
        </r>
      </text>
    </comment>
    <comment ref="C88" authorId="0" shapeId="0" xr:uid="{61AB1031-6C3E-4686-9648-27EBB1C7F927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100701710B</t>
        </r>
      </text>
    </comment>
    <comment ref="B89" authorId="1" shapeId="0" xr:uid="{E331FBFB-181B-4740-8DF7-3B4D9126E618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100806400W</t>
        </r>
      </text>
    </comment>
    <comment ref="C89" authorId="0" shapeId="0" xr:uid="{438DFCE9-26DD-4E87-BB20-8F415DA5C1C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100806400C </t>
        </r>
      </text>
    </comment>
    <comment ref="B90" authorId="1" shapeId="0" xr:uid="{A1443C1A-8442-4D37-AE5E-5EB2E681B062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100806400Y</t>
        </r>
      </text>
    </comment>
    <comment ref="C90" authorId="0" shapeId="0" xr:uid="{3ADBA3FA-83A4-4D3F-839F-0C205DDD4568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100806400C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Morris</author>
    <author>Kambra Reddick</author>
    <author>Lisa Montgomery</author>
  </authors>
  <commentList>
    <comment ref="C2" authorId="0" shapeId="0" xr:uid="{EB7B44F0-8DDB-46BD-AAD5-B9B47E4A412D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" authorId="0" shapeId="0" xr:uid="{D7F2EE50-5447-45CC-A461-3614DEAF24FF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4" authorId="0" shapeId="0" xr:uid="{AED0214F-FBEC-4B7D-BC0F-EB68C328ECA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5" authorId="0" shapeId="0" xr:uid="{3B307FC4-4CA4-4E03-B54D-88880C534C8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6" authorId="0" shapeId="0" xr:uid="{A38B8D40-8D63-45F8-ABDA-7020CE8BBD1D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7" authorId="0" shapeId="0" xr:uid="{DB4D3155-2A19-4C47-A2F2-255E8C69B8D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8" authorId="0" shapeId="0" xr:uid="{F75F659F-4A05-4E9A-A2F2-9A679A3B68B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9" authorId="1" shapeId="0" xr:uid="{7F5955DE-DDBE-4E0F-9383-59BA0ADBFAD2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C10" authorId="0" shapeId="0" xr:uid="{4BCDDA4B-9E01-4D6B-8722-6EB862C06CD3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1" authorId="0" shapeId="0" xr:uid="{0FDB29C6-07FF-4845-A335-849A73B732E4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2" authorId="1" shapeId="0" xr:uid="{07759377-4505-4B60-A995-FC0A470FFD48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C13" authorId="0" shapeId="0" xr:uid="{F7623977-B465-460C-B8A6-B52032DB0735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4" authorId="0" shapeId="0" xr:uid="{A38222E3-BD73-47BD-8C6F-793EDAA6FCC4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5" authorId="1" shapeId="0" xr:uid="{789596B7-518C-4EE5-9C46-3172255F76BD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L15" authorId="2" shapeId="0" xr:uid="{1910AD47-CDB0-488C-8CFD-9BF3034F5500}">
      <text>
        <r>
          <rPr>
            <b/>
            <sz val="9"/>
            <color indexed="81"/>
            <rFont val="Tahoma"/>
            <family val="2"/>
          </rPr>
          <t>Lisa Montgomery:</t>
        </r>
        <r>
          <rPr>
            <sz val="9"/>
            <color indexed="81"/>
            <rFont val="Tahoma"/>
            <family val="2"/>
          </rPr>
          <t xml:space="preserve">
Withhold payment from Jan-Mar overpayment</t>
        </r>
      </text>
    </comment>
    <comment ref="C16" authorId="0" shapeId="0" xr:uid="{8D6EF6E2-3EEE-4E66-8326-0875EBEFCE6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7" authorId="0" shapeId="0" xr:uid="{E636B93E-1CAD-4B7F-848F-F0934AFE002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8" authorId="0" shapeId="0" xr:uid="{91AB27DE-2339-4B5D-8F69-DF9C0ED06BFC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19" authorId="0" shapeId="0" xr:uid="{6A89DF20-5590-4512-8362-81BA2BE0E518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0" authorId="0" shapeId="0" xr:uid="{FAA5582E-FA51-4E5F-A472-33B279A94C93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1" authorId="0" shapeId="0" xr:uid="{72669B57-AB39-44D0-B47B-723951D6FE3E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
</t>
        </r>
      </text>
    </comment>
    <comment ref="C22" authorId="0" shapeId="0" xr:uid="{36747C77-5565-456F-A255-10E519BDC1A4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3" authorId="0" shapeId="0" xr:uid="{965AF656-4CE8-428E-B18A-7C8E4D439674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4" authorId="0" shapeId="0" xr:uid="{FDD9BC28-4521-4557-8C23-58017EE96AD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5" authorId="0" shapeId="0" xr:uid="{C530D611-C3DF-405E-A6FB-EF93A3687634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6" authorId="0" shapeId="0" xr:uid="{24804E5D-DBC9-4FCA-BDE0-7E0547B9788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7" authorId="0" shapeId="0" xr:uid="{7A32E8FC-7F15-409F-890D-DB15EE980ECD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28" authorId="1" shapeId="0" xr:uid="{3BAEFFE8-BE61-46F4-89A8-D2AC9F1B776E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</t>
        </r>
      </text>
    </comment>
    <comment ref="C29" authorId="0" shapeId="0" xr:uid="{42F48116-C939-45C5-9D02-DDE2CCAC6D65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0" authorId="1" shapeId="0" xr:uid="{037A5587-6D02-42E4-A7EE-45B5C5A26CE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C31" authorId="0" shapeId="0" xr:uid="{0D3DCD50-729C-463C-8161-421FFEDF03C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2" authorId="0" shapeId="0" xr:uid="{92C4B5E5-83F7-4DF2-87B9-599A19FCB1CC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3" authorId="1" shapeId="0" xr:uid="{29B23A16-D57C-437C-854E-040FBD093956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</t>
        </r>
      </text>
    </comment>
    <comment ref="C34" authorId="0" shapeId="0" xr:uid="{9A7735C3-5EA7-4B19-A6CF-1AC8F8F955E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5" authorId="0" shapeId="0" xr:uid="{8D32A6C8-E9F9-4079-89AC-23837A589852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6" authorId="0" shapeId="0" xr:uid="{EAD16B5E-FB33-4176-A9CA-1A9B890BC09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7" authorId="0" shapeId="0" xr:uid="{1019CA02-4E65-44B1-8E2F-7D8EF4FC4AD8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8" authorId="0" shapeId="0" xr:uid="{45F4AC4C-6B83-4777-9ECC-FE51D7B76C58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C39" authorId="1" shapeId="0" xr:uid="{DEFD159E-3D74-4A8A-AA6F-C0A643DBFBFD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C40" authorId="0" shapeId="0" xr:uid="{88B997CF-B797-4C66-BA27-B0E4916E8D9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Morris</author>
    <author>Kambra Reddick</author>
  </authors>
  <commentList>
    <comment ref="D2" authorId="0" shapeId="0" xr:uid="{298092F8-5C32-43F8-99CC-D809702BB16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
3 = Public
</t>
        </r>
      </text>
    </comment>
    <comment ref="E2" authorId="1" shapeId="0" xr:uid="{6E4B7751-6BFD-40F6-9EED-C5528E967420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  <comment ref="B39" authorId="1" shapeId="0" xr:uid="{69521748-A569-4732-9523-9EE67712DE20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LTC</t>
        </r>
      </text>
    </comment>
    <comment ref="B57" authorId="1" shapeId="0" xr:uid="{37A3C8A1-83AF-42B1-8972-0A9D561A334B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Add to SHOPP UPL</t>
        </r>
      </text>
    </comment>
    <comment ref="B73" authorId="0" shapeId="0" xr:uid="{BE0D1234-4BC3-4667-B36E-870BA45CA063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4" authorId="0" shapeId="0" xr:uid="{C2224D6A-1DBB-42C4-A1B1-78EE397FD696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5" authorId="0" shapeId="0" xr:uid="{1E58B30E-0CCB-41AD-B712-D190316F53C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6" authorId="0" shapeId="0" xr:uid="{1EAD87CF-2883-4ACF-90B5-3F2A45D9C032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7" authorId="0" shapeId="0" xr:uid="{34169864-8AFB-4B09-861F-4A54B6C42EF6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8" authorId="0" shapeId="0" xr:uid="{EE8A5821-8D68-4850-8265-2715F34DBF3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79" authorId="1" shapeId="0" xr:uid="{94BF6B3E-2DCE-41A9-BA1B-F7B9C8D070B4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B80" authorId="0" shapeId="0" xr:uid="{BCEC7C6C-934A-4D3E-8D53-2693BB1F5EF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1" authorId="0" shapeId="0" xr:uid="{E572E494-E446-44AD-8715-96941F903A26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2" authorId="1" shapeId="0" xr:uid="{EBCAD587-3B77-4537-A1CE-C0511F1308F8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B83" authorId="0" shapeId="0" xr:uid="{50BA6F8B-1212-4262-861A-E99AAA472B98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4" authorId="0" shapeId="0" xr:uid="{D450F92E-CB85-416E-831D-2DF1784F2A1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5" authorId="1" shapeId="0" xr:uid="{05722E7A-931B-42C2-B1BD-10B65BA03699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B86" authorId="0" shapeId="0" xr:uid="{B438D6A9-C963-4601-BD45-C19A41C2FEF5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7" authorId="0" shapeId="0" xr:uid="{CED95CA2-1910-4A5E-9530-0C2CB30866CE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8" authorId="0" shapeId="0" xr:uid="{C02E61C3-44E7-4A43-8ADF-9E4A86A0E1AC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89" authorId="0" shapeId="0" xr:uid="{B4B8D171-0BD6-40C2-BAF9-FA0F39211FBD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90" authorId="0" shapeId="0" xr:uid="{D283CB4D-20A0-4E90-B1A2-66C78CE3B89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17" authorId="0" shapeId="0" xr:uid="{9ED9AAE2-9B25-4E6A-818E-EAF96A7916B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
</t>
        </r>
      </text>
    </comment>
    <comment ref="B118" authorId="0" shapeId="0" xr:uid="{8AF7C702-5CC1-455B-90DA-A4B83CF86105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19" authorId="0" shapeId="0" xr:uid="{359D4818-7903-4B06-A917-3D8D7276815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0" authorId="0" shapeId="0" xr:uid="{BAA1981C-A5D9-471A-9562-C677821A581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1" authorId="0" shapeId="0" xr:uid="{10625088-87F8-4B71-9807-73C65EF9B130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2" authorId="0" shapeId="0" xr:uid="{1FD4BB20-4AC3-4A80-B079-21966DD79795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3" authorId="0" shapeId="0" xr:uid="{61E32A21-6B5B-4B83-9A00-AA5C676C421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4" authorId="0" shapeId="0" xr:uid="{BE74B8EE-A364-463F-94B7-E9618AF65FF8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5" authorId="1" shapeId="0" xr:uid="{76D986B6-F37E-4560-99DC-13CF32A175C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</t>
        </r>
      </text>
    </comment>
    <comment ref="B126" authorId="0" shapeId="0" xr:uid="{95AFCA0F-A29C-46CE-B775-C4E8B1E64301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7" authorId="1" shapeId="0" xr:uid="{58822E78-CC19-4D15-9F5D-4A98EB8D12CF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B128" authorId="0" shapeId="0" xr:uid="{6D546845-F705-4C88-82C4-1308A305E0C9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29" authorId="0" shapeId="0" xr:uid="{47683ACF-CB20-4CA5-8645-AA5945433596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0" authorId="1" shapeId="0" xr:uid="{A5E7DE95-2BB1-4E00-B633-40971D233805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</t>
        </r>
      </text>
    </comment>
    <comment ref="B131" authorId="0" shapeId="0" xr:uid="{7969DD22-7F90-4563-A51D-F68F1DFF0ACA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2" authorId="0" shapeId="0" xr:uid="{E69F3E6F-2ACE-4985-8FE3-11A3547C91AD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3" authorId="0" shapeId="0" xr:uid="{D4C91C7B-CD84-42D5-B079-FF38DB6C5B57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4" authorId="0" shapeId="0" xr:uid="{7E1FE5FF-B6C0-4CE3-95F4-4E643127F25A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5" authorId="0" shapeId="0" xr:uid="{08ADEE50-7E70-4869-B370-A8514A0D397F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  <comment ref="B136" authorId="1" shapeId="0" xr:uid="{DFCD5CB0-67F9-4846-94F7-FF122A0DFEA4}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CAH
</t>
        </r>
      </text>
    </comment>
    <comment ref="B137" authorId="0" shapeId="0" xr:uid="{CD947515-EACA-4E20-9866-7131E327B412}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CAH</t>
        </r>
      </text>
    </comment>
  </commentList>
</comments>
</file>

<file path=xl/sharedStrings.xml><?xml version="1.0" encoding="utf-8"?>
<sst xmlns="http://schemas.openxmlformats.org/spreadsheetml/2006/main" count="561" uniqueCount="311">
  <si>
    <t>Inpatient Pool</t>
  </si>
  <si>
    <t>Outpatient Pool</t>
  </si>
  <si>
    <t>Medicaid Prov ID</t>
  </si>
  <si>
    <t>Hosp Name</t>
  </si>
  <si>
    <t>Use DRG UPL Not Cost</t>
  </si>
  <si>
    <t>Hospital Class</t>
  </si>
  <si>
    <t>Taxed</t>
  </si>
  <si>
    <t>Medicaid IP Payments (SFY21 Non-Expansion Actuals)</t>
  </si>
  <si>
    <t>Medicaid IP Payments (CY22  Expansion Estimates)</t>
  </si>
  <si>
    <t>Medicaid IP Payments Total (Actual plus Estimates)</t>
  </si>
  <si>
    <t>Inpatient Pro Rata Share</t>
  </si>
  <si>
    <t>Inpatient UPL Gap (over)/under cost</t>
  </si>
  <si>
    <t>Total TXIX Inpatient Hospital Access Payment</t>
  </si>
  <si>
    <t>Q1 TXIX Inpatient Hospital Access Payment Actual</t>
  </si>
  <si>
    <t>Q1 TXIX Inpatient Hospital Access Payment Adjusted</t>
  </si>
  <si>
    <t>Q2 TXIX Inpatient Hospital Access Payment</t>
  </si>
  <si>
    <t>Q3 TXIX Inpatient Hospital Access Payment</t>
  </si>
  <si>
    <t>Q4 TXIX Inpatient Hospital Access Payment</t>
  </si>
  <si>
    <t>Q4 1.4% TXIX Inpatient Hospital Access Payment</t>
  </si>
  <si>
    <t>Inpatient UPL Gap Remaining (Over) / Under cost</t>
  </si>
  <si>
    <t>Medicaid OP Payments Total (Actual plus Estimates)</t>
  </si>
  <si>
    <t>Outpatient Pro Rata Share</t>
  </si>
  <si>
    <t>Outpatient UPL Gap (over)/under cost</t>
  </si>
  <si>
    <t>TXIX Outpatient Hospital Access Payments</t>
  </si>
  <si>
    <t>Total TXIX Outpatient Hospital Access Payment</t>
  </si>
  <si>
    <t>Q1 TXIX Outpatient Hospital Access Payment Actual</t>
  </si>
  <si>
    <t>Q1 TXIX Outpatient Hospital Access Payment Adjusted</t>
  </si>
  <si>
    <t>Q2 TXIX Outpatient Hospital Access Payment</t>
  </si>
  <si>
    <t>Q3 TXIX Outpatient Hospital Access Payment</t>
  </si>
  <si>
    <t>Q4 TXIX Outpatient Hospital Access Payment</t>
  </si>
  <si>
    <t>Q4 1.4% TXIX Outpatient Hospital Access Payment</t>
  </si>
  <si>
    <t>Outpatient UPL Gap Remaining (Over) / Under cost</t>
  </si>
  <si>
    <t>Private Taxed</t>
  </si>
  <si>
    <t>200439230A</t>
  </si>
  <si>
    <t>AHS SOUTHCREST HOSPITAL LLC (AHS HILLCREST SOUTH)</t>
  </si>
  <si>
    <t>100696610B</t>
  </si>
  <si>
    <t>ALLIANCE HEALTH DURANT (MED. CTR. OF SOUTHEASTERN OKLAHOMA)</t>
  </si>
  <si>
    <t>200102450A</t>
  </si>
  <si>
    <t>BAILEY MEDICAL CENTER LLC</t>
  </si>
  <si>
    <t>200573000A</t>
  </si>
  <si>
    <t>BRISTOW ENDEAVOR HEALTHCARE, LLC</t>
  </si>
  <si>
    <t>100701410E</t>
  </si>
  <si>
    <t>BROOKHAVEN HOSPITAL</t>
  </si>
  <si>
    <t>No</t>
  </si>
  <si>
    <t>200085660H</t>
  </si>
  <si>
    <t>CEDAR RIDGE PSYCHIATRIC HOSPITAL</t>
  </si>
  <si>
    <t>100700010G</t>
  </si>
  <si>
    <t>CLINTON HMA LLC</t>
  </si>
  <si>
    <t>100700120A</t>
  </si>
  <si>
    <t>DUNCAN REGIONAL HOSPITAL</t>
  </si>
  <si>
    <t>100699410A</t>
  </si>
  <si>
    <t>GREAT PLAINS REGIONAL MEDICAL CENTER</t>
  </si>
  <si>
    <t>200045700C</t>
  </si>
  <si>
    <t>HENRYETTA MEDICAL CENTER</t>
  </si>
  <si>
    <t>200435950A</t>
  </si>
  <si>
    <t>HILLCREST HOSPITAL CLAREMORE (AHS CLAREMORE REGIONAL HOSPITAL)</t>
  </si>
  <si>
    <t>200044190A</t>
  </si>
  <si>
    <t>HILLCREST HOSPITAL CUSHING (CUSHING REGIONAL HOSPITAL)</t>
  </si>
  <si>
    <t>200044210A</t>
  </si>
  <si>
    <t>HILLCREST MEDICAL CENTER</t>
  </si>
  <si>
    <t>100806400C</t>
  </si>
  <si>
    <t>INTEGRIS BAPTIST MEDICAL CENTER</t>
  </si>
  <si>
    <t>100699500A</t>
  </si>
  <si>
    <t>INTEGRIS BASS MEM BAP</t>
  </si>
  <si>
    <t>100700610A</t>
  </si>
  <si>
    <t>INTEGRIS CANADIAN VALLEY HOSPITAL</t>
  </si>
  <si>
    <t>200834400A</t>
  </si>
  <si>
    <t>INTEGRIS COMMUNITY HOSPITAL COUNCIL CROSSING</t>
  </si>
  <si>
    <t>100699700A</t>
  </si>
  <si>
    <t>INTEGRIS GROVE HOSPITAL</t>
  </si>
  <si>
    <t>200405550A</t>
  </si>
  <si>
    <t>INTEGRIS HEALTH EDMOND, INC.</t>
  </si>
  <si>
    <t>100699440A</t>
  </si>
  <si>
    <t>INTEGRIS MIAMI HOSPITAL (INTEGRIS BAPT. REGIONAL HEALTH CTR)</t>
  </si>
  <si>
    <t>100700200A</t>
  </si>
  <si>
    <t>INTEGRIS SOUTHWEST MEDICAL</t>
  </si>
  <si>
    <t>100699490A</t>
  </si>
  <si>
    <t>JANE PHILLIPS EP HSP</t>
  </si>
  <si>
    <t>100699420A</t>
  </si>
  <si>
    <t>KAY COUNTY OKLAHOMA HOSPITAL (PONCA CITY MEDICAL CENTER)</t>
  </si>
  <si>
    <t>100700380P</t>
  </si>
  <si>
    <t>LAUREATE PSY CLINIC &amp; HOSP</t>
  </si>
  <si>
    <t>200735850A</t>
  </si>
  <si>
    <t>HILLCREST HOSPITAL PRYOR (MAYES COUNTY HMA LLC) (INTEGRIS MAYES COUNTY MEDICAL CENTER)</t>
  </si>
  <si>
    <t>100700030A</t>
  </si>
  <si>
    <t>MEMORIAL HOSPITAL (ADAIR COUNTY HEALTH CENTER)</t>
  </si>
  <si>
    <t>100699390A</t>
  </si>
  <si>
    <t>MERCY HEALTH CENTER</t>
  </si>
  <si>
    <t>200509290A</t>
  </si>
  <si>
    <t>MERCY HOSPITAL ADA, INC.</t>
  </si>
  <si>
    <t>100262320C</t>
  </si>
  <si>
    <t>MERCY HOSPITAL ARDMORE (MERCY MEMORIAL HEALTH CENTER)</t>
  </si>
  <si>
    <t>200479750A</t>
  </si>
  <si>
    <t>MERCY REHABILITATION HOSPITAL, LLC</t>
  </si>
  <si>
    <t>200423910P</t>
  </si>
  <si>
    <t xml:space="preserve">MIDWEST REGIONAL MEDICAL </t>
  </si>
  <si>
    <t>200718040B</t>
  </si>
  <si>
    <t>OAKWOOD SPRINGS</t>
  </si>
  <si>
    <t>200242900A</t>
  </si>
  <si>
    <t>OKLAHOMA STATE UNIVERSITY MEDICAL TRUST</t>
  </si>
  <si>
    <t>200994090B</t>
  </si>
  <si>
    <t>PAULS VALLEY HOSPITAL</t>
  </si>
  <si>
    <t>Yes</t>
  </si>
  <si>
    <t>200707260A</t>
  </si>
  <si>
    <t>PAM REHABILITATION HOSPITAL OF TULSA</t>
  </si>
  <si>
    <t>100738360L</t>
  </si>
  <si>
    <t>PARKSIDE PSYCHIATRIC HOSPITAL &amp; CLINIC</t>
  </si>
  <si>
    <t>100701680L</t>
  </si>
  <si>
    <t>ROLLING HILLS HOSPITAL, LLC</t>
  </si>
  <si>
    <t>100699570A</t>
  </si>
  <si>
    <t>SAINT FRANCIS HOSPITAL</t>
  </si>
  <si>
    <t>200031310A</t>
  </si>
  <si>
    <t>SAINT FRANCIS HOSPITAL SOUTH</t>
  </si>
  <si>
    <t>200702430B</t>
  </si>
  <si>
    <t>SAINT FRANCIS HOSPITAL VINITA (CRAIG GENERAL HOSPITAL)</t>
  </si>
  <si>
    <t>200700900A</t>
  </si>
  <si>
    <t>SAINT FRANCIS HOSPITAL MUSKOGEE INC (MUSKOGEE REGIONAL MEDICAL CENTER)</t>
  </si>
  <si>
    <t>200196450C</t>
  </si>
  <si>
    <t>SEMINOLE HMA LLC</t>
  </si>
  <si>
    <t>100697950B</t>
  </si>
  <si>
    <t>SOUTHWESTERN MEDICAL CENTER</t>
  </si>
  <si>
    <t>100699540A</t>
  </si>
  <si>
    <t>SSM HEALTH ST. ANTHONY HOSPITAL-OKC</t>
  </si>
  <si>
    <t>200310990A</t>
  </si>
  <si>
    <t>ST JOHN BROKEN ARROW, INC</t>
  </si>
  <si>
    <t>100699400A</t>
  </si>
  <si>
    <t>ST JOHN MED CTR</t>
  </si>
  <si>
    <t>200106410A</t>
  </si>
  <si>
    <t>ST JOHN OWASSO</t>
  </si>
  <si>
    <t>200682470A</t>
  </si>
  <si>
    <t>ST. JOHN REHABILITATION HOSPITAL, AN AFFILIATE OF</t>
  </si>
  <si>
    <t>100690020A</t>
  </si>
  <si>
    <t>ST MARY'S REGIONAL CTR</t>
  </si>
  <si>
    <t>100740840B</t>
  </si>
  <si>
    <t>SSM HEALTH ST. ANTHONY HOSPITAL-SHAWNEE</t>
  </si>
  <si>
    <t>200006260A</t>
  </si>
  <si>
    <t>TULSA SPINE HOSPITAL</t>
  </si>
  <si>
    <t>200028650A</t>
  </si>
  <si>
    <t>VALIR REHABILITATION HOSPITAL OF OKC</t>
  </si>
  <si>
    <t>200673510G</t>
  </si>
  <si>
    <t>WILLOW CREST HOSPITAL</t>
  </si>
  <si>
    <t>200019120A</t>
  </si>
  <si>
    <t>WOODWARD HEALTH SYSTEM LLC</t>
  </si>
  <si>
    <t>Private Taxed (Included above)</t>
  </si>
  <si>
    <t>200285100B</t>
  </si>
  <si>
    <t>MEADOWLAKE CHILD/ADOLESCENT ACUTE LEVEL 2 (INTEGRIS BASS BEHAVIORAL)</t>
  </si>
  <si>
    <t>200285100C</t>
  </si>
  <si>
    <t>MEADOWLAKE CHILD/ADOLESCENT DUAL ACUTE LEVEL 2 (INTEGRIS BASS BEHAVIORAL)</t>
  </si>
  <si>
    <t>100697950M</t>
  </si>
  <si>
    <t>SOUTHWESTERN MEDICAL CENTER LLC</t>
  </si>
  <si>
    <t>100738360O</t>
  </si>
  <si>
    <t>100699540L</t>
  </si>
  <si>
    <t>SSM HEALTH ST. ANTHONY SOUTH-JSOP (POSITIVE OUTCOMES RTC)</t>
  </si>
  <si>
    <t>100699540K</t>
  </si>
  <si>
    <t>SSM HEALTH BEHAVIORAL HEALTH-OKC-RTC ACCENTS (ST ANTHONY HOSPITAL)</t>
  </si>
  <si>
    <t>100699540J</t>
  </si>
  <si>
    <t>SSM HEALTH BEHAVIORAL HEALTH-OKC-RTC-HR (ST ANTHONY HOSPITAL RTC)</t>
  </si>
  <si>
    <t>200673510E</t>
  </si>
  <si>
    <t>100689250A</t>
  </si>
  <si>
    <t>SPENCER ACUTE LEVEL 2 (WILLOW VIEW HOSP RTC)</t>
  </si>
  <si>
    <t>100689250B</t>
  </si>
  <si>
    <t>SPENCER STAR ACUTE LEVEL 2 (WILLOW VIEW HOSPITAL RTC)</t>
  </si>
  <si>
    <t xml:space="preserve">Private CAH Not Taxed </t>
  </si>
  <si>
    <t>100700440A</t>
  </si>
  <si>
    <t>ALLIANCEHEALTH MADILL (MARSHALL COUNTY HMA LLC)</t>
  </si>
  <si>
    <t>100700120Q</t>
  </si>
  <si>
    <t>DUNCAN REGIONAL HOSPITAL INC (JEFFERSON COUNTY HOSPITAL)</t>
  </si>
  <si>
    <t>200918290A</t>
  </si>
  <si>
    <t>FAIRFAX MEMORIAL HOSPITAL (CAH Acquisition #12)</t>
  </si>
  <si>
    <t>200925590A</t>
  </si>
  <si>
    <t>HASKELL COUNTY HOSPITAL (CAH Acquisition #16)</t>
  </si>
  <si>
    <t>100700460A</t>
  </si>
  <si>
    <t>JANE PHILLIPS NOWATA (NOWATA HEALTH CENTER)</t>
  </si>
  <si>
    <t>100774650D</t>
  </si>
  <si>
    <t>MARY HURLEY HOSPITAL (COAL COUNTY GENERAL HOSPITAL)</t>
  </si>
  <si>
    <t>100700920A</t>
  </si>
  <si>
    <t>MCCURTAIN MEMORIAL HOSPITAL</t>
  </si>
  <si>
    <t>200226190A</t>
  </si>
  <si>
    <t>MERCY HOSPITAL HEALDTON INC</t>
  </si>
  <si>
    <t>200521810B</t>
  </si>
  <si>
    <t>MERCY HOSPITAL KINGFISHER, INC</t>
  </si>
  <si>
    <t>200425410C</t>
  </si>
  <si>
    <t>MERCY HOSPITAL LOGAN COUNTY (LOGAN MEDICAL CENTER)</t>
  </si>
  <si>
    <t>200318440B</t>
  </si>
  <si>
    <t>MERCY HOSPITAL TISHOMINGO (JOHNSTON MEMORIAL HOSPITAL)</t>
  </si>
  <si>
    <t>200490030A</t>
  </si>
  <si>
    <t>MERCY HOSPITAL WATONGA INC</t>
  </si>
  <si>
    <t>100699360I</t>
  </si>
  <si>
    <t>NEWMAN MEMORIAL HSP</t>
  </si>
  <si>
    <t>200231400B</t>
  </si>
  <si>
    <t xml:space="preserve">PRAGUE COMMUNITY HOSPITAL (CAH ACQUISITION COMPANY #7 LLC) </t>
  </si>
  <si>
    <t>200740630B</t>
  </si>
  <si>
    <t>MANGUM REGIONAL MEDICAL CENTER (QUARTZ MOUNTAIN MEDICAL CENTER)</t>
  </si>
  <si>
    <t>100699550A</t>
  </si>
  <si>
    <t>ST JOHN SAPULPA INC</t>
  </si>
  <si>
    <t>200125010B</t>
  </si>
  <si>
    <t>STROUD REGIONAL MEDICAL CENTER</t>
  </si>
  <si>
    <t>200125200B</t>
  </si>
  <si>
    <t>THE PHYSICIANS HOSPITAL IN ANADARKO</t>
  </si>
  <si>
    <t>Inpatient Private Pool</t>
  </si>
  <si>
    <t>Outpatient Private Pool</t>
  </si>
  <si>
    <t>Recycled Private Pool</t>
  </si>
  <si>
    <t>NSGO Taxed</t>
  </si>
  <si>
    <t>200668710A</t>
  </si>
  <si>
    <t>BLACKWELL REGIONAL HOSPITAL</t>
  </si>
  <si>
    <t>100700720A</t>
  </si>
  <si>
    <t>CHOCTAW MEMORIAL HOSPITAL</t>
  </si>
  <si>
    <t>100749570S</t>
  </si>
  <si>
    <t>COMANCHE CO MEM HSP</t>
  </si>
  <si>
    <t>100700880A</t>
  </si>
  <si>
    <t>ELKVIEW GEN HSP</t>
  </si>
  <si>
    <t>100700820A</t>
  </si>
  <si>
    <t>GRADY MEMORIAL HOSPITAL</t>
  </si>
  <si>
    <t>100699350A</t>
  </si>
  <si>
    <t>JACKSON CO MEM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</si>
  <si>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</si>
  <si>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</si>
  <si>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</si>
  <si>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</si>
  <si>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</si>
  <si>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</si>
  <si>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200417790W</t>
  </si>
  <si>
    <t>PERRY MEM HSP AUTH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</si>
  <si>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</si>
  <si>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</si>
  <si>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</si>
  <si>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</si>
  <si>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</si>
  <si>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</si>
  <si>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100699950A</t>
  </si>
  <si>
    <t>STILLWATER MEDICAL CENTER</t>
  </si>
  <si>
    <t>200100890B</t>
  </si>
  <si>
    <t>WAGONER COMMUNITY HOSPITAL</t>
  </si>
  <si>
    <t>NSGO CAH Not Taxed</t>
  </si>
  <si>
    <t>100700790A</t>
  </si>
  <si>
    <t>ARBUCKLE MEM HSP</t>
  </si>
  <si>
    <t>100262850D</t>
  </si>
  <si>
    <t>ATOKA MEMORIAL HOSPITAL</t>
  </si>
  <si>
    <t>100700760A</t>
  </si>
  <si>
    <t>BEAVER COUNTY MEMORIAL HOSPITAL</t>
  </si>
  <si>
    <t>100699690A</t>
  </si>
  <si>
    <t xml:space="preserve">CARNEGIE TRI-COUNTY MUNICIPAL HOSPITAL </t>
  </si>
  <si>
    <t>100700740A</t>
  </si>
  <si>
    <t>CIMARRON MEMORIAL HOSPITAL</t>
  </si>
  <si>
    <t>200234090B</t>
  </si>
  <si>
    <t>CLEVELAND AREA HOSPITAL</t>
  </si>
  <si>
    <t>100819200B</t>
  </si>
  <si>
    <t>CORDELL MEMORIAL HOSPITAL</t>
  </si>
  <si>
    <t>200910710B</t>
  </si>
  <si>
    <t>DRUMRIGHT REGIONAL HOSPITAL (CAH ACQUISITION CO #4 LLC)</t>
  </si>
  <si>
    <t>100700730A</t>
  </si>
  <si>
    <t>EASTERN OKLAHOMA MEDICAL CENTER</t>
  </si>
  <si>
    <t>100700800A</t>
  </si>
  <si>
    <t>FAIRVIEW HSP</t>
  </si>
  <si>
    <t>100700780B</t>
  </si>
  <si>
    <t>HARMON MEMORIAL HOSPITAL</t>
  </si>
  <si>
    <t>100699660A</t>
  </si>
  <si>
    <t>HARPER CO COM HSP</t>
  </si>
  <si>
    <t>200539880B</t>
  </si>
  <si>
    <t>HOLDENVILLE GENERAL HOSPITAL</t>
  </si>
  <si>
    <t>100699630A</t>
  </si>
  <si>
    <t>MEMORIAL HOSPITAL OF TEXAS COUNTY</t>
  </si>
  <si>
    <t>100699960A</t>
  </si>
  <si>
    <t>MERCY HEALTH LOVE COUNTY</t>
  </si>
  <si>
    <t>100700250A</t>
  </si>
  <si>
    <t>OKEENE MUN HSP</t>
  </si>
  <si>
    <t>100690120A</t>
  </si>
  <si>
    <t>PAWHUSKA HSP INC</t>
  </si>
  <si>
    <t>100699820A</t>
  </si>
  <si>
    <t>ROGER MILLS MEMORIAL HOSPITAL</t>
  </si>
  <si>
    <t>100700450A</t>
  </si>
  <si>
    <t>SEILING MUNICIPAL HOSPITAL</t>
  </si>
  <si>
    <t>100699830A</t>
  </si>
  <si>
    <t>SHARE MEMORIAL HOSPITAL</t>
  </si>
  <si>
    <t>100699870E</t>
  </si>
  <si>
    <t>WEATHERFORD HOSPITAL AUTHORITY</t>
  </si>
  <si>
    <t>Inpatient NSGO Pool</t>
  </si>
  <si>
    <t>Outpatient NSGO Pool</t>
  </si>
  <si>
    <t>Recycled NSGO Pool</t>
  </si>
  <si>
    <t>Totals</t>
  </si>
  <si>
    <t>Total New Inpatient Payments</t>
  </si>
  <si>
    <t>Total New Outpatient Payments</t>
  </si>
  <si>
    <t>Spec</t>
  </si>
  <si>
    <t xml:space="preserve">Inpatient CY2022 SHOPP Allocation     (Jan-Mar 2022) </t>
  </si>
  <si>
    <t xml:space="preserve"> Outpatient CY2022 SHOPP Allocation          (Jan-Mar 2022) </t>
  </si>
  <si>
    <t xml:space="preserve">Total CY2022 SHOPP Allocation (Jan-Mar 2022) </t>
  </si>
  <si>
    <t>Inpatient CY2022 SHOPP Allocation (Apr-June 2022)</t>
  </si>
  <si>
    <t xml:space="preserve"> Outpatient CY2022 SHOPP Allocation          (Apr-June 2022)</t>
  </si>
  <si>
    <t>Total CY2022 SHOPP Allocation (Apr-June 2022)</t>
  </si>
  <si>
    <t>TXIX Inpatient CY2022 SHOPP Allocation             (July-Sept 2022)</t>
  </si>
  <si>
    <t>TXIX Outpatient CY2022 SHOPP Allocation      (July-Sept 2022)</t>
  </si>
  <si>
    <t>TXIX Total CY2022 SHOPP Allocation (July-Sept 2022)</t>
  </si>
  <si>
    <t>TXIX Inpatient CY2022 SHOPP Allocation             (Oct-Dec 2022)</t>
  </si>
  <si>
    <t xml:space="preserve"> TXIX Outpatient CY2022 SHOPP Allocation       (Oct-Dec 2022)</t>
  </si>
  <si>
    <t>TXIX Total CY2022 SHOPP Allocation (Oct-Dec 2022)</t>
  </si>
  <si>
    <t>TXIX Inpatient CY2022 SHOPP Allocation 1.4% Withhold</t>
  </si>
  <si>
    <t>TXIX Outpatient CY2022 SHOPP Allocation  1.4% Withhold</t>
  </si>
  <si>
    <t xml:space="preserve"> 1.4% Withhold </t>
  </si>
  <si>
    <t>SSM HEALTH ST. ANTHONY HOSPITAL - MIDWEST</t>
  </si>
  <si>
    <t>Inpatient CY2022 SHOPP Allocation (Jan-Mar 2022)</t>
  </si>
  <si>
    <t xml:space="preserve"> Outpatient CY2022 SHOPP Allocation (Jan-Mar 2022) </t>
  </si>
  <si>
    <t xml:space="preserve"> Outpatient CY2022 SHOPP Allocation (Apr-June 2022)</t>
  </si>
  <si>
    <t>Inpatient CY2022 SHOPP Allocation     (July-Sept 2022)</t>
  </si>
  <si>
    <t>Outpatient CY2022 SHOPP Allocation      (July-Sept 2022)</t>
  </si>
  <si>
    <t>Total CY2022 SHOPP Allocation (July-Sept 2022)</t>
  </si>
  <si>
    <t>Inpatient CY2022 SHOPP Allocation                (Oct-Dec 2022)</t>
  </si>
  <si>
    <t>Outpatient CY2022 SHOPP Allocation    (Oct-Dec 2022)</t>
  </si>
  <si>
    <t>Total CY2022 SHOPP Allocation   (Oct-Dec 2022)</t>
  </si>
  <si>
    <t>Total Base Payments</t>
  </si>
  <si>
    <t>Total TXIX Inpatient CAH Payments</t>
  </si>
  <si>
    <t>TXIX CAH Outpatient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</si>
</sst>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6" tint="0.7999816888943144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5" fillId="0" borderId="0"/>
    <xf numFmtId="0" fontId="2" fillId="0" borderId="0"/>
    <xf numFmtId="9" fontId="8" fillId="0" borderId="0" applyFon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129">
    <xf numFmtId="0" fontId="0" fillId="0" borderId="0" xfId="0"/>
    <xf numFmtId="0" fontId="6" fillId="0" borderId="0" xfId="5" applyFont="1"/>
    <xf numFmtId="0" fontId="7" fillId="0" borderId="0" xfId="6" applyFont="1"/>
    <xf numFmtId="10" fontId="6" fillId="0" borderId="0" xfId="5" applyNumberFormat="1" applyFont="1" applyAlignment="1">
      <alignment horizontal="center" wrapText="1"/>
    </xf>
    <xf numFmtId="0" fontId="6" fillId="3" borderId="0" xfId="5" applyFont="1" applyFill="1"/>
    <xf numFmtId="43" fontId="6" fillId="3" borderId="0" xfId="5" applyNumberFormat="1" applyFont="1" applyFill="1"/>
    <xf numFmtId="43" fontId="6" fillId="0" borderId="0" xfId="5" applyNumberFormat="1" applyFont="1"/>
    <xf numFmtId="44" fontId="6" fillId="0" borderId="0" xfId="2" applyFont="1" applyBorder="1"/>
    <xf numFmtId="0" fontId="6" fillId="4" borderId="1" xfId="5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 wrapText="1"/>
    </xf>
    <xf numFmtId="164" fontId="6" fillId="5" borderId="1" xfId="7" applyNumberFormat="1" applyFont="1" applyFill="1" applyBorder="1" applyAlignment="1">
      <alignment horizontal="center" wrapText="1"/>
    </xf>
    <xf numFmtId="0" fontId="7" fillId="6" borderId="1" xfId="6" applyFont="1" applyFill="1" applyBorder="1" applyAlignment="1">
      <alignment horizontal="center" wrapText="1"/>
    </xf>
    <xf numFmtId="0" fontId="7" fillId="7" borderId="1" xfId="6" applyFont="1" applyFill="1" applyBorder="1" applyAlignment="1">
      <alignment horizontal="center" wrapText="1"/>
    </xf>
    <xf numFmtId="0" fontId="7" fillId="8" borderId="1" xfId="6" applyFont="1" applyFill="1" applyBorder="1" applyAlignment="1">
      <alignment horizontal="center" wrapText="1"/>
    </xf>
    <xf numFmtId="0" fontId="6" fillId="0" borderId="0" xfId="5" applyFont="1" applyAlignment="1">
      <alignment horizontal="center" wrapText="1"/>
    </xf>
    <xf numFmtId="44" fontId="6" fillId="0" borderId="0" xfId="2" applyFont="1" applyFill="1" applyBorder="1" applyAlignment="1">
      <alignment horizontal="center" wrapText="1"/>
    </xf>
    <xf numFmtId="0" fontId="9" fillId="0" borderId="0" xfId="8" applyFont="1"/>
    <xf numFmtId="0" fontId="10" fillId="0" borderId="0" xfId="6" applyFont="1"/>
    <xf numFmtId="0" fontId="11" fillId="0" borderId="0" xfId="9" applyFont="1"/>
    <xf numFmtId="0" fontId="9" fillId="0" borderId="0" xfId="7" applyNumberFormat="1" applyFont="1" applyFill="1" applyBorder="1"/>
    <xf numFmtId="43" fontId="9" fillId="0" borderId="0" xfId="7" applyFont="1" applyFill="1" applyBorder="1"/>
    <xf numFmtId="43" fontId="9" fillId="0" borderId="0" xfId="7" applyFont="1" applyBorder="1"/>
    <xf numFmtId="165" fontId="9" fillId="0" borderId="0" xfId="10" applyNumberFormat="1" applyFont="1" applyBorder="1"/>
    <xf numFmtId="43" fontId="9" fillId="0" borderId="0" xfId="5" applyNumberFormat="1" applyFont="1"/>
    <xf numFmtId="0" fontId="9" fillId="0" borderId="0" xfId="5" applyFont="1"/>
    <xf numFmtId="44" fontId="9" fillId="0" borderId="0" xfId="2" applyFont="1" applyBorder="1"/>
    <xf numFmtId="0" fontId="9" fillId="9" borderId="0" xfId="8" applyFont="1" applyFill="1"/>
    <xf numFmtId="0" fontId="12" fillId="9" borderId="0" xfId="6" applyFont="1" applyFill="1" applyAlignment="1">
      <alignment horizontal="center"/>
    </xf>
    <xf numFmtId="0" fontId="11" fillId="9" borderId="0" xfId="9" applyFont="1" applyFill="1"/>
    <xf numFmtId="0" fontId="10" fillId="9" borderId="0" xfId="6" applyFont="1" applyFill="1"/>
    <xf numFmtId="0" fontId="9" fillId="9" borderId="0" xfId="7" applyNumberFormat="1" applyFont="1" applyFill="1" applyBorder="1"/>
    <xf numFmtId="43" fontId="9" fillId="9" borderId="0" xfId="7" applyFont="1" applyFill="1" applyBorder="1"/>
    <xf numFmtId="165" fontId="9" fillId="9" borderId="0" xfId="10" applyNumberFormat="1" applyFont="1" applyFill="1" applyBorder="1"/>
    <xf numFmtId="43" fontId="9" fillId="9" borderId="0" xfId="5" applyNumberFormat="1" applyFont="1" applyFill="1"/>
    <xf numFmtId="0" fontId="9" fillId="9" borderId="0" xfId="5" applyFont="1" applyFill="1"/>
    <xf numFmtId="44" fontId="9" fillId="9" borderId="0" xfId="2" applyFont="1" applyFill="1" applyBorder="1"/>
    <xf numFmtId="43" fontId="9" fillId="10" borderId="0" xfId="7" applyFont="1" applyFill="1" applyBorder="1"/>
    <xf numFmtId="0" fontId="9" fillId="0" borderId="0" xfId="6" applyFont="1"/>
    <xf numFmtId="0" fontId="15" fillId="0" borderId="0" xfId="5" applyFont="1"/>
    <xf numFmtId="0" fontId="9" fillId="10" borderId="0" xfId="8" applyFont="1" applyFill="1"/>
    <xf numFmtId="0" fontId="10" fillId="0" borderId="0" xfId="14" applyFont="1"/>
    <xf numFmtId="0" fontId="14" fillId="0" borderId="2" xfId="15" applyFont="1" applyBorder="1" applyAlignment="1">
      <alignment wrapText="1"/>
    </xf>
    <xf numFmtId="165" fontId="9" fillId="0" borderId="0" xfId="10" applyNumberFormat="1" applyFont="1" applyFill="1" applyBorder="1"/>
    <xf numFmtId="44" fontId="9" fillId="0" borderId="0" xfId="2" applyFont="1" applyFill="1" applyBorder="1"/>
    <xf numFmtId="0" fontId="10" fillId="10" borderId="2" xfId="17" applyFont="1" applyFill="1" applyBorder="1"/>
    <xf numFmtId="0" fontId="10" fillId="10" borderId="2" xfId="18" applyFont="1" applyFill="1" applyBorder="1"/>
    <xf numFmtId="0" fontId="10" fillId="10" borderId="0" xfId="18" applyFont="1" applyFill="1"/>
    <xf numFmtId="0" fontId="9" fillId="5" borderId="0" xfId="5" applyFont="1" applyFill="1"/>
    <xf numFmtId="0" fontId="10" fillId="10" borderId="0" xfId="17" applyFont="1" applyFill="1"/>
    <xf numFmtId="0" fontId="9" fillId="0" borderId="0" xfId="7" applyNumberFormat="1" applyFont="1" applyBorder="1"/>
    <xf numFmtId="0" fontId="10" fillId="0" borderId="0" xfId="11" applyFont="1"/>
    <xf numFmtId="0" fontId="10" fillId="0" borderId="2" xfId="6" applyFont="1" applyBorder="1"/>
    <xf numFmtId="0" fontId="9" fillId="0" borderId="0" xfId="0" applyFont="1"/>
    <xf numFmtId="0" fontId="10" fillId="0" borderId="0" xfId="20" applyFont="1"/>
    <xf numFmtId="165" fontId="9" fillId="0" borderId="0" xfId="3" applyNumberFormat="1" applyFont="1" applyBorder="1"/>
    <xf numFmtId="43" fontId="6" fillId="0" borderId="0" xfId="7" applyFont="1" applyBorder="1"/>
    <xf numFmtId="43" fontId="9" fillId="11" borderId="0" xfId="7" applyFont="1" applyFill="1" applyBorder="1"/>
    <xf numFmtId="164" fontId="9" fillId="0" borderId="0" xfId="7" applyNumberFormat="1" applyFont="1" applyFill="1" applyBorder="1"/>
    <xf numFmtId="43" fontId="9" fillId="11" borderId="0" xfId="5" applyNumberFormat="1" applyFont="1" applyFill="1"/>
    <xf numFmtId="164" fontId="17" fillId="11" borderId="0" xfId="7" applyNumberFormat="1" applyFont="1" applyFill="1" applyBorder="1"/>
    <xf numFmtId="43" fontId="9" fillId="0" borderId="0" xfId="1" applyFont="1" applyFill="1" applyBorder="1"/>
    <xf numFmtId="43" fontId="9" fillId="11" borderId="0" xfId="7" applyFont="1" applyFill="1" applyBorder="1" applyAlignment="1">
      <alignment horizontal="center"/>
    </xf>
    <xf numFmtId="0" fontId="10" fillId="0" borderId="0" xfId="7" applyNumberFormat="1" applyFont="1" applyFill="1" applyBorder="1" applyAlignment="1">
      <alignment horizontal="center"/>
    </xf>
    <xf numFmtId="164" fontId="9" fillId="0" borderId="0" xfId="7" applyNumberFormat="1" applyFont="1" applyBorder="1"/>
    <xf numFmtId="0" fontId="18" fillId="0" borderId="0" xfId="5" applyFont="1"/>
    <xf numFmtId="43" fontId="18" fillId="0" borderId="0" xfId="5" applyNumberFormat="1" applyFont="1"/>
    <xf numFmtId="0" fontId="18" fillId="0" borderId="0" xfId="5" applyFont="1" applyAlignment="1">
      <alignment horizontal="center"/>
    </xf>
    <xf numFmtId="0" fontId="18" fillId="0" borderId="0" xfId="7" applyNumberFormat="1" applyFont="1" applyFill="1" applyBorder="1"/>
    <xf numFmtId="0" fontId="7" fillId="4" borderId="1" xfId="22" applyFont="1" applyFill="1" applyBorder="1" applyAlignment="1">
      <alignment horizontal="center" wrapText="1"/>
    </xf>
    <xf numFmtId="0" fontId="7" fillId="12" borderId="0" xfId="22" applyFont="1" applyFill="1" applyAlignment="1">
      <alignment horizontal="center" wrapText="1"/>
    </xf>
    <xf numFmtId="43" fontId="23" fillId="13" borderId="3" xfId="23" applyFont="1" applyFill="1" applyBorder="1" applyAlignment="1">
      <alignment horizontal="center" wrapText="1"/>
    </xf>
    <xf numFmtId="0" fontId="1" fillId="12" borderId="0" xfId="22" applyFill="1"/>
    <xf numFmtId="0" fontId="7" fillId="14" borderId="1" xfId="22" applyFont="1" applyFill="1" applyBorder="1" applyAlignment="1">
      <alignment horizontal="center" wrapText="1"/>
    </xf>
    <xf numFmtId="0" fontId="1" fillId="0" borderId="0" xfId="22"/>
    <xf numFmtId="0" fontId="11" fillId="0" borderId="0" xfId="22" applyFont="1"/>
    <xf numFmtId="0" fontId="10" fillId="0" borderId="0" xfId="22" applyFont="1"/>
    <xf numFmtId="0" fontId="10" fillId="12" borderId="0" xfId="22" applyFont="1" applyFill="1"/>
    <xf numFmtId="43" fontId="11" fillId="0" borderId="0" xfId="23" applyFont="1"/>
    <xf numFmtId="43" fontId="11" fillId="13" borderId="0" xfId="23" applyFont="1" applyFill="1" applyBorder="1" applyAlignment="1">
      <alignment horizontal="center" wrapText="1"/>
    </xf>
    <xf numFmtId="44" fontId="0" fillId="0" borderId="0" xfId="24" applyFont="1" applyFill="1"/>
    <xf numFmtId="44" fontId="0" fillId="0" borderId="0" xfId="24" applyFont="1"/>
    <xf numFmtId="44" fontId="1" fillId="0" borderId="0" xfId="22" applyNumberFormat="1"/>
    <xf numFmtId="0" fontId="9" fillId="0" borderId="0" xfId="22" applyFont="1"/>
    <xf numFmtId="0" fontId="10" fillId="0" borderId="0" xfId="25" applyFont="1"/>
    <xf numFmtId="43" fontId="23" fillId="0" borderId="4" xfId="22" applyNumberFormat="1" applyFont="1" applyBorder="1"/>
    <xf numFmtId="0" fontId="4" fillId="12" borderId="0" xfId="22" applyFont="1" applyFill="1"/>
    <xf numFmtId="43" fontId="1" fillId="0" borderId="0" xfId="22" applyNumberFormat="1"/>
    <xf numFmtId="43" fontId="3" fillId="2" borderId="0" xfId="4" applyNumberFormat="1"/>
    <xf numFmtId="0" fontId="10" fillId="10" borderId="0" xfId="22" applyFont="1" applyFill="1"/>
    <xf numFmtId="43" fontId="9" fillId="0" borderId="0" xfId="23" applyFont="1" applyFill="1" applyBorder="1"/>
    <xf numFmtId="43" fontId="0" fillId="0" borderId="0" xfId="23" applyFont="1"/>
    <xf numFmtId="43" fontId="0" fillId="12" borderId="0" xfId="23" applyFont="1" applyFill="1"/>
    <xf numFmtId="0" fontId="10" fillId="5" borderId="0" xfId="22" applyFont="1" applyFill="1"/>
    <xf numFmtId="43" fontId="9" fillId="0" borderId="0" xfId="23" applyFont="1" applyBorder="1"/>
    <xf numFmtId="49" fontId="6" fillId="4" borderId="1" xfId="5" applyNumberFormat="1" applyFont="1" applyFill="1" applyBorder="1" applyAlignment="1">
      <alignment horizontal="center" wrapText="1"/>
    </xf>
    <xf numFmtId="0" fontId="7" fillId="4" borderId="1" xfId="25" applyFont="1" applyFill="1" applyBorder="1" applyAlignment="1">
      <alignment horizontal="center" wrapText="1"/>
    </xf>
    <xf numFmtId="0" fontId="1" fillId="12" borderId="0" xfId="25" applyFill="1"/>
    <xf numFmtId="0" fontId="7" fillId="14" borderId="1" xfId="25" applyFont="1" applyFill="1" applyBorder="1" applyAlignment="1">
      <alignment horizontal="center" wrapText="1"/>
    </xf>
    <xf numFmtId="0" fontId="23" fillId="13" borderId="0" xfId="25" applyFont="1" applyFill="1" applyAlignment="1">
      <alignment horizontal="center" wrapText="1"/>
    </xf>
    <xf numFmtId="43" fontId="23" fillId="13" borderId="0" xfId="23" applyFont="1" applyFill="1" applyAlignment="1">
      <alignment horizontal="center" wrapText="1"/>
    </xf>
    <xf numFmtId="0" fontId="1" fillId="0" borderId="0" xfId="25"/>
    <xf numFmtId="0" fontId="11" fillId="0" borderId="0" xfId="25" applyFont="1"/>
    <xf numFmtId="0" fontId="9" fillId="0" borderId="0" xfId="25" applyFont="1"/>
    <xf numFmtId="43" fontId="1" fillId="0" borderId="0" xfId="25" applyNumberFormat="1"/>
    <xf numFmtId="43" fontId="11" fillId="0" borderId="0" xfId="23" applyFont="1" applyFill="1"/>
    <xf numFmtId="0" fontId="10" fillId="0" borderId="2" xfId="25" applyFont="1" applyBorder="1"/>
    <xf numFmtId="43" fontId="7" fillId="0" borderId="4" xfId="25" applyNumberFormat="1" applyFont="1" applyBorder="1"/>
    <xf numFmtId="0" fontId="9" fillId="0" borderId="0" xfId="5" applyFont="1" applyFill="1"/>
    <xf numFmtId="0" fontId="9" fillId="0" borderId="0" xfId="8" applyFont="1" applyFill="1"/>
    <xf numFmtId="0" fontId="11" fillId="0" borderId="0" xfId="19" applyFont="1" applyFill="1"/>
    <xf numFmtId="0" fontId="9" fillId="0" borderId="0" xfId="25" applyFont="1" applyFill="1"/>
    <xf numFmtId="0" fontId="9" fillId="0" borderId="2" xfId="8" applyFont="1" applyFill="1" applyBorder="1"/>
    <xf numFmtId="0" fontId="11" fillId="0" borderId="0" xfId="13" applyFont="1" applyFill="1"/>
    <xf numFmtId="0" fontId="10" fillId="0" borderId="2" xfId="21" applyFont="1" applyFill="1" applyBorder="1"/>
    <xf numFmtId="0" fontId="14" fillId="0" borderId="2" xfId="11" applyFont="1" applyFill="1" applyBorder="1" applyAlignment="1">
      <alignment wrapText="1"/>
    </xf>
    <xf numFmtId="0" fontId="14" fillId="0" borderId="0" xfId="11" applyFont="1" applyFill="1" applyAlignment="1">
      <alignment wrapText="1"/>
    </xf>
    <xf numFmtId="0" fontId="10" fillId="0" borderId="0" xfId="12" applyFont="1" applyFill="1"/>
    <xf numFmtId="0" fontId="9" fillId="0" borderId="2" xfId="13" applyFont="1" applyFill="1" applyBorder="1"/>
    <xf numFmtId="0" fontId="14" fillId="0" borderId="2" xfId="15" applyFont="1" applyFill="1" applyBorder="1" applyAlignment="1">
      <alignment wrapText="1"/>
    </xf>
    <xf numFmtId="0" fontId="11" fillId="0" borderId="0" xfId="26" applyFont="1" applyFill="1"/>
    <xf numFmtId="0" fontId="11" fillId="0" borderId="0" xfId="16" applyFont="1" applyFill="1"/>
    <xf numFmtId="0" fontId="10" fillId="0" borderId="2" xfId="17" applyFont="1" applyFill="1" applyBorder="1"/>
    <xf numFmtId="0" fontId="10" fillId="0" borderId="0" xfId="6" applyFont="1" applyFill="1"/>
    <xf numFmtId="0" fontId="10" fillId="0" borderId="2" xfId="18" applyFont="1" applyFill="1" applyBorder="1"/>
    <xf numFmtId="0" fontId="10" fillId="0" borderId="0" xfId="18" applyFont="1" applyFill="1"/>
    <xf numFmtId="0" fontId="10" fillId="0" borderId="0" xfId="17" applyFont="1" applyFill="1"/>
    <xf numFmtId="0" fontId="9" fillId="0" borderId="0" xfId="0" applyFont="1" applyFill="1"/>
    <xf numFmtId="0" fontId="11" fillId="0" borderId="0" xfId="9" applyFont="1" applyFill="1"/>
  </cellXfs>
  <cellStyles count="27">
    <cellStyle name="£Z_x0004_Ç_x0006_^_x0004_ 2" xfId="5" xr:uid="{D87C1A86-5278-4860-BE99-4B626D77D6F5}"/>
    <cellStyle name="Comma" xfId="1" builtinId="3"/>
    <cellStyle name="Comma 2" xfId="7" xr:uid="{F612B5AA-7423-4E87-8378-8E02329490CF}"/>
    <cellStyle name="Comma 8 2" xfId="23" xr:uid="{E4C998BA-C8AC-497E-AFA5-E518A089B59D}"/>
    <cellStyle name="Currency" xfId="2" builtinId="4"/>
    <cellStyle name="Currency 2" xfId="24" xr:uid="{869272D8-1307-4567-B84C-56DFEED4497D}"/>
    <cellStyle name="Good" xfId="4" builtinId="26"/>
    <cellStyle name="Normal" xfId="0" builtinId="0"/>
    <cellStyle name="Normal 13 5 2" xfId="13" xr:uid="{AEC18AA2-008A-4EAA-A9DD-F8BD71464946}"/>
    <cellStyle name="Normal 14" xfId="16" xr:uid="{49BB41CA-6932-4B37-8A59-DDEB4A9B7EFF}"/>
    <cellStyle name="Normal 14 2" xfId="26" xr:uid="{424582D6-5108-4B8C-AED6-62880105A0F7}"/>
    <cellStyle name="Normal 2" xfId="6" xr:uid="{F6BFCF55-C226-4A99-A474-16193D9343F2}"/>
    <cellStyle name="Normal 2 11" xfId="14" xr:uid="{640F173E-1950-4752-B9CE-E9C3E58507A2}"/>
    <cellStyle name="Normal 2 11 2" xfId="25" xr:uid="{83CEF026-6E43-44C8-8C8E-384A7A2F7D94}"/>
    <cellStyle name="Normal 2 2" xfId="22" xr:uid="{3A512B1D-F3DE-456A-B499-54E1DDEBBEA5}"/>
    <cellStyle name="Normal 55" xfId="9" xr:uid="{E45DAC18-975C-48ED-BDFB-A3B8096D3CB1}"/>
    <cellStyle name="Normal 8" xfId="19" xr:uid="{EBA25AC2-954C-4B0A-93CB-3FED0BC9554F}"/>
    <cellStyle name="Normal_billed, ffs, tpl" xfId="20" xr:uid="{5FB288B0-FBE8-4AD4-B142-42BD2F6DA96E}"/>
    <cellStyle name="Normal_Inpatient days &amp; amounts_2" xfId="15" xr:uid="{84C85C3C-4B67-46B0-A003-7D86B06DB62B}"/>
    <cellStyle name="Normal_Inpt summary_2" xfId="12" xr:uid="{B1CA56EA-22FA-4ACF-AC37-29F75E9F7C1D}"/>
    <cellStyle name="Normal_prov fee mcare #s" xfId="8" xr:uid="{8DCA322E-C428-435D-9498-8FBB0F956352}"/>
    <cellStyle name="Normal_Sheet1 2" xfId="11" xr:uid="{9E938962-303D-49C3-8FA0-08758F0FB15C}"/>
    <cellStyle name="Normal_Sheet2" xfId="17" xr:uid="{8FF0CDB2-A012-40FC-BC13-A07DCC3FFEE9}"/>
    <cellStyle name="Normal_Sheet2_1" xfId="18" xr:uid="{EBA567D0-8DE3-4418-BF66-4258545B258B}"/>
    <cellStyle name="Normal_SHOPP Cost UPL SFY 2015" xfId="21" xr:uid="{16A3E6D7-7FD9-4063-A2CA-305613A709B3}"/>
    <cellStyle name="Percent" xfId="3" builtinId="5"/>
    <cellStyle name="Percent 2" xfId="10" xr:uid="{7EBC0EDB-4795-443B-9AEE-8B49272805F0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2%20SHOPP%20final%20docs/2022%20Hospital%20Assessment%20&amp;%20Payment%20final%20FFY22-23%20FM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2%20SHOPP%20final%20docs/SHOPP%20Payment%20Log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20%20SHOPP%20final%20docs/2020%20Hospital%20Assessment%20&amp;%20Payment%20final%20FFY21%20FMA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essment @ 3.0%"/>
      <sheetName val="CAH 101% of cost"/>
      <sheetName val="Hosp Payments"/>
      <sheetName val="UPL Gap Summary"/>
      <sheetName val="Directed Payments"/>
      <sheetName val="DRG UPL SFY21 Combined"/>
      <sheetName val="SHOPP UPL SFY2021 Combined INP"/>
      <sheetName val="SHOPP UPL SFY2021 Combined OUT"/>
      <sheetName val="Cost UPL SFY21 Combine"/>
      <sheetName val="IP Expansion Q2"/>
      <sheetName val="OP Expansion Q2"/>
      <sheetName val="CCR SHOPP 21"/>
      <sheetName val="HCRIS CR data"/>
    </sheetNames>
    <sheetDataSet>
      <sheetData sheetId="0">
        <row r="16">
          <cell r="C16">
            <v>455287614</v>
          </cell>
        </row>
        <row r="17">
          <cell r="C17">
            <v>75562567</v>
          </cell>
        </row>
        <row r="19">
          <cell r="C19">
            <v>75016338</v>
          </cell>
        </row>
        <row r="20">
          <cell r="C20">
            <v>19883938</v>
          </cell>
        </row>
      </sheetData>
      <sheetData sheetId="1"/>
      <sheetData sheetId="2">
        <row r="3">
          <cell r="A3" t="str">
            <v>100700440A</v>
          </cell>
          <cell r="B3" t="str">
            <v>ALLIANCEHEALTH MADILL (MARSHALL COUNTY HMA LLC)</v>
          </cell>
          <cell r="C3">
            <v>1</v>
          </cell>
          <cell r="D3">
            <v>12</v>
          </cell>
          <cell r="E3">
            <v>371326</v>
          </cell>
          <cell r="F3">
            <v>43922</v>
          </cell>
          <cell r="G3">
            <v>44286</v>
          </cell>
          <cell r="H3">
            <v>1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W3" t="e">
            <v>#N/A</v>
          </cell>
          <cell r="Y3" t="e">
            <v>#N/A</v>
          </cell>
          <cell r="Z3" t="e">
            <v>#N/A</v>
          </cell>
          <cell r="AB3" t="e">
            <v>#N/A</v>
          </cell>
          <cell r="AC3">
            <v>0</v>
          </cell>
          <cell r="AD3">
            <v>0</v>
          </cell>
          <cell r="AE3" t="e">
            <v>#N/A</v>
          </cell>
          <cell r="AF3" t="e">
            <v>#N/A</v>
          </cell>
          <cell r="AG3" t="e">
            <v>#N/A</v>
          </cell>
          <cell r="AH3">
            <v>0</v>
          </cell>
          <cell r="AJ3">
            <v>0</v>
          </cell>
          <cell r="AK3">
            <v>816962.58000000007</v>
          </cell>
          <cell r="AM3">
            <v>816962.58000000007</v>
          </cell>
          <cell r="AN3">
            <v>0.36847988035600837</v>
          </cell>
          <cell r="AO3">
            <v>301034.27373373596</v>
          </cell>
          <cell r="AP3">
            <v>182130.96</v>
          </cell>
          <cell r="AR3">
            <v>182130.96</v>
          </cell>
          <cell r="AS3">
            <v>304014.51304369996</v>
          </cell>
          <cell r="AT3">
            <v>121884</v>
          </cell>
          <cell r="AV3">
            <v>121884</v>
          </cell>
          <cell r="AW3">
            <v>30471</v>
          </cell>
          <cell r="AX3">
            <v>30471</v>
          </cell>
          <cell r="AY3">
            <v>30471</v>
          </cell>
          <cell r="AZ3">
            <v>30471</v>
          </cell>
          <cell r="BA3">
            <v>8140657.7599999793</v>
          </cell>
          <cell r="BC3">
            <v>8140657.7599999793</v>
          </cell>
          <cell r="BD3">
            <v>0.34517392677212388</v>
          </cell>
          <cell r="BE3">
            <v>2809942.8055271548</v>
          </cell>
          <cell r="BF3">
            <v>1004354.689999997</v>
          </cell>
          <cell r="BH3">
            <v>1004354.689999997</v>
          </cell>
          <cell r="BI3">
            <v>2837761.2393018738</v>
          </cell>
          <cell r="BJ3">
            <v>1833407</v>
          </cell>
          <cell r="BL3">
            <v>1833407</v>
          </cell>
          <cell r="BM3">
            <v>458351.75</v>
          </cell>
          <cell r="BN3">
            <v>458351.75</v>
          </cell>
          <cell r="BO3">
            <v>458351.75</v>
          </cell>
          <cell r="BP3">
            <v>458351.75</v>
          </cell>
        </row>
        <row r="4">
          <cell r="A4" t="str">
            <v>100689260A</v>
          </cell>
          <cell r="B4" t="str">
            <v>CREEK NATION COMMUNITY HOSPITAL</v>
          </cell>
          <cell r="C4">
            <v>1</v>
          </cell>
          <cell r="D4">
            <v>12</v>
          </cell>
          <cell r="E4">
            <v>371333</v>
          </cell>
          <cell r="F4">
            <v>43739</v>
          </cell>
          <cell r="G4">
            <v>44104</v>
          </cell>
          <cell r="H4">
            <v>1</v>
          </cell>
          <cell r="I4" t="e">
            <v>#N/A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  <cell r="O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 t="e">
            <v>#N/A</v>
          </cell>
          <cell r="W4" t="e">
            <v>#N/A</v>
          </cell>
          <cell r="Y4" t="e">
            <v>#N/A</v>
          </cell>
          <cell r="Z4" t="e">
            <v>#N/A</v>
          </cell>
          <cell r="AB4" t="e">
            <v>#N/A</v>
          </cell>
          <cell r="AC4">
            <v>0</v>
          </cell>
          <cell r="AD4">
            <v>0</v>
          </cell>
          <cell r="AE4" t="e">
            <v>#N/A</v>
          </cell>
          <cell r="AF4" t="e">
            <v>#N/A</v>
          </cell>
          <cell r="AG4" t="e">
            <v>#N/A</v>
          </cell>
          <cell r="AH4">
            <v>0</v>
          </cell>
          <cell r="AJ4">
            <v>0</v>
          </cell>
          <cell r="AK4">
            <v>0</v>
          </cell>
          <cell r="AM4">
            <v>0</v>
          </cell>
          <cell r="AN4">
            <v>1</v>
          </cell>
          <cell r="AO4">
            <v>0</v>
          </cell>
          <cell r="AP4">
            <v>0</v>
          </cell>
          <cell r="AR4">
            <v>0</v>
          </cell>
          <cell r="AS4">
            <v>0</v>
          </cell>
          <cell r="AT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C4">
            <v>0</v>
          </cell>
          <cell r="BD4">
            <v>0.5774425826405315</v>
          </cell>
          <cell r="BE4">
            <v>0</v>
          </cell>
          <cell r="BF4">
            <v>0</v>
          </cell>
          <cell r="BH4">
            <v>0</v>
          </cell>
          <cell r="BI4">
            <v>0</v>
          </cell>
          <cell r="BJ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</row>
        <row r="5">
          <cell r="A5" t="str">
            <v>100700120Q</v>
          </cell>
          <cell r="B5" t="str">
            <v>DUNCAN REGIONAL HOSPITAL INC (JEFFERSON COUNTY HOSPITAL)</v>
          </cell>
          <cell r="C5">
            <v>1</v>
          </cell>
          <cell r="D5">
            <v>12</v>
          </cell>
          <cell r="E5">
            <v>371311</v>
          </cell>
          <cell r="F5">
            <v>43647</v>
          </cell>
          <cell r="G5">
            <v>44012</v>
          </cell>
          <cell r="H5">
            <v>1</v>
          </cell>
          <cell r="I5">
            <v>1175392</v>
          </cell>
          <cell r="J5">
            <v>2087317</v>
          </cell>
          <cell r="K5">
            <v>4315</v>
          </cell>
          <cell r="L5">
            <v>10409249</v>
          </cell>
          <cell r="M5">
            <v>2837145</v>
          </cell>
          <cell r="N5">
            <v>33138979</v>
          </cell>
          <cell r="O5">
            <v>26306958</v>
          </cell>
          <cell r="Q5">
            <v>1175392</v>
          </cell>
          <cell r="R5">
            <v>2087317</v>
          </cell>
          <cell r="S5">
            <v>4315</v>
          </cell>
          <cell r="T5">
            <v>10409249</v>
          </cell>
          <cell r="U5">
            <v>2837145</v>
          </cell>
          <cell r="W5">
            <v>16513418</v>
          </cell>
          <cell r="Y5">
            <v>33138979</v>
          </cell>
          <cell r="Z5">
            <v>26306958</v>
          </cell>
          <cell r="AB5">
            <v>16513418</v>
          </cell>
          <cell r="AC5">
            <v>2593485.5492377118</v>
          </cell>
          <cell r="AD5">
            <v>10515481.801942419</v>
          </cell>
          <cell r="AE5">
            <v>3267024</v>
          </cell>
          <cell r="AF5">
            <v>13246394</v>
          </cell>
          <cell r="AG5">
            <v>0</v>
          </cell>
          <cell r="AH5">
            <v>13108967.351180132</v>
          </cell>
          <cell r="AJ5">
            <v>0</v>
          </cell>
          <cell r="AK5">
            <v>17930.650000000001</v>
          </cell>
          <cell r="AM5">
            <v>17930.650000000001</v>
          </cell>
          <cell r="AN5">
            <v>1</v>
          </cell>
          <cell r="AO5">
            <v>17930.650000000001</v>
          </cell>
          <cell r="AP5">
            <v>10648.05</v>
          </cell>
          <cell r="AR5">
            <v>10648.05</v>
          </cell>
          <cell r="AS5">
            <v>18108.163435000002</v>
          </cell>
          <cell r="AT5">
            <v>7460</v>
          </cell>
          <cell r="AV5">
            <v>7460</v>
          </cell>
          <cell r="AW5">
            <v>1865</v>
          </cell>
          <cell r="AX5">
            <v>1865</v>
          </cell>
          <cell r="AY5">
            <v>1865</v>
          </cell>
          <cell r="AZ5">
            <v>1865</v>
          </cell>
          <cell r="BA5">
            <v>1673473.9700000002</v>
          </cell>
          <cell r="BC5">
            <v>1673473.9700000002</v>
          </cell>
          <cell r="BD5">
            <v>1</v>
          </cell>
          <cell r="BE5">
            <v>1673473.9700000002</v>
          </cell>
          <cell r="BF5">
            <v>258775.55000000002</v>
          </cell>
          <cell r="BH5">
            <v>258775.55000000002</v>
          </cell>
          <cell r="BI5">
            <v>1690041.3623030002</v>
          </cell>
          <cell r="BJ5">
            <v>1431266</v>
          </cell>
          <cell r="BL5">
            <v>1431266</v>
          </cell>
          <cell r="BM5">
            <v>357816.5</v>
          </cell>
          <cell r="BN5">
            <v>357816.5</v>
          </cell>
          <cell r="BO5">
            <v>357816.5</v>
          </cell>
          <cell r="BP5">
            <v>357816.5</v>
          </cell>
        </row>
        <row r="6">
          <cell r="A6" t="str">
            <v>200918290A</v>
          </cell>
          <cell r="B6" t="str">
            <v>FAIRFAX MEMORIAL HOSPITAL (CAH Acquisition #12)</v>
          </cell>
          <cell r="C6">
            <v>1</v>
          </cell>
          <cell r="D6">
            <v>12</v>
          </cell>
          <cell r="E6">
            <v>371318</v>
          </cell>
          <cell r="F6">
            <v>43739</v>
          </cell>
          <cell r="G6">
            <v>44104</v>
          </cell>
          <cell r="H6">
            <v>1</v>
          </cell>
          <cell r="I6" t="e">
            <v>#N/A</v>
          </cell>
          <cell r="J6" t="e">
            <v>#N/A</v>
          </cell>
          <cell r="K6" t="e">
            <v>#N/A</v>
          </cell>
          <cell r="L6" t="e">
            <v>#N/A</v>
          </cell>
          <cell r="M6" t="e">
            <v>#N/A</v>
          </cell>
          <cell r="N6" t="e">
            <v>#N/A</v>
          </cell>
          <cell r="O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 t="e">
            <v>#N/A</v>
          </cell>
          <cell r="W6" t="e">
            <v>#N/A</v>
          </cell>
          <cell r="Y6" t="e">
            <v>#N/A</v>
          </cell>
          <cell r="Z6" t="e">
            <v>#N/A</v>
          </cell>
          <cell r="AB6" t="e">
            <v>#N/A</v>
          </cell>
          <cell r="AC6">
            <v>0</v>
          </cell>
          <cell r="AD6">
            <v>0</v>
          </cell>
          <cell r="AE6" t="e">
            <v>#N/A</v>
          </cell>
          <cell r="AF6" t="e">
            <v>#N/A</v>
          </cell>
          <cell r="AG6" t="e">
            <v>#N/A</v>
          </cell>
          <cell r="AH6">
            <v>0</v>
          </cell>
          <cell r="AJ6">
            <v>0</v>
          </cell>
          <cell r="AK6">
            <v>15034.85</v>
          </cell>
          <cell r="AM6">
            <v>15034.85</v>
          </cell>
          <cell r="AN6">
            <v>1</v>
          </cell>
          <cell r="AO6">
            <v>15034.85</v>
          </cell>
          <cell r="AP6">
            <v>4809.72</v>
          </cell>
          <cell r="AR6">
            <v>4809.72</v>
          </cell>
          <cell r="AS6">
            <v>15183.695015000001</v>
          </cell>
          <cell r="AT6">
            <v>10374</v>
          </cell>
          <cell r="AV6">
            <v>10374</v>
          </cell>
          <cell r="AW6">
            <v>2593.5</v>
          </cell>
          <cell r="AX6">
            <v>2593.5</v>
          </cell>
          <cell r="AY6">
            <v>2593.5</v>
          </cell>
          <cell r="AZ6">
            <v>2593.5</v>
          </cell>
          <cell r="BA6">
            <v>654513.72</v>
          </cell>
          <cell r="BC6">
            <v>654513.72</v>
          </cell>
          <cell r="BD6">
            <v>1</v>
          </cell>
          <cell r="BE6">
            <v>654513.72</v>
          </cell>
          <cell r="BF6">
            <v>102606.12</v>
          </cell>
          <cell r="BH6">
            <v>102606.12</v>
          </cell>
          <cell r="BI6">
            <v>660993.40582799993</v>
          </cell>
          <cell r="BJ6">
            <v>558387</v>
          </cell>
          <cell r="BL6">
            <v>558387</v>
          </cell>
          <cell r="BM6">
            <v>139596.75</v>
          </cell>
          <cell r="BN6">
            <v>139596.75</v>
          </cell>
          <cell r="BO6">
            <v>139596.75</v>
          </cell>
          <cell r="BP6">
            <v>139596.75</v>
          </cell>
        </row>
        <row r="7">
          <cell r="A7" t="str">
            <v>200925590A</v>
          </cell>
          <cell r="B7" t="str">
            <v>HASKELL COUNTY HOSPITAL (CAH Acquisition #16)</v>
          </cell>
          <cell r="C7">
            <v>1</v>
          </cell>
          <cell r="D7">
            <v>12</v>
          </cell>
          <cell r="E7">
            <v>371335</v>
          </cell>
          <cell r="F7">
            <v>43831</v>
          </cell>
          <cell r="G7">
            <v>44196</v>
          </cell>
          <cell r="H7">
            <v>1</v>
          </cell>
          <cell r="I7" t="e">
            <v>#N/A</v>
          </cell>
          <cell r="J7" t="e">
            <v>#N/A</v>
          </cell>
          <cell r="K7" t="e">
            <v>#N/A</v>
          </cell>
          <cell r="L7" t="e">
            <v>#N/A</v>
          </cell>
          <cell r="M7" t="e">
            <v>#N/A</v>
          </cell>
          <cell r="N7" t="e">
            <v>#N/A</v>
          </cell>
          <cell r="O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W7" t="e">
            <v>#N/A</v>
          </cell>
          <cell r="Y7" t="e">
            <v>#N/A</v>
          </cell>
          <cell r="Z7" t="e">
            <v>#N/A</v>
          </cell>
          <cell r="AB7" t="e">
            <v>#N/A</v>
          </cell>
          <cell r="AC7">
            <v>0</v>
          </cell>
          <cell r="AD7">
            <v>0</v>
          </cell>
          <cell r="AE7" t="e">
            <v>#N/A</v>
          </cell>
          <cell r="AF7" t="e">
            <v>#N/A</v>
          </cell>
          <cell r="AG7" t="e">
            <v>#N/A</v>
          </cell>
          <cell r="AH7">
            <v>0</v>
          </cell>
          <cell r="AJ7">
            <v>0</v>
          </cell>
          <cell r="AK7">
            <v>244237.93000000002</v>
          </cell>
          <cell r="AM7">
            <v>244237.93000000002</v>
          </cell>
          <cell r="AN7">
            <v>1</v>
          </cell>
          <cell r="AO7">
            <v>244237.93000000002</v>
          </cell>
          <cell r="AP7">
            <v>75792.479999999996</v>
          </cell>
          <cell r="AR7">
            <v>75792.479999999996</v>
          </cell>
          <cell r="AS7">
            <v>246655.88550700003</v>
          </cell>
          <cell r="AT7">
            <v>170863</v>
          </cell>
          <cell r="AV7">
            <v>170863</v>
          </cell>
          <cell r="AW7">
            <v>42715.75</v>
          </cell>
          <cell r="AX7">
            <v>42715.75</v>
          </cell>
          <cell r="AY7">
            <v>42715.75</v>
          </cell>
          <cell r="AZ7">
            <v>42715.75</v>
          </cell>
          <cell r="BA7">
            <v>2964746.4</v>
          </cell>
          <cell r="BC7">
            <v>2964746.4</v>
          </cell>
          <cell r="BD7">
            <v>0.81179998385088081</v>
          </cell>
          <cell r="BE7">
            <v>2406781.0796419568</v>
          </cell>
          <cell r="BF7">
            <v>337868.5</v>
          </cell>
          <cell r="BH7">
            <v>337868.5</v>
          </cell>
          <cell r="BI7">
            <v>2430608.2123304121</v>
          </cell>
          <cell r="BJ7">
            <v>2092740</v>
          </cell>
          <cell r="BL7">
            <v>2092740</v>
          </cell>
          <cell r="BM7">
            <v>523185</v>
          </cell>
          <cell r="BN7">
            <v>523185</v>
          </cell>
          <cell r="BO7">
            <v>523185</v>
          </cell>
          <cell r="BP7">
            <v>523185</v>
          </cell>
        </row>
        <row r="8">
          <cell r="A8" t="str">
            <v>100700460A</v>
          </cell>
          <cell r="B8" t="str">
            <v>JANE PHILLIPS NOWATA (NOWATA HEALTH CENTER)</v>
          </cell>
          <cell r="C8">
            <v>1</v>
          </cell>
          <cell r="D8">
            <v>12</v>
          </cell>
          <cell r="E8">
            <v>371305</v>
          </cell>
          <cell r="F8">
            <v>43647</v>
          </cell>
          <cell r="G8">
            <v>44012</v>
          </cell>
          <cell r="H8">
            <v>1</v>
          </cell>
          <cell r="I8">
            <v>1190816</v>
          </cell>
          <cell r="J8">
            <v>1094499</v>
          </cell>
          <cell r="K8">
            <v>6194</v>
          </cell>
          <cell r="L8">
            <v>2622717</v>
          </cell>
          <cell r="M8">
            <v>3153442</v>
          </cell>
          <cell r="N8">
            <v>8708878</v>
          </cell>
          <cell r="O8">
            <v>5426508</v>
          </cell>
          <cell r="Q8">
            <v>1190816</v>
          </cell>
          <cell r="R8">
            <v>1094499</v>
          </cell>
          <cell r="S8">
            <v>6194</v>
          </cell>
          <cell r="T8">
            <v>2622717</v>
          </cell>
          <cell r="U8">
            <v>3153442</v>
          </cell>
          <cell r="W8">
            <v>8067668</v>
          </cell>
          <cell r="Y8">
            <v>8708878</v>
          </cell>
          <cell r="Z8">
            <v>5426508</v>
          </cell>
          <cell r="AB8">
            <v>8067668</v>
          </cell>
          <cell r="AC8">
            <v>1427840.867741172</v>
          </cell>
          <cell r="AD8">
            <v>3599128.7307931059</v>
          </cell>
          <cell r="AE8">
            <v>2291509</v>
          </cell>
          <cell r="AF8">
            <v>5776159</v>
          </cell>
          <cell r="AG8">
            <v>0</v>
          </cell>
          <cell r="AH8">
            <v>5026969.5985342776</v>
          </cell>
          <cell r="AJ8">
            <v>0</v>
          </cell>
          <cell r="AK8">
            <v>52172.170000000006</v>
          </cell>
          <cell r="AM8">
            <v>52172.170000000006</v>
          </cell>
          <cell r="AN8">
            <v>1</v>
          </cell>
          <cell r="AO8">
            <v>52172.170000000006</v>
          </cell>
          <cell r="AP8">
            <v>38091.090000000004</v>
          </cell>
          <cell r="AR8">
            <v>38091.090000000004</v>
          </cell>
          <cell r="AS8">
            <v>52688.67448300001</v>
          </cell>
          <cell r="AT8">
            <v>14598</v>
          </cell>
          <cell r="AV8">
            <v>14598</v>
          </cell>
          <cell r="AW8">
            <v>3649.5</v>
          </cell>
          <cell r="AX8">
            <v>3649.5</v>
          </cell>
          <cell r="AY8">
            <v>3649.5</v>
          </cell>
          <cell r="AZ8">
            <v>3649.5</v>
          </cell>
          <cell r="BA8">
            <v>1691159.48</v>
          </cell>
          <cell r="BC8">
            <v>1691159.48</v>
          </cell>
          <cell r="BD8">
            <v>0.43281829698237051</v>
          </cell>
          <cell r="BE8">
            <v>731964.76605919132</v>
          </cell>
          <cell r="BF8">
            <v>248789.00137751643</v>
          </cell>
          <cell r="BH8">
            <v>248789.00137751643</v>
          </cell>
          <cell r="BI8">
            <v>739211.21724317735</v>
          </cell>
          <cell r="BJ8">
            <v>490422</v>
          </cell>
          <cell r="BL8">
            <v>490422</v>
          </cell>
          <cell r="BM8">
            <v>122605.5</v>
          </cell>
          <cell r="BN8">
            <v>122605.5</v>
          </cell>
          <cell r="BO8">
            <v>122605.5</v>
          </cell>
          <cell r="BP8">
            <v>122605.5</v>
          </cell>
        </row>
        <row r="9">
          <cell r="A9" t="str">
            <v>200740630B</v>
          </cell>
          <cell r="B9" t="str">
            <v>MANGUM REGIONAL MEDICAL CENTER (QUARTZ MOUNTAIN MEDICAL CENTER)</v>
          </cell>
          <cell r="C9">
            <v>1</v>
          </cell>
          <cell r="D9">
            <v>12</v>
          </cell>
          <cell r="E9">
            <v>371330</v>
          </cell>
          <cell r="F9">
            <v>43831</v>
          </cell>
          <cell r="G9">
            <v>44196</v>
          </cell>
          <cell r="H9">
            <v>1</v>
          </cell>
          <cell r="I9" t="e">
            <v>#N/A</v>
          </cell>
          <cell r="J9" t="e">
            <v>#N/A</v>
          </cell>
          <cell r="K9" t="e">
            <v>#N/A</v>
          </cell>
          <cell r="L9" t="e">
            <v>#N/A</v>
          </cell>
          <cell r="M9" t="e">
            <v>#N/A</v>
          </cell>
          <cell r="N9" t="e">
            <v>#N/A</v>
          </cell>
          <cell r="O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 t="e">
            <v>#N/A</v>
          </cell>
          <cell r="W9" t="e">
            <v>#N/A</v>
          </cell>
          <cell r="Y9" t="e">
            <v>#N/A</v>
          </cell>
          <cell r="Z9" t="e">
            <v>#N/A</v>
          </cell>
          <cell r="AB9" t="e">
            <v>#N/A</v>
          </cell>
          <cell r="AC9">
            <v>0</v>
          </cell>
          <cell r="AD9">
            <v>0</v>
          </cell>
          <cell r="AE9" t="e">
            <v>#N/A</v>
          </cell>
          <cell r="AF9" t="e">
            <v>#N/A</v>
          </cell>
          <cell r="AG9" t="e">
            <v>#N/A</v>
          </cell>
          <cell r="AH9">
            <v>0</v>
          </cell>
          <cell r="AJ9">
            <v>0</v>
          </cell>
          <cell r="AK9">
            <v>512774.17</v>
          </cell>
          <cell r="AM9">
            <v>512774.17</v>
          </cell>
          <cell r="AN9">
            <v>0.71693544488262395</v>
          </cell>
          <cell r="AO9">
            <v>367625.97769326821</v>
          </cell>
          <cell r="AP9">
            <v>148096.94</v>
          </cell>
          <cell r="AR9">
            <v>148096.94</v>
          </cell>
          <cell r="AS9">
            <v>371265.4748724316</v>
          </cell>
          <cell r="AT9">
            <v>223169</v>
          </cell>
          <cell r="AV9">
            <v>223169</v>
          </cell>
          <cell r="AW9">
            <v>55792.25</v>
          </cell>
          <cell r="AX9">
            <v>55792.25</v>
          </cell>
          <cell r="AY9">
            <v>55792.25</v>
          </cell>
          <cell r="AZ9">
            <v>55792.25</v>
          </cell>
          <cell r="BA9">
            <v>1413984.9800000002</v>
          </cell>
          <cell r="BC9">
            <v>1413984.9800000002</v>
          </cell>
          <cell r="BD9">
            <v>0.42566511494018239</v>
          </cell>
          <cell r="BE9">
            <v>601884.07903539157</v>
          </cell>
          <cell r="BF9">
            <v>171630.25982749468</v>
          </cell>
          <cell r="BH9">
            <v>171630.25982749468</v>
          </cell>
          <cell r="BI9">
            <v>607842.73141784198</v>
          </cell>
          <cell r="BJ9">
            <v>436212</v>
          </cell>
          <cell r="BL9">
            <v>436212</v>
          </cell>
          <cell r="BM9">
            <v>109053</v>
          </cell>
          <cell r="BN9">
            <v>109053</v>
          </cell>
          <cell r="BO9">
            <v>109053</v>
          </cell>
          <cell r="BP9">
            <v>109053</v>
          </cell>
        </row>
        <row r="10">
          <cell r="A10" t="str">
            <v>100774650D</v>
          </cell>
          <cell r="B10" t="str">
            <v>MARY HURLEY HOSPITAL (COAL COUNTY GENERAL HOSPITAL)</v>
          </cell>
          <cell r="C10">
            <v>1</v>
          </cell>
          <cell r="D10">
            <v>12</v>
          </cell>
          <cell r="E10">
            <v>371319</v>
          </cell>
          <cell r="F10">
            <v>43647</v>
          </cell>
          <cell r="G10">
            <v>44012</v>
          </cell>
          <cell r="H10">
            <v>1</v>
          </cell>
          <cell r="I10" t="e">
            <v>#N/A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  <cell r="N10" t="e">
            <v>#N/A</v>
          </cell>
          <cell r="O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W10" t="e">
            <v>#N/A</v>
          </cell>
          <cell r="Y10" t="e">
            <v>#N/A</v>
          </cell>
          <cell r="Z10" t="e">
            <v>#N/A</v>
          </cell>
          <cell r="AB10" t="e">
            <v>#N/A</v>
          </cell>
          <cell r="AC10">
            <v>0</v>
          </cell>
          <cell r="AD10">
            <v>0</v>
          </cell>
          <cell r="AE10" t="e">
            <v>#N/A</v>
          </cell>
          <cell r="AF10" t="e">
            <v>#N/A</v>
          </cell>
          <cell r="AG10" t="e">
            <v>#N/A</v>
          </cell>
          <cell r="AH10">
            <v>0</v>
          </cell>
          <cell r="AJ10">
            <v>0</v>
          </cell>
          <cell r="AK10">
            <v>80353.51999999999</v>
          </cell>
          <cell r="AM10">
            <v>80353.51999999999</v>
          </cell>
          <cell r="AN10">
            <v>0.85422109102263633</v>
          </cell>
          <cell r="AO10">
            <v>68639.671521909215</v>
          </cell>
          <cell r="AP10">
            <v>52421.42</v>
          </cell>
          <cell r="AR10">
            <v>52421.42</v>
          </cell>
          <cell r="AS10">
            <v>69319.204269976122</v>
          </cell>
          <cell r="AT10">
            <v>16898</v>
          </cell>
          <cell r="AV10">
            <v>16898</v>
          </cell>
          <cell r="AW10">
            <v>4224.5</v>
          </cell>
          <cell r="AX10">
            <v>4224.5</v>
          </cell>
          <cell r="AY10">
            <v>4224.5</v>
          </cell>
          <cell r="AZ10">
            <v>4224.5</v>
          </cell>
          <cell r="BA10">
            <v>669265.08000000007</v>
          </cell>
          <cell r="BC10">
            <v>669265.08000000007</v>
          </cell>
          <cell r="BD10">
            <v>0.68997044541215291</v>
          </cell>
          <cell r="BE10">
            <v>461773.12534640019</v>
          </cell>
          <cell r="BF10">
            <v>227541.1827930969</v>
          </cell>
          <cell r="BH10">
            <v>227541.1827930969</v>
          </cell>
          <cell r="BI10">
            <v>466344.67928732955</v>
          </cell>
          <cell r="BJ10">
            <v>238803</v>
          </cell>
          <cell r="BL10">
            <v>238803</v>
          </cell>
          <cell r="BM10">
            <v>59700.75</v>
          </cell>
          <cell r="BN10">
            <v>59700.75</v>
          </cell>
          <cell r="BO10">
            <v>59700.75</v>
          </cell>
          <cell r="BP10">
            <v>59700.75</v>
          </cell>
        </row>
        <row r="11">
          <cell r="A11" t="str">
            <v>100700920A</v>
          </cell>
          <cell r="B11" t="str">
            <v>MCCURTAIN MEMORIAL HOSPITAL</v>
          </cell>
          <cell r="C11">
            <v>1</v>
          </cell>
          <cell r="D11">
            <v>12</v>
          </cell>
          <cell r="E11">
            <v>371342</v>
          </cell>
          <cell r="F11">
            <v>43647</v>
          </cell>
          <cell r="G11">
            <v>44012</v>
          </cell>
          <cell r="H11">
            <v>1</v>
          </cell>
          <cell r="I11" t="e">
            <v>#N/A</v>
          </cell>
          <cell r="J11" t="e">
            <v>#N/A</v>
          </cell>
          <cell r="K11" t="e">
            <v>#N/A</v>
          </cell>
          <cell r="L11" t="e">
            <v>#N/A</v>
          </cell>
          <cell r="M11" t="e">
            <v>#N/A</v>
          </cell>
          <cell r="N11" t="e">
            <v>#N/A</v>
          </cell>
          <cell r="O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 t="e">
            <v>#N/A</v>
          </cell>
          <cell r="W11" t="e">
            <v>#N/A</v>
          </cell>
          <cell r="Y11" t="e">
            <v>#N/A</v>
          </cell>
          <cell r="Z11" t="e">
            <v>#N/A</v>
          </cell>
          <cell r="AB11" t="e">
            <v>#N/A</v>
          </cell>
          <cell r="AC11">
            <v>0</v>
          </cell>
          <cell r="AD11">
            <v>0</v>
          </cell>
          <cell r="AE11" t="e">
            <v>#N/A</v>
          </cell>
          <cell r="AF11" t="e">
            <v>#N/A</v>
          </cell>
          <cell r="AG11" t="e">
            <v>#N/A</v>
          </cell>
          <cell r="AH11">
            <v>0</v>
          </cell>
          <cell r="AJ11">
            <v>0</v>
          </cell>
          <cell r="AK11">
            <v>4719463.55</v>
          </cell>
          <cell r="AM11">
            <v>4719463.55</v>
          </cell>
          <cell r="AN11">
            <v>0.66885091946541031</v>
          </cell>
          <cell r="AO11">
            <v>3156617.5348009891</v>
          </cell>
          <cell r="AP11">
            <v>2206786.2000000002</v>
          </cell>
          <cell r="AR11">
            <v>2206786.2000000002</v>
          </cell>
          <cell r="AS11">
            <v>3187868.0483955191</v>
          </cell>
          <cell r="AT11">
            <v>981082</v>
          </cell>
          <cell r="AV11">
            <v>981082</v>
          </cell>
          <cell r="AW11">
            <v>245270.5</v>
          </cell>
          <cell r="AX11">
            <v>245270.5</v>
          </cell>
          <cell r="AY11">
            <v>245270.5</v>
          </cell>
          <cell r="AZ11">
            <v>245270.5</v>
          </cell>
          <cell r="BA11">
            <v>7326277.5</v>
          </cell>
          <cell r="BC11">
            <v>7326277.5</v>
          </cell>
          <cell r="BD11">
            <v>0.26172087730396754</v>
          </cell>
          <cell r="BE11">
            <v>1917439.774672318</v>
          </cell>
          <cell r="BF11">
            <v>1878689.53</v>
          </cell>
          <cell r="BH11">
            <v>1878689.53</v>
          </cell>
          <cell r="BI11">
            <v>1936422.4284415741</v>
          </cell>
          <cell r="BJ11">
            <v>57733</v>
          </cell>
          <cell r="BL11">
            <v>57733</v>
          </cell>
          <cell r="BM11">
            <v>14433.25</v>
          </cell>
          <cell r="BN11">
            <v>14433.25</v>
          </cell>
          <cell r="BO11">
            <v>14433.25</v>
          </cell>
          <cell r="BP11">
            <v>14433.25</v>
          </cell>
        </row>
        <row r="12">
          <cell r="A12" t="str">
            <v>200226190A</v>
          </cell>
          <cell r="B12" t="str">
            <v>MERCY HOSPITAL HEALDTON INC</v>
          </cell>
          <cell r="C12">
            <v>1</v>
          </cell>
          <cell r="D12">
            <v>12</v>
          </cell>
          <cell r="E12">
            <v>371310</v>
          </cell>
          <cell r="F12">
            <v>43647</v>
          </cell>
          <cell r="G12">
            <v>44012</v>
          </cell>
          <cell r="H12">
            <v>1</v>
          </cell>
          <cell r="I12">
            <v>1841270</v>
          </cell>
          <cell r="J12">
            <v>2074386</v>
          </cell>
          <cell r="K12">
            <v>125915</v>
          </cell>
          <cell r="L12">
            <v>4570176</v>
          </cell>
          <cell r="M12">
            <v>3986181</v>
          </cell>
          <cell r="N12">
            <v>12995493</v>
          </cell>
          <cell r="O12">
            <v>5849087</v>
          </cell>
          <cell r="Q12">
            <v>1841270</v>
          </cell>
          <cell r="R12">
            <v>2074386</v>
          </cell>
          <cell r="S12">
            <v>125915</v>
          </cell>
          <cell r="T12">
            <v>4570176</v>
          </cell>
          <cell r="U12">
            <v>3986181</v>
          </cell>
          <cell r="W12">
            <v>12597928</v>
          </cell>
          <cell r="Y12">
            <v>12995493</v>
          </cell>
          <cell r="Z12">
            <v>5849087</v>
          </cell>
          <cell r="AB12">
            <v>12597928</v>
          </cell>
          <cell r="AC12">
            <v>1819053.7593053991</v>
          </cell>
          <cell r="AD12">
            <v>3851094.8754355838</v>
          </cell>
          <cell r="AE12">
            <v>4041571</v>
          </cell>
          <cell r="AF12">
            <v>8556357</v>
          </cell>
          <cell r="AG12">
            <v>0</v>
          </cell>
          <cell r="AH12">
            <v>5670148.6347409831</v>
          </cell>
          <cell r="AJ12">
            <v>0</v>
          </cell>
          <cell r="AK12">
            <v>164552.46000000002</v>
          </cell>
          <cell r="AM12">
            <v>164552.46000000002</v>
          </cell>
          <cell r="AN12">
            <v>0.74919634095446497</v>
          </cell>
          <cell r="AO12">
            <v>123282.10092705597</v>
          </cell>
          <cell r="AP12">
            <v>64689.619999999995</v>
          </cell>
          <cell r="AR12">
            <v>64689.619999999995</v>
          </cell>
          <cell r="AS12">
            <v>124502.59372623383</v>
          </cell>
          <cell r="AT12">
            <v>59813</v>
          </cell>
          <cell r="AV12">
            <v>59813</v>
          </cell>
          <cell r="AW12">
            <v>14953.25</v>
          </cell>
          <cell r="AX12">
            <v>14953.25</v>
          </cell>
          <cell r="AY12">
            <v>14953.25</v>
          </cell>
          <cell r="AZ12">
            <v>14953.25</v>
          </cell>
          <cell r="BA12">
            <v>2009367.88</v>
          </cell>
          <cell r="BC12">
            <v>2009367.88</v>
          </cell>
          <cell r="BD12">
            <v>0.41594427253908839</v>
          </cell>
          <cell r="BE12">
            <v>835785.06111001025</v>
          </cell>
          <cell r="BF12">
            <v>359884.67</v>
          </cell>
          <cell r="BH12">
            <v>359884.67</v>
          </cell>
          <cell r="BI12">
            <v>844059.33321499941</v>
          </cell>
          <cell r="BJ12">
            <v>484175</v>
          </cell>
          <cell r="BL12">
            <v>484175</v>
          </cell>
          <cell r="BM12">
            <v>121043.75</v>
          </cell>
          <cell r="BN12">
            <v>121043.75</v>
          </cell>
          <cell r="BO12">
            <v>121043.75</v>
          </cell>
          <cell r="BP12">
            <v>121043.75</v>
          </cell>
        </row>
        <row r="13">
          <cell r="A13" t="str">
            <v>200521810B</v>
          </cell>
          <cell r="B13" t="str">
            <v xml:space="preserve">MERCY HOSPITAL KINGFISHER, INC </v>
          </cell>
          <cell r="C13">
            <v>1</v>
          </cell>
          <cell r="D13">
            <v>12</v>
          </cell>
          <cell r="E13">
            <v>371313</v>
          </cell>
          <cell r="F13">
            <v>43647</v>
          </cell>
          <cell r="G13">
            <v>44012</v>
          </cell>
          <cell r="H13">
            <v>1</v>
          </cell>
          <cell r="I13">
            <v>2483749</v>
          </cell>
          <cell r="J13">
            <v>3953456</v>
          </cell>
          <cell r="K13">
            <v>269355</v>
          </cell>
          <cell r="L13">
            <v>17389138</v>
          </cell>
          <cell r="M13">
            <v>5098024</v>
          </cell>
          <cell r="N13">
            <v>29193722</v>
          </cell>
          <cell r="O13">
            <v>11865803</v>
          </cell>
          <cell r="Q13">
            <v>2483749</v>
          </cell>
          <cell r="R13">
            <v>3953456</v>
          </cell>
          <cell r="S13">
            <v>269355</v>
          </cell>
          <cell r="T13">
            <v>17389138</v>
          </cell>
          <cell r="U13">
            <v>5098024</v>
          </cell>
          <cell r="W13">
            <v>29193722</v>
          </cell>
          <cell r="Y13">
            <v>29193722</v>
          </cell>
          <cell r="Z13">
            <v>11865803</v>
          </cell>
          <cell r="AB13">
            <v>29193722</v>
          </cell>
          <cell r="AC13">
            <v>2725884.6873886106</v>
          </cell>
          <cell r="AD13">
            <v>9139918.3126113899</v>
          </cell>
          <cell r="AE13">
            <v>6706560</v>
          </cell>
          <cell r="AF13">
            <v>22487162</v>
          </cell>
          <cell r="AG13">
            <v>0</v>
          </cell>
          <cell r="AH13">
            <v>11865803</v>
          </cell>
          <cell r="AJ13">
            <v>0</v>
          </cell>
          <cell r="AK13">
            <v>484805.38</v>
          </cell>
          <cell r="AM13">
            <v>484805.38</v>
          </cell>
          <cell r="AN13">
            <v>0.62651519558312274</v>
          </cell>
          <cell r="AO13">
            <v>303737.93747045012</v>
          </cell>
          <cell r="AP13">
            <v>138599.59</v>
          </cell>
          <cell r="AR13">
            <v>138599.59</v>
          </cell>
          <cell r="AS13">
            <v>306744.94305140758</v>
          </cell>
          <cell r="AT13">
            <v>168145</v>
          </cell>
          <cell r="AV13">
            <v>168145</v>
          </cell>
          <cell r="AW13">
            <v>42036.25</v>
          </cell>
          <cell r="AX13">
            <v>42036.25</v>
          </cell>
          <cell r="AY13">
            <v>42036.25</v>
          </cell>
          <cell r="AZ13">
            <v>42036.25</v>
          </cell>
          <cell r="BA13">
            <v>2097274.56</v>
          </cell>
          <cell r="BC13">
            <v>2097274.56</v>
          </cell>
          <cell r="BD13">
            <v>0.37974769633557276</v>
          </cell>
          <cell r="BE13">
            <v>796435.18274320196</v>
          </cell>
          <cell r="BF13">
            <v>361411.42471828178</v>
          </cell>
          <cell r="BH13">
            <v>361411.42471828178</v>
          </cell>
          <cell r="BI13">
            <v>804319.89105235972</v>
          </cell>
          <cell r="BJ13">
            <v>442908</v>
          </cell>
          <cell r="BL13">
            <v>442908</v>
          </cell>
          <cell r="BM13">
            <v>110727</v>
          </cell>
          <cell r="BN13">
            <v>110727</v>
          </cell>
          <cell r="BO13">
            <v>110727</v>
          </cell>
          <cell r="BP13">
            <v>110727</v>
          </cell>
        </row>
        <row r="14">
          <cell r="A14" t="str">
            <v>200425410C</v>
          </cell>
          <cell r="B14" t="str">
            <v>MERCY HOSPITAL LOGAN COUNTY (LOGAN MEDICAL CENTER)</v>
          </cell>
          <cell r="C14">
            <v>1</v>
          </cell>
          <cell r="D14">
            <v>12</v>
          </cell>
          <cell r="E14">
            <v>371317</v>
          </cell>
          <cell r="F14">
            <v>43647</v>
          </cell>
          <cell r="G14">
            <v>44012</v>
          </cell>
          <cell r="H14">
            <v>1</v>
          </cell>
          <cell r="I14" t="e">
            <v>#N/A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W14" t="e">
            <v>#N/A</v>
          </cell>
          <cell r="Y14" t="e">
            <v>#N/A</v>
          </cell>
          <cell r="Z14" t="e">
            <v>#N/A</v>
          </cell>
          <cell r="AB14" t="e">
            <v>#N/A</v>
          </cell>
          <cell r="AC14">
            <v>0</v>
          </cell>
          <cell r="AD14">
            <v>0</v>
          </cell>
          <cell r="AE14" t="e">
            <v>#N/A</v>
          </cell>
          <cell r="AF14" t="e">
            <v>#N/A</v>
          </cell>
          <cell r="AG14" t="e">
            <v>#N/A</v>
          </cell>
          <cell r="AH14">
            <v>0</v>
          </cell>
          <cell r="AJ14">
            <v>0</v>
          </cell>
          <cell r="AK14">
            <v>1657871.6600000001</v>
          </cell>
          <cell r="AM14">
            <v>1657871.6600000001</v>
          </cell>
          <cell r="AN14">
            <v>0.49906170537083566</v>
          </cell>
          <cell r="AO14">
            <v>827380.25792557828</v>
          </cell>
          <cell r="AP14">
            <v>467009.8</v>
          </cell>
          <cell r="AR14">
            <v>467009.8</v>
          </cell>
          <cell r="AS14">
            <v>835571.32247904153</v>
          </cell>
          <cell r="AT14">
            <v>368562</v>
          </cell>
          <cell r="AV14">
            <v>368562</v>
          </cell>
          <cell r="AW14">
            <v>92140.5</v>
          </cell>
          <cell r="AX14">
            <v>92140.5</v>
          </cell>
          <cell r="AY14">
            <v>92140.5</v>
          </cell>
          <cell r="AZ14">
            <v>92140.5</v>
          </cell>
          <cell r="BA14">
            <v>5525074.2400000002</v>
          </cell>
          <cell r="BC14">
            <v>5525074.2400000002</v>
          </cell>
          <cell r="BD14">
            <v>0.40282184247985231</v>
          </cell>
          <cell r="BE14">
            <v>2225620.5851947698</v>
          </cell>
          <cell r="BF14">
            <v>998665.62812500249</v>
          </cell>
          <cell r="BH14">
            <v>998665.62812500249</v>
          </cell>
          <cell r="BI14">
            <v>2247654.2289881981</v>
          </cell>
          <cell r="BJ14">
            <v>1248989</v>
          </cell>
          <cell r="BL14">
            <v>1248989</v>
          </cell>
          <cell r="BM14">
            <v>312247.25</v>
          </cell>
          <cell r="BN14">
            <v>312247.25</v>
          </cell>
          <cell r="BO14">
            <v>312247.25</v>
          </cell>
          <cell r="BP14">
            <v>312247.25</v>
          </cell>
        </row>
        <row r="15">
          <cell r="A15" t="str">
            <v>200318440B</v>
          </cell>
          <cell r="B15" t="str">
            <v>MERCY HOSPITAL TISHOMINGO (JOHNSTON MEMORIAL HOSPITAL)</v>
          </cell>
          <cell r="C15">
            <v>1</v>
          </cell>
          <cell r="D15">
            <v>12</v>
          </cell>
          <cell r="E15">
            <v>371304</v>
          </cell>
          <cell r="F15">
            <v>43647</v>
          </cell>
          <cell r="G15">
            <v>44012</v>
          </cell>
          <cell r="H15">
            <v>1</v>
          </cell>
          <cell r="I15">
            <v>1791801</v>
          </cell>
          <cell r="J15">
            <v>1597799</v>
          </cell>
          <cell r="K15">
            <v>157069</v>
          </cell>
          <cell r="L15">
            <v>4647558</v>
          </cell>
          <cell r="M15">
            <v>4549042</v>
          </cell>
          <cell r="N15">
            <v>12743269</v>
          </cell>
          <cell r="O15">
            <v>6181597</v>
          </cell>
          <cell r="Q15">
            <v>1791801</v>
          </cell>
          <cell r="R15">
            <v>1597799</v>
          </cell>
          <cell r="S15">
            <v>157069</v>
          </cell>
          <cell r="T15">
            <v>4647558</v>
          </cell>
          <cell r="U15">
            <v>4549042</v>
          </cell>
          <cell r="W15">
            <v>12743269</v>
          </cell>
          <cell r="Y15">
            <v>12743269</v>
          </cell>
          <cell r="Z15">
            <v>6181597</v>
          </cell>
          <cell r="AB15">
            <v>12743269</v>
          </cell>
          <cell r="AC15">
            <v>1720443.8241390807</v>
          </cell>
          <cell r="AD15">
            <v>4461153.1758609191</v>
          </cell>
          <cell r="AE15">
            <v>3546669</v>
          </cell>
          <cell r="AF15">
            <v>9196600</v>
          </cell>
          <cell r="AG15">
            <v>0</v>
          </cell>
          <cell r="AH15">
            <v>6181597</v>
          </cell>
          <cell r="AJ15">
            <v>0</v>
          </cell>
          <cell r="AK15">
            <v>302803.94</v>
          </cell>
          <cell r="AM15">
            <v>302803.94</v>
          </cell>
          <cell r="AN15">
            <v>0.859390987554283</v>
          </cell>
          <cell r="AO15">
            <v>260226.97703192785</v>
          </cell>
          <cell r="AP15">
            <v>139828.85</v>
          </cell>
          <cell r="AR15">
            <v>139828.85</v>
          </cell>
          <cell r="AS15">
            <v>262803.22410454392</v>
          </cell>
          <cell r="AT15">
            <v>122974</v>
          </cell>
          <cell r="AV15">
            <v>122974</v>
          </cell>
          <cell r="AW15">
            <v>30743.5</v>
          </cell>
          <cell r="AX15">
            <v>30743.5</v>
          </cell>
          <cell r="AY15">
            <v>30743.5</v>
          </cell>
          <cell r="AZ15">
            <v>30743.5</v>
          </cell>
          <cell r="BA15">
            <v>2917510.54</v>
          </cell>
          <cell r="BC15">
            <v>2917510.54</v>
          </cell>
          <cell r="BD15">
            <v>0.52036963582475226</v>
          </cell>
          <cell r="BE15">
            <v>1518183.8972146763</v>
          </cell>
          <cell r="BF15">
            <v>715347.29999999795</v>
          </cell>
          <cell r="BH15">
            <v>715347.29999999795</v>
          </cell>
          <cell r="BI15">
            <v>1533213.9177971017</v>
          </cell>
          <cell r="BJ15">
            <v>817867</v>
          </cell>
          <cell r="BL15">
            <v>817867</v>
          </cell>
          <cell r="BM15">
            <v>204466.75</v>
          </cell>
          <cell r="BN15">
            <v>204466.75</v>
          </cell>
          <cell r="BO15">
            <v>204466.75</v>
          </cell>
          <cell r="BP15">
            <v>204466.75</v>
          </cell>
        </row>
        <row r="16">
          <cell r="A16" t="str">
            <v>200490030A</v>
          </cell>
          <cell r="B16" t="str">
            <v>MERCY HOSPITAL WATONGA</v>
          </cell>
          <cell r="C16">
            <v>1</v>
          </cell>
          <cell r="D16">
            <v>12</v>
          </cell>
          <cell r="E16">
            <v>371302</v>
          </cell>
          <cell r="F16">
            <v>43647</v>
          </cell>
          <cell r="G16">
            <v>44012</v>
          </cell>
          <cell r="H16">
            <v>1</v>
          </cell>
          <cell r="I16">
            <v>1278936</v>
          </cell>
          <cell r="J16">
            <v>1277842</v>
          </cell>
          <cell r="K16">
            <v>285569</v>
          </cell>
          <cell r="L16">
            <v>7016597</v>
          </cell>
          <cell r="M16">
            <v>5543019</v>
          </cell>
          <cell r="N16">
            <v>15401963</v>
          </cell>
          <cell r="O16">
            <v>6664681</v>
          </cell>
          <cell r="Q16">
            <v>1278936</v>
          </cell>
          <cell r="R16">
            <v>1277842</v>
          </cell>
          <cell r="S16">
            <v>285569</v>
          </cell>
          <cell r="T16">
            <v>7016597</v>
          </cell>
          <cell r="U16">
            <v>5543019</v>
          </cell>
          <cell r="W16">
            <v>15401963</v>
          </cell>
          <cell r="Y16">
            <v>15401963</v>
          </cell>
          <cell r="Z16">
            <v>6664681</v>
          </cell>
          <cell r="AB16">
            <v>15401963</v>
          </cell>
          <cell r="AC16">
            <v>1229929.9801140283</v>
          </cell>
          <cell r="AD16">
            <v>5434751.0198859721</v>
          </cell>
          <cell r="AE16">
            <v>2842347</v>
          </cell>
          <cell r="AF16">
            <v>12559616</v>
          </cell>
          <cell r="AG16">
            <v>0</v>
          </cell>
          <cell r="AH16">
            <v>6664681</v>
          </cell>
          <cell r="AJ16">
            <v>0</v>
          </cell>
          <cell r="AK16">
            <v>342230.97</v>
          </cell>
          <cell r="AM16">
            <v>342230.97</v>
          </cell>
          <cell r="AN16">
            <v>1</v>
          </cell>
          <cell r="AO16">
            <v>342230.97</v>
          </cell>
          <cell r="AP16">
            <v>117904.63</v>
          </cell>
          <cell r="AR16">
            <v>117904.63</v>
          </cell>
          <cell r="AS16">
            <v>345619.05660299998</v>
          </cell>
          <cell r="AT16">
            <v>227714</v>
          </cell>
          <cell r="AV16">
            <v>227714</v>
          </cell>
          <cell r="AW16">
            <v>56928.5</v>
          </cell>
          <cell r="AX16">
            <v>56928.5</v>
          </cell>
          <cell r="AY16">
            <v>56928.5</v>
          </cell>
          <cell r="AZ16">
            <v>56928.5</v>
          </cell>
          <cell r="BA16">
            <v>2028445.9300000002</v>
          </cell>
          <cell r="BC16">
            <v>2028445.9300000002</v>
          </cell>
          <cell r="BD16">
            <v>0.344639979237018</v>
          </cell>
          <cell r="BE16">
            <v>699083.5631986137</v>
          </cell>
          <cell r="BF16">
            <v>402273.42000000004</v>
          </cell>
          <cell r="BH16">
            <v>402273.42000000004</v>
          </cell>
          <cell r="BI16">
            <v>706004.49047427997</v>
          </cell>
          <cell r="BJ16">
            <v>303731</v>
          </cell>
          <cell r="BL16">
            <v>303731</v>
          </cell>
          <cell r="BM16">
            <v>75932.75</v>
          </cell>
          <cell r="BN16">
            <v>75932.75</v>
          </cell>
          <cell r="BO16">
            <v>75932.75</v>
          </cell>
          <cell r="BP16">
            <v>75932.75</v>
          </cell>
        </row>
        <row r="17">
          <cell r="A17" t="str">
            <v>100699360I</v>
          </cell>
          <cell r="B17" t="str">
            <v>NEWMAN MEMORIAL HOSPITAL</v>
          </cell>
          <cell r="C17">
            <v>1</v>
          </cell>
          <cell r="D17">
            <v>12</v>
          </cell>
          <cell r="E17">
            <v>371336</v>
          </cell>
          <cell r="F17">
            <v>43831</v>
          </cell>
          <cell r="G17">
            <v>44196</v>
          </cell>
          <cell r="H17">
            <v>1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W17" t="e">
            <v>#N/A</v>
          </cell>
          <cell r="Y17" t="e">
            <v>#N/A</v>
          </cell>
          <cell r="Z17" t="e">
            <v>#N/A</v>
          </cell>
          <cell r="AB17" t="e">
            <v>#N/A</v>
          </cell>
          <cell r="AC17">
            <v>0</v>
          </cell>
          <cell r="AD17">
            <v>0</v>
          </cell>
          <cell r="AE17" t="e">
            <v>#N/A</v>
          </cell>
          <cell r="AF17" t="e">
            <v>#N/A</v>
          </cell>
          <cell r="AG17" t="e">
            <v>#N/A</v>
          </cell>
          <cell r="AH17">
            <v>0</v>
          </cell>
          <cell r="AJ17">
            <v>0</v>
          </cell>
          <cell r="AK17">
            <v>172011.82</v>
          </cell>
          <cell r="AM17">
            <v>172011.82</v>
          </cell>
          <cell r="AN17">
            <v>0.48022281805024003</v>
          </cell>
          <cell r="AO17">
            <v>82604.00093835064</v>
          </cell>
          <cell r="AP17">
            <v>55574.630000000005</v>
          </cell>
          <cell r="AR17">
            <v>55574.630000000005</v>
          </cell>
          <cell r="AS17">
            <v>83421.780547640315</v>
          </cell>
          <cell r="AT17">
            <v>27847</v>
          </cell>
          <cell r="AV17">
            <v>27847</v>
          </cell>
          <cell r="AW17">
            <v>6961.75</v>
          </cell>
          <cell r="AX17">
            <v>6961.75</v>
          </cell>
          <cell r="AY17">
            <v>6961.75</v>
          </cell>
          <cell r="AZ17">
            <v>6961.75</v>
          </cell>
          <cell r="BA17">
            <v>544710.86000000103</v>
          </cell>
          <cell r="BC17">
            <v>544710.86000000103</v>
          </cell>
          <cell r="BD17">
            <v>0.68815500373839222</v>
          </cell>
          <cell r="BE17">
            <v>374845.50389964355</v>
          </cell>
          <cell r="BF17">
            <v>119797.96000000009</v>
          </cell>
          <cell r="BH17">
            <v>119797.96000000009</v>
          </cell>
          <cell r="BI17">
            <v>378556.47438825003</v>
          </cell>
          <cell r="BJ17">
            <v>258759</v>
          </cell>
          <cell r="BL17">
            <v>258759</v>
          </cell>
          <cell r="BM17">
            <v>64689.75</v>
          </cell>
          <cell r="BN17">
            <v>64689.75</v>
          </cell>
          <cell r="BO17">
            <v>64689.75</v>
          </cell>
          <cell r="BP17">
            <v>64689.75</v>
          </cell>
        </row>
        <row r="18">
          <cell r="A18" t="str">
            <v>200231400B</v>
          </cell>
          <cell r="B18" t="str">
            <v xml:space="preserve">PRAGUE COMMUNITY HOSPITAL (CAH ACQUISITION COMPANY #7 LLC) </v>
          </cell>
          <cell r="C18">
            <v>1</v>
          </cell>
          <cell r="D18">
            <v>12</v>
          </cell>
          <cell r="E18">
            <v>371301</v>
          </cell>
          <cell r="F18">
            <v>44105</v>
          </cell>
          <cell r="G18">
            <v>44104</v>
          </cell>
          <cell r="H18">
            <v>1</v>
          </cell>
          <cell r="I18">
            <v>3805439</v>
          </cell>
          <cell r="J18">
            <v>3712216</v>
          </cell>
          <cell r="K18">
            <v>6289</v>
          </cell>
          <cell r="L18">
            <v>2816357</v>
          </cell>
          <cell r="M18">
            <v>1796816</v>
          </cell>
          <cell r="N18">
            <v>12257432</v>
          </cell>
          <cell r="O18">
            <v>4151490</v>
          </cell>
          <cell r="Q18">
            <v>3805439</v>
          </cell>
          <cell r="R18">
            <v>3712216</v>
          </cell>
          <cell r="S18">
            <v>6289</v>
          </cell>
          <cell r="T18">
            <v>2816357</v>
          </cell>
          <cell r="U18">
            <v>1796816</v>
          </cell>
          <cell r="W18">
            <v>12137117</v>
          </cell>
          <cell r="Y18">
            <v>12257432</v>
          </cell>
          <cell r="Z18">
            <v>4151490</v>
          </cell>
          <cell r="AB18">
            <v>12137117</v>
          </cell>
          <cell r="AC18">
            <v>2548297.0883754445</v>
          </cell>
          <cell r="AD18">
            <v>1562443.2244674088</v>
          </cell>
          <cell r="AE18">
            <v>7523944</v>
          </cell>
          <cell r="AF18">
            <v>4613173</v>
          </cell>
          <cell r="AG18">
            <v>0</v>
          </cell>
          <cell r="AH18">
            <v>4110740.3128428534</v>
          </cell>
          <cell r="AJ18">
            <v>0</v>
          </cell>
          <cell r="AK18">
            <v>59769</v>
          </cell>
          <cell r="AM18">
            <v>59769</v>
          </cell>
          <cell r="AN18">
            <v>0.99145439605587515</v>
          </cell>
          <cell r="AO18">
            <v>59258.2377978636</v>
          </cell>
          <cell r="AP18">
            <v>10419.36</v>
          </cell>
          <cell r="AR18">
            <v>10419.36</v>
          </cell>
          <cell r="AS18">
            <v>59844.894352062453</v>
          </cell>
          <cell r="AT18">
            <v>49426</v>
          </cell>
          <cell r="AV18">
            <v>49426</v>
          </cell>
          <cell r="AW18">
            <v>12356.5</v>
          </cell>
          <cell r="AX18">
            <v>12356.5</v>
          </cell>
          <cell r="AY18">
            <v>12356.5</v>
          </cell>
          <cell r="AZ18">
            <v>12356.5</v>
          </cell>
          <cell r="BA18">
            <v>1248062.01</v>
          </cell>
          <cell r="BC18">
            <v>1248062.01</v>
          </cell>
          <cell r="BD18">
            <v>0.48003669726381898</v>
          </cell>
          <cell r="BE18">
            <v>599115.56526084337</v>
          </cell>
          <cell r="BF18">
            <v>225266.02740610312</v>
          </cell>
          <cell r="BH18">
            <v>225266.02740610312</v>
          </cell>
          <cell r="BI18">
            <v>605046.80935692578</v>
          </cell>
          <cell r="BJ18">
            <v>379781</v>
          </cell>
          <cell r="BL18">
            <v>379781</v>
          </cell>
          <cell r="BM18">
            <v>94945.25</v>
          </cell>
          <cell r="BN18">
            <v>94945.25</v>
          </cell>
          <cell r="BO18">
            <v>94945.25</v>
          </cell>
          <cell r="BP18">
            <v>94945.25</v>
          </cell>
        </row>
        <row r="19">
          <cell r="A19" t="str">
            <v>100699550A</v>
          </cell>
          <cell r="B19" t="str">
            <v>ST. JOHN SAPULPA</v>
          </cell>
          <cell r="C19">
            <v>1</v>
          </cell>
          <cell r="D19">
            <v>12</v>
          </cell>
          <cell r="E19">
            <v>371312</v>
          </cell>
          <cell r="F19">
            <v>43647</v>
          </cell>
          <cell r="G19">
            <v>44012</v>
          </cell>
          <cell r="H19">
            <v>1</v>
          </cell>
          <cell r="I19">
            <v>3676896</v>
          </cell>
          <cell r="J19">
            <v>6259496</v>
          </cell>
          <cell r="K19">
            <v>141343</v>
          </cell>
          <cell r="L19">
            <v>38996293</v>
          </cell>
          <cell r="M19">
            <v>22476828</v>
          </cell>
          <cell r="N19">
            <v>75699917</v>
          </cell>
          <cell r="O19">
            <v>18442881</v>
          </cell>
          <cell r="Q19">
            <v>3676896</v>
          </cell>
          <cell r="R19">
            <v>6259496</v>
          </cell>
          <cell r="S19">
            <v>141343</v>
          </cell>
          <cell r="T19">
            <v>38996293</v>
          </cell>
          <cell r="U19">
            <v>22476828</v>
          </cell>
          <cell r="W19">
            <v>71550856</v>
          </cell>
          <cell r="Y19">
            <v>75699917</v>
          </cell>
          <cell r="Z19">
            <v>18442881</v>
          </cell>
          <cell r="AB19">
            <v>71550856</v>
          </cell>
          <cell r="AC19">
            <v>2455253.2515264843</v>
          </cell>
          <cell r="AD19">
            <v>14976785.975889524</v>
          </cell>
          <cell r="AE19">
            <v>10077735</v>
          </cell>
          <cell r="AF19">
            <v>61473121</v>
          </cell>
          <cell r="AG19">
            <v>0</v>
          </cell>
          <cell r="AH19">
            <v>17432039.227416009</v>
          </cell>
          <cell r="AJ19">
            <v>0</v>
          </cell>
          <cell r="AK19">
            <v>998858.53</v>
          </cell>
          <cell r="AM19">
            <v>998858.53</v>
          </cell>
          <cell r="AN19">
            <v>0.53608459506424888</v>
          </cell>
          <cell r="AO19">
            <v>535472.67058152088</v>
          </cell>
          <cell r="AP19">
            <v>489038.34</v>
          </cell>
          <cell r="AR19">
            <v>489038.34</v>
          </cell>
          <cell r="AS19">
            <v>540773.8500202779</v>
          </cell>
          <cell r="AT19">
            <v>51736</v>
          </cell>
          <cell r="AV19">
            <v>51736</v>
          </cell>
          <cell r="AW19">
            <v>12934</v>
          </cell>
          <cell r="AX19">
            <v>12934</v>
          </cell>
          <cell r="AY19">
            <v>12934</v>
          </cell>
          <cell r="AZ19">
            <v>12934</v>
          </cell>
          <cell r="BA19">
            <v>21947503.780000001</v>
          </cell>
          <cell r="BC19">
            <v>21947503.780000001</v>
          </cell>
          <cell r="BD19">
            <v>0.21382306476162199</v>
          </cell>
          <cell r="BE19">
            <v>4692882.522106884</v>
          </cell>
          <cell r="BF19">
            <v>2790813.7657315615</v>
          </cell>
          <cell r="BH19">
            <v>2790813.7657315615</v>
          </cell>
          <cell r="BI19">
            <v>4739342.059075742</v>
          </cell>
          <cell r="BJ19">
            <v>1948528</v>
          </cell>
          <cell r="BL19">
            <v>1948528</v>
          </cell>
          <cell r="BM19">
            <v>487132</v>
          </cell>
          <cell r="BN19">
            <v>487132</v>
          </cell>
          <cell r="BO19">
            <v>487132</v>
          </cell>
          <cell r="BP19">
            <v>487132</v>
          </cell>
        </row>
        <row r="20">
          <cell r="A20" t="str">
            <v>200125010B</v>
          </cell>
          <cell r="B20" t="str">
            <v>STROUD REGIONAL MED CENTER</v>
          </cell>
          <cell r="C20">
            <v>1</v>
          </cell>
          <cell r="D20">
            <v>12</v>
          </cell>
          <cell r="E20">
            <v>371316</v>
          </cell>
          <cell r="F20">
            <v>43739</v>
          </cell>
          <cell r="G20">
            <v>44104</v>
          </cell>
          <cell r="H20">
            <v>1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W20" t="e">
            <v>#N/A</v>
          </cell>
          <cell r="Y20" t="e">
            <v>#N/A</v>
          </cell>
          <cell r="Z20" t="e">
            <v>#N/A</v>
          </cell>
          <cell r="AB20" t="e">
            <v>#N/A</v>
          </cell>
          <cell r="AC20">
            <v>0</v>
          </cell>
          <cell r="AD20">
            <v>0</v>
          </cell>
          <cell r="AE20" t="e">
            <v>#N/A</v>
          </cell>
          <cell r="AF20" t="e">
            <v>#N/A</v>
          </cell>
          <cell r="AG20" t="e">
            <v>#N/A</v>
          </cell>
          <cell r="AH20">
            <v>0</v>
          </cell>
          <cell r="AJ20">
            <v>0</v>
          </cell>
          <cell r="AK20">
            <v>15867.92</v>
          </cell>
          <cell r="AM20">
            <v>15867.92</v>
          </cell>
          <cell r="AN20">
            <v>1</v>
          </cell>
          <cell r="AO20">
            <v>15867.92</v>
          </cell>
          <cell r="AP20">
            <v>2640.09</v>
          </cell>
          <cell r="AR20">
            <v>2640.09</v>
          </cell>
          <cell r="AS20">
            <v>16025.012408000001</v>
          </cell>
          <cell r="AT20">
            <v>13385</v>
          </cell>
          <cell r="AV20">
            <v>13385</v>
          </cell>
          <cell r="AW20">
            <v>3346.25</v>
          </cell>
          <cell r="AX20">
            <v>3346.25</v>
          </cell>
          <cell r="AY20">
            <v>3346.25</v>
          </cell>
          <cell r="AZ20">
            <v>3346.25</v>
          </cell>
          <cell r="BA20">
            <v>2011043.5499999998</v>
          </cell>
          <cell r="BC20">
            <v>2011043.5499999998</v>
          </cell>
          <cell r="BD20">
            <v>0.95566743270618604</v>
          </cell>
          <cell r="BE20">
            <v>1921888.8264888343</v>
          </cell>
          <cell r="BF20">
            <v>381593.25854596827</v>
          </cell>
          <cell r="BH20">
            <v>381593.25854596827</v>
          </cell>
          <cell r="BI20">
            <v>1940915.5258710738</v>
          </cell>
          <cell r="BJ20">
            <v>1559322</v>
          </cell>
          <cell r="BL20">
            <v>1559322</v>
          </cell>
          <cell r="BM20">
            <v>389830.5</v>
          </cell>
          <cell r="BN20">
            <v>389830.5</v>
          </cell>
          <cell r="BO20">
            <v>389830.5</v>
          </cell>
          <cell r="BP20">
            <v>389830.5</v>
          </cell>
        </row>
        <row r="21">
          <cell r="AK21">
            <v>10657701.1</v>
          </cell>
          <cell r="AL21">
            <v>0</v>
          </cell>
          <cell r="AM21">
            <v>10657701.1</v>
          </cell>
          <cell r="AO21">
            <v>6773354.130422649</v>
          </cell>
          <cell r="AP21">
            <v>4204481.7699999996</v>
          </cell>
          <cell r="AQ21">
            <v>0</v>
          </cell>
          <cell r="AR21">
            <v>4204481.7699999996</v>
          </cell>
          <cell r="AS21">
            <v>6840410.3363138353</v>
          </cell>
          <cell r="AT21">
            <v>2635930</v>
          </cell>
          <cell r="AU21">
            <v>0</v>
          </cell>
          <cell r="AV21">
            <v>2635930</v>
          </cell>
          <cell r="AW21">
            <v>658982.5</v>
          </cell>
          <cell r="AX21">
            <v>658982.5</v>
          </cell>
          <cell r="AY21">
            <v>658982.5</v>
          </cell>
          <cell r="AZ21">
            <v>658982.5</v>
          </cell>
          <cell r="BA21">
            <v>64863072.239999972</v>
          </cell>
          <cell r="BB21">
            <v>0</v>
          </cell>
          <cell r="BC21">
            <v>64863072.239999972</v>
          </cell>
          <cell r="BE21">
            <v>24921614.027499896</v>
          </cell>
          <cell r="BF21">
            <v>10585308.288525021</v>
          </cell>
          <cell r="BG21">
            <v>0</v>
          </cell>
          <cell r="BH21">
            <v>10585308.288525021</v>
          </cell>
          <cell r="BI21">
            <v>25168338.006372139</v>
          </cell>
          <cell r="BJ21">
            <v>14583030</v>
          </cell>
          <cell r="BK21">
            <v>0</v>
          </cell>
          <cell r="BL21">
            <v>14583030</v>
          </cell>
          <cell r="BM21">
            <v>3645757.5</v>
          </cell>
          <cell r="BN21">
            <v>3645757.5</v>
          </cell>
          <cell r="BO21">
            <v>3645757.5</v>
          </cell>
          <cell r="BP21">
            <v>3645757.5</v>
          </cell>
        </row>
        <row r="23">
          <cell r="A23" t="str">
            <v>200125200B</v>
          </cell>
          <cell r="B23" t="str">
            <v>THE PHYSICIANS HOSPITAL IN ANADARKO</v>
          </cell>
          <cell r="C23">
            <v>1</v>
          </cell>
          <cell r="D23">
            <v>12</v>
          </cell>
          <cell r="E23">
            <v>371314</v>
          </cell>
          <cell r="F23">
            <v>43739</v>
          </cell>
          <cell r="G23">
            <v>44104</v>
          </cell>
          <cell r="H23">
            <v>1</v>
          </cell>
          <cell r="I23">
            <v>6144931</v>
          </cell>
          <cell r="J23">
            <v>29898823</v>
          </cell>
          <cell r="K23">
            <v>2644606</v>
          </cell>
          <cell r="L23">
            <v>34279366</v>
          </cell>
          <cell r="M23">
            <v>3325545</v>
          </cell>
          <cell r="N23">
            <v>77642845</v>
          </cell>
          <cell r="O23">
            <v>45911136</v>
          </cell>
          <cell r="Q23">
            <v>6144931</v>
          </cell>
          <cell r="R23">
            <v>29898823</v>
          </cell>
          <cell r="S23">
            <v>2644606</v>
          </cell>
          <cell r="T23">
            <v>34279366</v>
          </cell>
          <cell r="U23">
            <v>3325545</v>
          </cell>
          <cell r="W23">
            <v>76293271</v>
          </cell>
          <cell r="Y23">
            <v>77642845</v>
          </cell>
          <cell r="Z23">
            <v>45911136</v>
          </cell>
          <cell r="AB23">
            <v>76293271</v>
          </cell>
          <cell r="AC23">
            <v>22876886.564073741</v>
          </cell>
          <cell r="AD23">
            <v>22236230.30800708</v>
          </cell>
          <cell r="AE23">
            <v>38688360</v>
          </cell>
          <cell r="AF23">
            <v>37604911</v>
          </cell>
          <cell r="AG23">
            <v>0</v>
          </cell>
          <cell r="AH23">
            <v>45113116.872080818</v>
          </cell>
          <cell r="AJ23">
            <v>0</v>
          </cell>
          <cell r="AK23">
            <v>911230.07</v>
          </cell>
          <cell r="AM23">
            <v>911230.07</v>
          </cell>
          <cell r="AN23">
            <v>1</v>
          </cell>
          <cell r="AO23">
            <v>911230.07</v>
          </cell>
          <cell r="AP23">
            <v>348333.05</v>
          </cell>
          <cell r="AR23">
            <v>348333.05</v>
          </cell>
          <cell r="AS23">
            <v>920251.24769300001</v>
          </cell>
          <cell r="AT23">
            <v>571918</v>
          </cell>
          <cell r="AV23">
            <v>571918</v>
          </cell>
          <cell r="AW23">
            <v>142979.5</v>
          </cell>
          <cell r="AX23">
            <v>142979.5</v>
          </cell>
          <cell r="AY23">
            <v>142979.5</v>
          </cell>
          <cell r="AZ23">
            <v>142979.5</v>
          </cell>
          <cell r="BA23">
            <v>3133384.7199999997</v>
          </cell>
          <cell r="BC23">
            <v>3133384.7199999997</v>
          </cell>
          <cell r="BD23">
            <v>0.69296707520092427</v>
          </cell>
          <cell r="BE23">
            <v>2171332.444897667</v>
          </cell>
          <cell r="BF23">
            <v>440026.20999999897</v>
          </cell>
          <cell r="BH23">
            <v>440026.20999999897</v>
          </cell>
          <cell r="BI23">
            <v>2192828.6361021539</v>
          </cell>
          <cell r="BJ23">
            <v>1752802</v>
          </cell>
          <cell r="BL23">
            <v>1752802</v>
          </cell>
          <cell r="BM23">
            <v>438200.5</v>
          </cell>
          <cell r="BN23">
            <v>438200.5</v>
          </cell>
          <cell r="BO23">
            <v>438200.5</v>
          </cell>
          <cell r="BP23">
            <v>438200.5</v>
          </cell>
        </row>
        <row r="24">
          <cell r="A24" t="str">
            <v>100700790A</v>
          </cell>
          <cell r="B24" t="str">
            <v>ARBUCKLE MEMORIAL HOSPITAL</v>
          </cell>
          <cell r="C24">
            <v>2</v>
          </cell>
          <cell r="D24">
            <v>12</v>
          </cell>
          <cell r="E24">
            <v>371328</v>
          </cell>
          <cell r="F24">
            <v>43831</v>
          </cell>
          <cell r="G24">
            <v>44196</v>
          </cell>
          <cell r="H24">
            <v>1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W24" t="e">
            <v>#N/A</v>
          </cell>
          <cell r="Y24" t="e">
            <v>#N/A</v>
          </cell>
          <cell r="Z24" t="e">
            <v>#N/A</v>
          </cell>
          <cell r="AB24" t="e">
            <v>#N/A</v>
          </cell>
          <cell r="AC24">
            <v>0</v>
          </cell>
          <cell r="AD24">
            <v>0</v>
          </cell>
          <cell r="AE24" t="e">
            <v>#N/A</v>
          </cell>
          <cell r="AF24" t="e">
            <v>#N/A</v>
          </cell>
          <cell r="AG24" t="e">
            <v>#N/A</v>
          </cell>
          <cell r="AH24">
            <v>0</v>
          </cell>
          <cell r="AJ24">
            <v>0</v>
          </cell>
          <cell r="AK24">
            <v>777252.95</v>
          </cell>
          <cell r="AM24">
            <v>777252.95</v>
          </cell>
          <cell r="AN24">
            <v>0.6956450682341816</v>
          </cell>
          <cell r="AO24">
            <v>540692.18143796886</v>
          </cell>
          <cell r="AP24">
            <v>339269.77</v>
          </cell>
          <cell r="AR24">
            <v>339269.77</v>
          </cell>
          <cell r="AS24">
            <v>546045.03403420479</v>
          </cell>
          <cell r="AT24">
            <v>206775</v>
          </cell>
          <cell r="AV24">
            <v>206775</v>
          </cell>
          <cell r="AW24">
            <v>51693.75</v>
          </cell>
          <cell r="AX24">
            <v>51693.75</v>
          </cell>
          <cell r="AY24">
            <v>51693.75</v>
          </cell>
          <cell r="AZ24">
            <v>51693.75</v>
          </cell>
          <cell r="BA24">
            <v>3011815.2399999998</v>
          </cell>
          <cell r="BC24">
            <v>3011815.2399999998</v>
          </cell>
          <cell r="BD24">
            <v>0.52171474872925672</v>
          </cell>
          <cell r="BE24">
            <v>1571308.4311555459</v>
          </cell>
          <cell r="BF24">
            <v>886070.36158688122</v>
          </cell>
          <cell r="BH24">
            <v>886070.36158688122</v>
          </cell>
          <cell r="BI24">
            <v>1586864.3846239857</v>
          </cell>
          <cell r="BJ24">
            <v>700794</v>
          </cell>
          <cell r="BL24">
            <v>700794</v>
          </cell>
          <cell r="BM24">
            <v>175198.5</v>
          </cell>
          <cell r="BN24">
            <v>175198.5</v>
          </cell>
          <cell r="BO24">
            <v>175198.5</v>
          </cell>
          <cell r="BP24">
            <v>175198.5</v>
          </cell>
        </row>
        <row r="25">
          <cell r="A25" t="str">
            <v>100262850D</v>
          </cell>
          <cell r="B25" t="str">
            <v>ATOKA MEMORIAL HOSPITAL</v>
          </cell>
          <cell r="C25">
            <v>2</v>
          </cell>
          <cell r="D25">
            <v>12</v>
          </cell>
          <cell r="E25">
            <v>371300</v>
          </cell>
          <cell r="F25">
            <v>43831</v>
          </cell>
          <cell r="G25">
            <v>44196</v>
          </cell>
          <cell r="H25">
            <v>1</v>
          </cell>
          <cell r="I25">
            <v>3839693</v>
          </cell>
          <cell r="J25">
            <v>7255475</v>
          </cell>
          <cell r="K25">
            <v>37974</v>
          </cell>
          <cell r="L25">
            <v>7063252</v>
          </cell>
          <cell r="M25">
            <v>2240659</v>
          </cell>
          <cell r="N25">
            <v>21982914</v>
          </cell>
          <cell r="O25">
            <v>12692536</v>
          </cell>
          <cell r="Q25">
            <v>3839693</v>
          </cell>
          <cell r="R25">
            <v>7255475</v>
          </cell>
          <cell r="S25">
            <v>37974</v>
          </cell>
          <cell r="T25">
            <v>7063252</v>
          </cell>
          <cell r="U25">
            <v>2240659</v>
          </cell>
          <cell r="W25">
            <v>20437053</v>
          </cell>
          <cell r="Y25">
            <v>21982914</v>
          </cell>
          <cell r="Z25">
            <v>12692536</v>
          </cell>
          <cell r="AB25">
            <v>20437053</v>
          </cell>
          <cell r="AC25">
            <v>6428074.3502936866</v>
          </cell>
          <cell r="AD25">
            <v>5371909.5342999566</v>
          </cell>
          <cell r="AE25">
            <v>11133142</v>
          </cell>
          <cell r="AF25">
            <v>9303911</v>
          </cell>
          <cell r="AG25">
            <v>0</v>
          </cell>
          <cell r="AH25">
            <v>11799983.884593643</v>
          </cell>
          <cell r="AJ25">
            <v>0</v>
          </cell>
          <cell r="AK25">
            <v>1130911.3199999998</v>
          </cell>
          <cell r="AM25">
            <v>1130911.3199999998</v>
          </cell>
          <cell r="AN25">
            <v>0.5366902827128911</v>
          </cell>
          <cell r="AO25">
            <v>606949.11605400871</v>
          </cell>
          <cell r="AP25">
            <v>240217.58000000002</v>
          </cell>
          <cell r="AR25">
            <v>240217.58000000002</v>
          </cell>
          <cell r="AS25">
            <v>612957.91230294341</v>
          </cell>
          <cell r="AT25">
            <v>372740</v>
          </cell>
          <cell r="AV25">
            <v>372740</v>
          </cell>
          <cell r="AW25">
            <v>93185</v>
          </cell>
          <cell r="AX25">
            <v>93185</v>
          </cell>
          <cell r="AY25">
            <v>93185</v>
          </cell>
          <cell r="AZ25">
            <v>93185</v>
          </cell>
          <cell r="BA25">
            <v>1915954.72</v>
          </cell>
          <cell r="BC25">
            <v>1915954.72</v>
          </cell>
          <cell r="BD25">
            <v>0.50177896122069754</v>
          </cell>
          <cell r="BE25">
            <v>961385.76914749236</v>
          </cell>
          <cell r="BF25">
            <v>362262.489999999</v>
          </cell>
          <cell r="BH25">
            <v>362262.489999999</v>
          </cell>
          <cell r="BI25">
            <v>970903.48826205253</v>
          </cell>
          <cell r="BJ25">
            <v>608641</v>
          </cell>
          <cell r="BL25">
            <v>608641</v>
          </cell>
          <cell r="BM25">
            <v>152160.25</v>
          </cell>
          <cell r="BN25">
            <v>152160.25</v>
          </cell>
          <cell r="BO25">
            <v>152160.25</v>
          </cell>
          <cell r="BP25">
            <v>152160.25</v>
          </cell>
        </row>
        <row r="26">
          <cell r="A26" t="str">
            <v>100700760A</v>
          </cell>
          <cell r="B26" t="str">
            <v>BEAVER COUNTY MEMORIAL HOSPITAL</v>
          </cell>
          <cell r="C26">
            <v>2</v>
          </cell>
          <cell r="D26">
            <v>12</v>
          </cell>
          <cell r="E26">
            <v>371322</v>
          </cell>
          <cell r="F26">
            <v>43647</v>
          </cell>
          <cell r="G26">
            <v>44012</v>
          </cell>
          <cell r="H26">
            <v>1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W26" t="e">
            <v>#N/A</v>
          </cell>
          <cell r="Y26" t="e">
            <v>#N/A</v>
          </cell>
          <cell r="Z26" t="e">
            <v>#N/A</v>
          </cell>
          <cell r="AB26" t="e">
            <v>#N/A</v>
          </cell>
          <cell r="AC26">
            <v>0</v>
          </cell>
          <cell r="AD26">
            <v>0</v>
          </cell>
          <cell r="AE26" t="e">
            <v>#N/A</v>
          </cell>
          <cell r="AF26" t="e">
            <v>#N/A</v>
          </cell>
          <cell r="AG26" t="e">
            <v>#N/A</v>
          </cell>
          <cell r="AH26">
            <v>0</v>
          </cell>
          <cell r="AJ26">
            <v>0</v>
          </cell>
          <cell r="AK26">
            <v>10950.5</v>
          </cell>
          <cell r="AM26">
            <v>10950.5</v>
          </cell>
          <cell r="AN26">
            <v>0.68913093173668183</v>
          </cell>
          <cell r="AO26">
            <v>7546.3282679825343</v>
          </cell>
          <cell r="AP26">
            <v>3365.5</v>
          </cell>
          <cell r="AR26">
            <v>3365.5</v>
          </cell>
          <cell r="AS26">
            <v>7621.0369178355613</v>
          </cell>
          <cell r="AT26">
            <v>4256</v>
          </cell>
          <cell r="AV26">
            <v>4256</v>
          </cell>
          <cell r="AW26">
            <v>1064</v>
          </cell>
          <cell r="AX26">
            <v>1064</v>
          </cell>
          <cell r="AY26">
            <v>1064</v>
          </cell>
          <cell r="AZ26">
            <v>1064</v>
          </cell>
          <cell r="BA26">
            <v>248024.4</v>
          </cell>
          <cell r="BC26">
            <v>248024.4</v>
          </cell>
          <cell r="BD26">
            <v>0.84841165854658196</v>
          </cell>
          <cell r="BE26">
            <v>210426.79256402087</v>
          </cell>
          <cell r="BF26">
            <v>60426.39</v>
          </cell>
          <cell r="BH26">
            <v>60426.39</v>
          </cell>
          <cell r="BI26">
            <v>212510.01781040468</v>
          </cell>
          <cell r="BJ26">
            <v>152084</v>
          </cell>
          <cell r="BL26">
            <v>152084</v>
          </cell>
          <cell r="BM26">
            <v>38021</v>
          </cell>
          <cell r="BN26">
            <v>38021</v>
          </cell>
          <cell r="BO26">
            <v>38021</v>
          </cell>
          <cell r="BP26">
            <v>38021</v>
          </cell>
        </row>
        <row r="27">
          <cell r="A27" t="str">
            <v>100699690A</v>
          </cell>
          <cell r="B27" t="str">
            <v>CARNEGIE TRI-COUNTY MUNICIPAL HOSPIT</v>
          </cell>
          <cell r="C27">
            <v>2</v>
          </cell>
          <cell r="D27">
            <v>12</v>
          </cell>
          <cell r="E27">
            <v>371334</v>
          </cell>
          <cell r="F27">
            <v>43586</v>
          </cell>
          <cell r="G27">
            <v>43951</v>
          </cell>
          <cell r="H27">
            <v>1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W27" t="e">
            <v>#N/A</v>
          </cell>
          <cell r="Y27" t="e">
            <v>#N/A</v>
          </cell>
          <cell r="Z27" t="e">
            <v>#N/A</v>
          </cell>
          <cell r="AB27" t="e">
            <v>#N/A</v>
          </cell>
          <cell r="AC27">
            <v>0</v>
          </cell>
          <cell r="AD27">
            <v>0</v>
          </cell>
          <cell r="AE27" t="e">
            <v>#N/A</v>
          </cell>
          <cell r="AF27" t="e">
            <v>#N/A</v>
          </cell>
          <cell r="AG27" t="e">
            <v>#N/A</v>
          </cell>
          <cell r="AH27">
            <v>0</v>
          </cell>
          <cell r="AJ27">
            <v>0</v>
          </cell>
          <cell r="AK27">
            <v>544053.04</v>
          </cell>
          <cell r="AM27">
            <v>544053.04</v>
          </cell>
          <cell r="AN27">
            <v>1</v>
          </cell>
          <cell r="AO27">
            <v>544053.04</v>
          </cell>
          <cell r="AP27">
            <v>253893.69</v>
          </cell>
          <cell r="AR27">
            <v>253893.69</v>
          </cell>
          <cell r="AS27">
            <v>549439.16509600007</v>
          </cell>
          <cell r="AT27">
            <v>295545</v>
          </cell>
          <cell r="AV27">
            <v>295545</v>
          </cell>
          <cell r="AW27">
            <v>73886.25</v>
          </cell>
          <cell r="AX27">
            <v>73886.25</v>
          </cell>
          <cell r="AY27">
            <v>73886.25</v>
          </cell>
          <cell r="AZ27">
            <v>73886.25</v>
          </cell>
          <cell r="BA27">
            <v>597007.61000000197</v>
          </cell>
          <cell r="BC27">
            <v>597007.61000000197</v>
          </cell>
          <cell r="BD27">
            <v>0.66900056259644092</v>
          </cell>
          <cell r="BE27">
            <v>399398.4269643579</v>
          </cell>
          <cell r="BF27">
            <v>137850.66107046828</v>
          </cell>
          <cell r="BH27">
            <v>137850.66107046828</v>
          </cell>
          <cell r="BI27">
            <v>403352.47139130504</v>
          </cell>
          <cell r="BJ27">
            <v>265502</v>
          </cell>
          <cell r="BL27">
            <v>265502</v>
          </cell>
          <cell r="BM27">
            <v>66375.5</v>
          </cell>
          <cell r="BN27">
            <v>66375.5</v>
          </cell>
          <cell r="BO27">
            <v>66375.5</v>
          </cell>
          <cell r="BP27">
            <v>66375.5</v>
          </cell>
        </row>
        <row r="28">
          <cell r="A28" t="str">
            <v>100700740A</v>
          </cell>
          <cell r="B28" t="str">
            <v>CIMARRON MEMORIAL HOSPITAL</v>
          </cell>
          <cell r="C28">
            <v>2</v>
          </cell>
          <cell r="D28">
            <v>12</v>
          </cell>
          <cell r="E28">
            <v>371307</v>
          </cell>
          <cell r="F28">
            <v>43831</v>
          </cell>
          <cell r="G28">
            <v>44196</v>
          </cell>
          <cell r="H28">
            <v>1</v>
          </cell>
          <cell r="I28">
            <v>632772</v>
          </cell>
          <cell r="J28">
            <v>1056830</v>
          </cell>
          <cell r="K28">
            <v>0</v>
          </cell>
          <cell r="L28">
            <v>1386469</v>
          </cell>
          <cell r="M28">
            <v>111145</v>
          </cell>
          <cell r="N28">
            <v>3439469</v>
          </cell>
          <cell r="O28">
            <v>3845566</v>
          </cell>
          <cell r="Q28">
            <v>632772</v>
          </cell>
          <cell r="R28">
            <v>1056830</v>
          </cell>
          <cell r="S28">
            <v>0</v>
          </cell>
          <cell r="T28">
            <v>1386469</v>
          </cell>
          <cell r="U28">
            <v>111145</v>
          </cell>
          <cell r="W28">
            <v>3187216</v>
          </cell>
          <cell r="Y28">
            <v>3439469</v>
          </cell>
          <cell r="Z28">
            <v>3845566</v>
          </cell>
          <cell r="AB28">
            <v>3187216</v>
          </cell>
          <cell r="AC28">
            <v>1889092.7654041946</v>
          </cell>
          <cell r="AD28">
            <v>1674436.8039147903</v>
          </cell>
          <cell r="AE28">
            <v>1689602</v>
          </cell>
          <cell r="AF28">
            <v>1497614</v>
          </cell>
          <cell r="AG28">
            <v>0</v>
          </cell>
          <cell r="AH28">
            <v>3563529.5693189851</v>
          </cell>
          <cell r="AJ28">
            <v>0</v>
          </cell>
          <cell r="AK28">
            <v>139624.89000000001</v>
          </cell>
          <cell r="AM28">
            <v>139624.89000000001</v>
          </cell>
          <cell r="AN28">
            <v>1</v>
          </cell>
          <cell r="AO28">
            <v>139624.89000000001</v>
          </cell>
          <cell r="AP28">
            <v>39019.96</v>
          </cell>
          <cell r="AR28">
            <v>39019.96</v>
          </cell>
          <cell r="AS28">
            <v>141007.17641100002</v>
          </cell>
          <cell r="AT28">
            <v>101987</v>
          </cell>
          <cell r="AV28">
            <v>101987</v>
          </cell>
          <cell r="AW28">
            <v>25496.75</v>
          </cell>
          <cell r="AX28">
            <v>25496.75</v>
          </cell>
          <cell r="AY28">
            <v>25496.75</v>
          </cell>
          <cell r="AZ28">
            <v>25496.75</v>
          </cell>
          <cell r="BA28">
            <v>117255.42</v>
          </cell>
          <cell r="BC28">
            <v>117255.42</v>
          </cell>
          <cell r="BD28">
            <v>0.99200689086621074</v>
          </cell>
          <cell r="BE28">
            <v>116318.1846314117</v>
          </cell>
          <cell r="BF28">
            <v>26280.400000000001</v>
          </cell>
          <cell r="BH28">
            <v>26280.400000000001</v>
          </cell>
          <cell r="BI28">
            <v>117469.73465926267</v>
          </cell>
          <cell r="BJ28">
            <v>91189</v>
          </cell>
          <cell r="BL28">
            <v>91189</v>
          </cell>
          <cell r="BM28">
            <v>22797.25</v>
          </cell>
          <cell r="BN28">
            <v>22797.25</v>
          </cell>
          <cell r="BO28">
            <v>22797.25</v>
          </cell>
          <cell r="BP28">
            <v>22797.25</v>
          </cell>
        </row>
        <row r="29">
          <cell r="A29" t="str">
            <v>200234090B</v>
          </cell>
          <cell r="B29" t="str">
            <v>CLEVELAND AREA HOSPITAL</v>
          </cell>
          <cell r="C29">
            <v>2</v>
          </cell>
          <cell r="D29">
            <v>12</v>
          </cell>
          <cell r="E29">
            <v>371320</v>
          </cell>
          <cell r="F29">
            <v>43831</v>
          </cell>
          <cell r="G29">
            <v>44196</v>
          </cell>
          <cell r="H29">
            <v>1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 t="e">
            <v>#N/A</v>
          </cell>
          <cell r="W29" t="e">
            <v>#N/A</v>
          </cell>
          <cell r="Y29" t="e">
            <v>#N/A</v>
          </cell>
          <cell r="Z29" t="e">
            <v>#N/A</v>
          </cell>
          <cell r="AB29" t="e">
            <v>#N/A</v>
          </cell>
          <cell r="AC29">
            <v>0</v>
          </cell>
          <cell r="AD29">
            <v>0</v>
          </cell>
          <cell r="AE29" t="e">
            <v>#N/A</v>
          </cell>
          <cell r="AF29" t="e">
            <v>#N/A</v>
          </cell>
          <cell r="AG29" t="e">
            <v>#N/A</v>
          </cell>
          <cell r="AH29">
            <v>0</v>
          </cell>
          <cell r="AJ29">
            <v>0</v>
          </cell>
          <cell r="AK29">
            <v>26717.919999999998</v>
          </cell>
          <cell r="AM29">
            <v>26717.919999999998</v>
          </cell>
          <cell r="AN29">
            <v>1</v>
          </cell>
          <cell r="AO29">
            <v>26717.919999999998</v>
          </cell>
          <cell r="AP29">
            <v>10919.35</v>
          </cell>
          <cell r="AR29">
            <v>10919.35</v>
          </cell>
          <cell r="AS29">
            <v>26982.427408</v>
          </cell>
          <cell r="AT29">
            <v>16063</v>
          </cell>
          <cell r="AV29">
            <v>16063</v>
          </cell>
          <cell r="AW29">
            <v>4015.75</v>
          </cell>
          <cell r="AX29">
            <v>4015.75</v>
          </cell>
          <cell r="AY29">
            <v>4015.75</v>
          </cell>
          <cell r="AZ29">
            <v>4015.75</v>
          </cell>
          <cell r="BA29">
            <v>5490984.2199999997</v>
          </cell>
          <cell r="BC29">
            <v>5490984.2199999997</v>
          </cell>
          <cell r="BD29">
            <v>0.50800503039348721</v>
          </cell>
          <cell r="BE29">
            <v>2789447.6055712583</v>
          </cell>
          <cell r="BF29">
            <v>974313.31663374382</v>
          </cell>
          <cell r="BH29">
            <v>974313.31663374382</v>
          </cell>
          <cell r="BI29">
            <v>2817063.136866414</v>
          </cell>
          <cell r="BJ29">
            <v>1842750</v>
          </cell>
          <cell r="BL29">
            <v>1842750</v>
          </cell>
          <cell r="BM29">
            <v>460687.5</v>
          </cell>
          <cell r="BN29">
            <v>460687.5</v>
          </cell>
          <cell r="BO29">
            <v>460687.5</v>
          </cell>
          <cell r="BP29">
            <v>460687.5</v>
          </cell>
        </row>
        <row r="30">
          <cell r="A30" t="str">
            <v>100819200B</v>
          </cell>
          <cell r="B30" t="str">
            <v>CORDELL MEMORIAL HOSPITAL</v>
          </cell>
          <cell r="C30">
            <v>2</v>
          </cell>
          <cell r="D30">
            <v>12</v>
          </cell>
          <cell r="E30">
            <v>371325</v>
          </cell>
          <cell r="F30">
            <v>43647</v>
          </cell>
          <cell r="G30">
            <v>44012</v>
          </cell>
          <cell r="H30">
            <v>1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W30" t="e">
            <v>#N/A</v>
          </cell>
          <cell r="Y30" t="e">
            <v>#N/A</v>
          </cell>
          <cell r="Z30" t="e">
            <v>#N/A</v>
          </cell>
          <cell r="AB30" t="e">
            <v>#N/A</v>
          </cell>
          <cell r="AC30">
            <v>0</v>
          </cell>
          <cell r="AD30">
            <v>0</v>
          </cell>
          <cell r="AE30" t="e">
            <v>#N/A</v>
          </cell>
          <cell r="AF30" t="e">
            <v>#N/A</v>
          </cell>
          <cell r="AG30" t="e">
            <v>#N/A</v>
          </cell>
          <cell r="AH30">
            <v>0</v>
          </cell>
          <cell r="AJ30">
            <v>0</v>
          </cell>
          <cell r="AK30">
            <v>330649.90000000002</v>
          </cell>
          <cell r="AM30">
            <v>330649.90000000002</v>
          </cell>
          <cell r="AN30">
            <v>1</v>
          </cell>
          <cell r="AO30">
            <v>330649.90000000002</v>
          </cell>
          <cell r="AP30">
            <v>129182.17000000001</v>
          </cell>
          <cell r="AR30">
            <v>129182.17000000001</v>
          </cell>
          <cell r="AS30">
            <v>333923.33401000005</v>
          </cell>
          <cell r="AT30">
            <v>204741</v>
          </cell>
          <cell r="AV30">
            <v>204741</v>
          </cell>
          <cell r="AW30">
            <v>51185.25</v>
          </cell>
          <cell r="AX30">
            <v>51185.25</v>
          </cell>
          <cell r="AY30">
            <v>51185.25</v>
          </cell>
          <cell r="AZ30">
            <v>51185.25</v>
          </cell>
          <cell r="BA30">
            <v>1406619.2000000011</v>
          </cell>
          <cell r="BC30">
            <v>1406619.2000000011</v>
          </cell>
          <cell r="BD30">
            <v>0.6405869641213906</v>
          </cell>
          <cell r="BE30">
            <v>901061.92300285981</v>
          </cell>
          <cell r="BF30">
            <v>255330.12</v>
          </cell>
          <cell r="BH30">
            <v>255330.12</v>
          </cell>
          <cell r="BI30">
            <v>909982.43604058819</v>
          </cell>
          <cell r="BJ30">
            <v>654652</v>
          </cell>
          <cell r="BL30">
            <v>654652</v>
          </cell>
          <cell r="BM30">
            <v>163663</v>
          </cell>
          <cell r="BN30">
            <v>163663</v>
          </cell>
          <cell r="BO30">
            <v>163663</v>
          </cell>
          <cell r="BP30">
            <v>163663</v>
          </cell>
        </row>
        <row r="31">
          <cell r="A31" t="str">
            <v>200910710B</v>
          </cell>
          <cell r="B31" t="str">
            <v>DRUMRIGHT REGIONAL HOSPITAL (CAH ACQUISITION CO #4 LLC)</v>
          </cell>
          <cell r="C31">
            <v>2</v>
          </cell>
          <cell r="D31">
            <v>12</v>
          </cell>
          <cell r="E31">
            <v>371331</v>
          </cell>
          <cell r="F31">
            <v>43831</v>
          </cell>
          <cell r="G31">
            <v>44196</v>
          </cell>
          <cell r="H31">
            <v>1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W31" t="e">
            <v>#N/A</v>
          </cell>
          <cell r="Y31" t="e">
            <v>#N/A</v>
          </cell>
          <cell r="Z31" t="e">
            <v>#N/A</v>
          </cell>
          <cell r="AB31" t="e">
            <v>#N/A</v>
          </cell>
          <cell r="AC31">
            <v>0</v>
          </cell>
          <cell r="AD31">
            <v>0</v>
          </cell>
          <cell r="AE31" t="e">
            <v>#N/A</v>
          </cell>
          <cell r="AF31" t="e">
            <v>#N/A</v>
          </cell>
          <cell r="AG31" t="e">
            <v>#N/A</v>
          </cell>
          <cell r="AH31">
            <v>0</v>
          </cell>
          <cell r="AJ31">
            <v>0</v>
          </cell>
          <cell r="AK31">
            <v>949509.24</v>
          </cell>
          <cell r="AM31">
            <v>949509.24</v>
          </cell>
          <cell r="AN31">
            <v>0.597819478097949</v>
          </cell>
          <cell r="AO31">
            <v>567635.11830598023</v>
          </cell>
          <cell r="AP31">
            <v>261598.34</v>
          </cell>
          <cell r="AR31">
            <v>261598.34</v>
          </cell>
          <cell r="AS31">
            <v>573254.70597720949</v>
          </cell>
          <cell r="AT31">
            <v>311656</v>
          </cell>
          <cell r="AV31">
            <v>311656</v>
          </cell>
          <cell r="AW31">
            <v>77914</v>
          </cell>
          <cell r="AX31">
            <v>77914</v>
          </cell>
          <cell r="AY31">
            <v>77914</v>
          </cell>
          <cell r="AZ31">
            <v>77914</v>
          </cell>
          <cell r="BA31">
            <v>2558127.5699999998</v>
          </cell>
          <cell r="BC31">
            <v>2558127.5699999998</v>
          </cell>
          <cell r="BD31">
            <v>0.65695125635898266</v>
          </cell>
          <cell r="BE31">
            <v>1680565.1210380513</v>
          </cell>
          <cell r="BF31">
            <v>394573.65354535723</v>
          </cell>
          <cell r="BH31">
            <v>394573.65354535723</v>
          </cell>
          <cell r="BI31">
            <v>1697202.7157363282</v>
          </cell>
          <cell r="BJ31">
            <v>1302629</v>
          </cell>
          <cell r="BL31">
            <v>1302629</v>
          </cell>
          <cell r="BM31">
            <v>325657.25</v>
          </cell>
          <cell r="BN31">
            <v>325657.25</v>
          </cell>
          <cell r="BO31">
            <v>325657.25</v>
          </cell>
          <cell r="BP31">
            <v>325657.25</v>
          </cell>
        </row>
        <row r="32">
          <cell r="A32" t="str">
            <v>100700730A</v>
          </cell>
          <cell r="B32" t="str">
            <v>EASTERN OKLAHOMA MEDICAL CENTER</v>
          </cell>
          <cell r="C32">
            <v>2</v>
          </cell>
          <cell r="D32">
            <v>12</v>
          </cell>
          <cell r="E32">
            <v>371337</v>
          </cell>
          <cell r="F32">
            <v>43647</v>
          </cell>
          <cell r="G32">
            <v>44012</v>
          </cell>
          <cell r="H32">
            <v>1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W32" t="e">
            <v>#N/A</v>
          </cell>
          <cell r="Y32" t="e">
            <v>#N/A</v>
          </cell>
          <cell r="Z32" t="e">
            <v>#N/A</v>
          </cell>
          <cell r="AB32" t="e">
            <v>#N/A</v>
          </cell>
          <cell r="AC32">
            <v>0</v>
          </cell>
          <cell r="AD32">
            <v>0</v>
          </cell>
          <cell r="AE32" t="e">
            <v>#N/A</v>
          </cell>
          <cell r="AF32" t="e">
            <v>#N/A</v>
          </cell>
          <cell r="AG32" t="e">
            <v>#N/A</v>
          </cell>
          <cell r="AH32">
            <v>0</v>
          </cell>
          <cell r="AJ32">
            <v>0</v>
          </cell>
          <cell r="AK32">
            <v>840890.47</v>
          </cell>
          <cell r="AM32">
            <v>840890.47</v>
          </cell>
          <cell r="AN32">
            <v>0.97878197218169094</v>
          </cell>
          <cell r="AO32">
            <v>823048.432615389</v>
          </cell>
          <cell r="AP32">
            <v>443351.73000000004</v>
          </cell>
          <cell r="AR32">
            <v>443351.73000000004</v>
          </cell>
          <cell r="AS32">
            <v>831196.61209828139</v>
          </cell>
          <cell r="AT32">
            <v>387845</v>
          </cell>
          <cell r="AV32">
            <v>387845</v>
          </cell>
          <cell r="AW32">
            <v>96961.25</v>
          </cell>
          <cell r="AX32">
            <v>96961.25</v>
          </cell>
          <cell r="AY32">
            <v>96961.25</v>
          </cell>
          <cell r="AZ32">
            <v>96961.25</v>
          </cell>
          <cell r="BA32">
            <v>6285544.3699999927</v>
          </cell>
          <cell r="BC32">
            <v>6285544.3699999927</v>
          </cell>
          <cell r="BD32">
            <v>0.39285387864373505</v>
          </cell>
          <cell r="BE32">
            <v>2469300.4851417891</v>
          </cell>
          <cell r="BF32">
            <v>1690869.7478267979</v>
          </cell>
          <cell r="BH32">
            <v>1690869.7478267979</v>
          </cell>
          <cell r="BI32">
            <v>2493746.559944693</v>
          </cell>
          <cell r="BJ32">
            <v>802877</v>
          </cell>
          <cell r="BL32">
            <v>802877</v>
          </cell>
          <cell r="BM32">
            <v>200719.25</v>
          </cell>
          <cell r="BN32">
            <v>200719.25</v>
          </cell>
          <cell r="BO32">
            <v>200719.25</v>
          </cell>
          <cell r="BP32">
            <v>200719.25</v>
          </cell>
        </row>
        <row r="33">
          <cell r="A33" t="str">
            <v>100700800A</v>
          </cell>
          <cell r="B33" t="str">
            <v>FAIRVIEW HOSPITAL</v>
          </cell>
          <cell r="C33">
            <v>2</v>
          </cell>
          <cell r="D33">
            <v>12</v>
          </cell>
          <cell r="E33">
            <v>371329</v>
          </cell>
          <cell r="F33">
            <v>43647</v>
          </cell>
          <cell r="G33">
            <v>44012</v>
          </cell>
          <cell r="H33">
            <v>1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N33" t="e">
            <v>#N/A</v>
          </cell>
          <cell r="O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W33" t="e">
            <v>#N/A</v>
          </cell>
          <cell r="Y33" t="e">
            <v>#N/A</v>
          </cell>
          <cell r="Z33" t="e">
            <v>#N/A</v>
          </cell>
          <cell r="AB33" t="e">
            <v>#N/A</v>
          </cell>
          <cell r="AC33">
            <v>0</v>
          </cell>
          <cell r="AD33">
            <v>0</v>
          </cell>
          <cell r="AE33" t="e">
            <v>#N/A</v>
          </cell>
          <cell r="AF33" t="e">
            <v>#N/A</v>
          </cell>
          <cell r="AG33" t="e">
            <v>#N/A</v>
          </cell>
          <cell r="AH33">
            <v>0</v>
          </cell>
          <cell r="AJ33">
            <v>0</v>
          </cell>
          <cell r="AK33">
            <v>139866.88</v>
          </cell>
          <cell r="AM33">
            <v>139866.88</v>
          </cell>
          <cell r="AN33">
            <v>1</v>
          </cell>
          <cell r="AO33">
            <v>139866.88</v>
          </cell>
          <cell r="AP33">
            <v>48562.15</v>
          </cell>
          <cell r="AR33">
            <v>48562.15</v>
          </cell>
          <cell r="AS33">
            <v>141251.56211200001</v>
          </cell>
          <cell r="AT33">
            <v>92689</v>
          </cell>
          <cell r="AV33">
            <v>92689</v>
          </cell>
          <cell r="AW33">
            <v>23172.25</v>
          </cell>
          <cell r="AX33">
            <v>23172.25</v>
          </cell>
          <cell r="AY33">
            <v>23172.25</v>
          </cell>
          <cell r="AZ33">
            <v>23172.25</v>
          </cell>
          <cell r="BA33">
            <v>880922.41999999993</v>
          </cell>
          <cell r="BC33">
            <v>880922.41999999993</v>
          </cell>
          <cell r="BD33">
            <v>0.56299498893745104</v>
          </cell>
          <cell r="BE33">
            <v>495954.90810265252</v>
          </cell>
          <cell r="BF33">
            <v>171078.37</v>
          </cell>
          <cell r="BH33">
            <v>171078.37</v>
          </cell>
          <cell r="BI33">
            <v>500864.86169286881</v>
          </cell>
          <cell r="BJ33">
            <v>329786</v>
          </cell>
          <cell r="BL33">
            <v>329786</v>
          </cell>
          <cell r="BM33">
            <v>82446.5</v>
          </cell>
          <cell r="BN33">
            <v>82446.5</v>
          </cell>
          <cell r="BO33">
            <v>82446.5</v>
          </cell>
          <cell r="BP33">
            <v>82446.5</v>
          </cell>
        </row>
        <row r="34">
          <cell r="A34" t="str">
            <v>100700780B</v>
          </cell>
          <cell r="B34" t="str">
            <v>HARMON MEMORIAL HOSPITAL</v>
          </cell>
          <cell r="C34">
            <v>2</v>
          </cell>
          <cell r="D34">
            <v>12</v>
          </cell>
          <cell r="E34">
            <v>371338</v>
          </cell>
          <cell r="F34">
            <v>43647</v>
          </cell>
          <cell r="G34">
            <v>44012</v>
          </cell>
          <cell r="H34">
            <v>1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W34" t="e">
            <v>#N/A</v>
          </cell>
          <cell r="Y34" t="e">
            <v>#N/A</v>
          </cell>
          <cell r="Z34" t="e">
            <v>#N/A</v>
          </cell>
          <cell r="AB34" t="e">
            <v>#N/A</v>
          </cell>
          <cell r="AC34">
            <v>0</v>
          </cell>
          <cell r="AD34">
            <v>0</v>
          </cell>
          <cell r="AE34" t="e">
            <v>#N/A</v>
          </cell>
          <cell r="AF34" t="e">
            <v>#N/A</v>
          </cell>
          <cell r="AG34" t="e">
            <v>#N/A</v>
          </cell>
          <cell r="AH34">
            <v>0</v>
          </cell>
          <cell r="AJ34">
            <v>0</v>
          </cell>
          <cell r="AK34">
            <v>363555.47</v>
          </cell>
          <cell r="AM34">
            <v>363555.47</v>
          </cell>
          <cell r="AN34">
            <v>0.62970426857796336</v>
          </cell>
          <cell r="AO34">
            <v>228932.43132386767</v>
          </cell>
          <cell r="AP34">
            <v>132225.69</v>
          </cell>
          <cell r="AR34">
            <v>132225.69</v>
          </cell>
          <cell r="AS34">
            <v>231198.86239397398</v>
          </cell>
          <cell r="AT34">
            <v>98973</v>
          </cell>
          <cell r="AV34">
            <v>98973</v>
          </cell>
          <cell r="AW34">
            <v>24743.25</v>
          </cell>
          <cell r="AX34">
            <v>24743.25</v>
          </cell>
          <cell r="AY34">
            <v>24743.25</v>
          </cell>
          <cell r="AZ34">
            <v>24743.25</v>
          </cell>
          <cell r="BA34">
            <v>1257934.2</v>
          </cell>
          <cell r="BC34">
            <v>1257934.2</v>
          </cell>
          <cell r="BD34">
            <v>0.42660911974889199</v>
          </cell>
          <cell r="BE34">
            <v>536646.20176402666</v>
          </cell>
          <cell r="BF34">
            <v>202391.46462302949</v>
          </cell>
          <cell r="BH34">
            <v>202391.46462302949</v>
          </cell>
          <cell r="BI34">
            <v>541958.99916149059</v>
          </cell>
          <cell r="BJ34">
            <v>339568</v>
          </cell>
          <cell r="BL34">
            <v>339568</v>
          </cell>
          <cell r="BM34">
            <v>84892</v>
          </cell>
          <cell r="BN34">
            <v>84892</v>
          </cell>
          <cell r="BO34">
            <v>84892</v>
          </cell>
          <cell r="BP34">
            <v>84892</v>
          </cell>
        </row>
        <row r="35">
          <cell r="A35" t="str">
            <v>100699660A</v>
          </cell>
          <cell r="B35" t="str">
            <v>HARPER COUNTY COMMUNITY HOSPITAL</v>
          </cell>
          <cell r="C35">
            <v>2</v>
          </cell>
          <cell r="D35">
            <v>12</v>
          </cell>
          <cell r="E35">
            <v>371324</v>
          </cell>
          <cell r="F35">
            <v>43739</v>
          </cell>
          <cell r="G35">
            <v>44104</v>
          </cell>
          <cell r="H35">
            <v>1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W35" t="e">
            <v>#N/A</v>
          </cell>
          <cell r="Y35" t="e">
            <v>#N/A</v>
          </cell>
          <cell r="Z35" t="e">
            <v>#N/A</v>
          </cell>
          <cell r="AB35" t="e">
            <v>#N/A</v>
          </cell>
          <cell r="AC35">
            <v>0</v>
          </cell>
          <cell r="AD35">
            <v>0</v>
          </cell>
          <cell r="AE35" t="e">
            <v>#N/A</v>
          </cell>
          <cell r="AF35" t="e">
            <v>#N/A</v>
          </cell>
          <cell r="AG35" t="e">
            <v>#N/A</v>
          </cell>
          <cell r="AH35">
            <v>0</v>
          </cell>
          <cell r="AJ35">
            <v>0</v>
          </cell>
          <cell r="AK35">
            <v>43513.42</v>
          </cell>
          <cell r="AM35">
            <v>43513.42</v>
          </cell>
          <cell r="AN35">
            <v>0.79872220941938454</v>
          </cell>
          <cell r="AO35">
            <v>34755.134961793636</v>
          </cell>
          <cell r="AP35">
            <v>22270.97</v>
          </cell>
          <cell r="AR35">
            <v>22270.97</v>
          </cell>
          <cell r="AS35">
            <v>35099.210797915395</v>
          </cell>
          <cell r="AT35">
            <v>12828</v>
          </cell>
          <cell r="AV35">
            <v>12828</v>
          </cell>
          <cell r="AW35">
            <v>3207</v>
          </cell>
          <cell r="AX35">
            <v>3207</v>
          </cell>
          <cell r="AY35">
            <v>3207</v>
          </cell>
          <cell r="AZ35">
            <v>3207</v>
          </cell>
          <cell r="BA35">
            <v>283112.42</v>
          </cell>
          <cell r="BC35">
            <v>283112.42</v>
          </cell>
          <cell r="BD35">
            <v>0.42333227796964495</v>
          </cell>
          <cell r="BE35">
            <v>119850.62568009886</v>
          </cell>
          <cell r="BF35">
            <v>59859.56</v>
          </cell>
          <cell r="BH35">
            <v>59859.56</v>
          </cell>
          <cell r="BI35">
            <v>121037.14687433184</v>
          </cell>
          <cell r="BJ35">
            <v>61178</v>
          </cell>
          <cell r="BL35">
            <v>61178</v>
          </cell>
          <cell r="BM35">
            <v>15294.5</v>
          </cell>
          <cell r="BN35">
            <v>15294.5</v>
          </cell>
          <cell r="BO35">
            <v>15294.5</v>
          </cell>
          <cell r="BP35">
            <v>15294.5</v>
          </cell>
        </row>
        <row r="36">
          <cell r="A36" t="str">
            <v>200539880B</v>
          </cell>
          <cell r="B36" t="str">
            <v>HOLDENVILLE GENERAL HOSPITAL</v>
          </cell>
          <cell r="C36">
            <v>2</v>
          </cell>
          <cell r="D36">
            <v>12</v>
          </cell>
          <cell r="E36">
            <v>371321</v>
          </cell>
          <cell r="F36">
            <v>43647</v>
          </cell>
          <cell r="G36">
            <v>44012</v>
          </cell>
          <cell r="H36">
            <v>1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W36" t="e">
            <v>#N/A</v>
          </cell>
          <cell r="Y36" t="e">
            <v>#N/A</v>
          </cell>
          <cell r="Z36" t="e">
            <v>#N/A</v>
          </cell>
          <cell r="AB36" t="e">
            <v>#N/A</v>
          </cell>
          <cell r="AC36">
            <v>0</v>
          </cell>
          <cell r="AD36">
            <v>0</v>
          </cell>
          <cell r="AE36" t="e">
            <v>#N/A</v>
          </cell>
          <cell r="AF36" t="e">
            <v>#N/A</v>
          </cell>
          <cell r="AG36" t="e">
            <v>#N/A</v>
          </cell>
          <cell r="AH36">
            <v>0</v>
          </cell>
          <cell r="AJ36">
            <v>0</v>
          </cell>
          <cell r="AK36">
            <v>803218.23</v>
          </cell>
          <cell r="AM36">
            <v>803218.23</v>
          </cell>
          <cell r="AN36">
            <v>0.33311264193215739</v>
          </cell>
          <cell r="AO36">
            <v>267562.14664337126</v>
          </cell>
          <cell r="AP36">
            <v>236899.17</v>
          </cell>
          <cell r="AR36">
            <v>236899.17</v>
          </cell>
          <cell r="AS36">
            <v>270211.01189514063</v>
          </cell>
          <cell r="AT36">
            <v>33312</v>
          </cell>
          <cell r="AV36">
            <v>33312</v>
          </cell>
          <cell r="AW36">
            <v>8328</v>
          </cell>
          <cell r="AX36">
            <v>8328</v>
          </cell>
          <cell r="AY36">
            <v>8328</v>
          </cell>
          <cell r="AZ36">
            <v>8328</v>
          </cell>
          <cell r="BA36">
            <v>2440159.34</v>
          </cell>
          <cell r="BC36">
            <v>2440159.34</v>
          </cell>
          <cell r="BD36">
            <v>0.66586974955625911</v>
          </cell>
          <cell r="BE36">
            <v>1624828.2886031664</v>
          </cell>
          <cell r="BF36">
            <v>646327.94089499279</v>
          </cell>
          <cell r="BH36">
            <v>646327.94089499279</v>
          </cell>
          <cell r="BI36">
            <v>1640914.0886603377</v>
          </cell>
          <cell r="BJ36">
            <v>994586</v>
          </cell>
          <cell r="BL36">
            <v>994586</v>
          </cell>
          <cell r="BM36">
            <v>248646.5</v>
          </cell>
          <cell r="BN36">
            <v>248646.5</v>
          </cell>
          <cell r="BO36">
            <v>248646.5</v>
          </cell>
          <cell r="BP36">
            <v>248646.5</v>
          </cell>
        </row>
        <row r="37">
          <cell r="A37" t="str">
            <v>100699630A</v>
          </cell>
          <cell r="B37" t="str">
            <v>MEMORIAL HOSPITAL OF TEXAS COUNTY</v>
          </cell>
          <cell r="C37">
            <v>2</v>
          </cell>
          <cell r="D37">
            <v>12</v>
          </cell>
          <cell r="E37">
            <v>371340</v>
          </cell>
          <cell r="F37">
            <v>43647</v>
          </cell>
          <cell r="G37">
            <v>44012</v>
          </cell>
          <cell r="H37">
            <v>1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 t="e">
            <v>#N/A</v>
          </cell>
          <cell r="O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W37" t="e">
            <v>#N/A</v>
          </cell>
          <cell r="Y37" t="e">
            <v>#N/A</v>
          </cell>
          <cell r="Z37" t="e">
            <v>#N/A</v>
          </cell>
          <cell r="AB37" t="e">
            <v>#N/A</v>
          </cell>
          <cell r="AC37">
            <v>0</v>
          </cell>
          <cell r="AD37">
            <v>0</v>
          </cell>
          <cell r="AE37" t="e">
            <v>#N/A</v>
          </cell>
          <cell r="AF37" t="e">
            <v>#N/A</v>
          </cell>
          <cell r="AG37" t="e">
            <v>#N/A</v>
          </cell>
          <cell r="AH37">
            <v>0</v>
          </cell>
          <cell r="AJ37">
            <v>0</v>
          </cell>
          <cell r="AK37">
            <v>912479.34</v>
          </cell>
          <cell r="AM37">
            <v>912479.34</v>
          </cell>
          <cell r="AN37">
            <v>0.53546232782538938</v>
          </cell>
          <cell r="AO37">
            <v>488598.3114889749</v>
          </cell>
          <cell r="AP37">
            <v>152572.31</v>
          </cell>
          <cell r="AR37">
            <v>152572.31</v>
          </cell>
          <cell r="AS37">
            <v>493435.43477271579</v>
          </cell>
          <cell r="AT37">
            <v>340863</v>
          </cell>
          <cell r="AV37">
            <v>340863</v>
          </cell>
          <cell r="AW37">
            <v>85215.75</v>
          </cell>
          <cell r="AX37">
            <v>85215.75</v>
          </cell>
          <cell r="AY37">
            <v>85215.75</v>
          </cell>
          <cell r="AZ37">
            <v>85215.75</v>
          </cell>
          <cell r="BA37">
            <v>2471456.67</v>
          </cell>
          <cell r="BC37">
            <v>2471456.67</v>
          </cell>
          <cell r="BD37">
            <v>0.32528285458163575</v>
          </cell>
          <cell r="BE37">
            <v>803922.4805924237</v>
          </cell>
          <cell r="BF37">
            <v>403191.77054074279</v>
          </cell>
          <cell r="BH37">
            <v>403191.77054074279</v>
          </cell>
          <cell r="BI37">
            <v>811881.31315028865</v>
          </cell>
          <cell r="BJ37">
            <v>408690</v>
          </cell>
          <cell r="BL37">
            <v>408690</v>
          </cell>
          <cell r="BM37">
            <v>102172.5</v>
          </cell>
          <cell r="BN37">
            <v>102172.5</v>
          </cell>
          <cell r="BO37">
            <v>102172.5</v>
          </cell>
          <cell r="BP37">
            <v>102172.5</v>
          </cell>
        </row>
        <row r="38">
          <cell r="A38" t="str">
            <v>100699960A</v>
          </cell>
          <cell r="B38" t="str">
            <v>MERCY HEALTH LOVE COUNTY</v>
          </cell>
          <cell r="C38">
            <v>2</v>
          </cell>
          <cell r="D38">
            <v>12</v>
          </cell>
          <cell r="E38">
            <v>371306</v>
          </cell>
          <cell r="F38">
            <v>43647</v>
          </cell>
          <cell r="G38">
            <v>44012</v>
          </cell>
          <cell r="H38">
            <v>1</v>
          </cell>
          <cell r="I38">
            <v>2611257</v>
          </cell>
          <cell r="J38">
            <v>4079919</v>
          </cell>
          <cell r="K38">
            <v>144552</v>
          </cell>
          <cell r="L38">
            <v>6743072</v>
          </cell>
          <cell r="M38">
            <v>3983988</v>
          </cell>
          <cell r="N38">
            <v>25077286</v>
          </cell>
          <cell r="O38">
            <v>17493848</v>
          </cell>
          <cell r="Q38">
            <v>2611257</v>
          </cell>
          <cell r="R38">
            <v>4079919</v>
          </cell>
          <cell r="S38">
            <v>144552</v>
          </cell>
          <cell r="T38">
            <v>6743072</v>
          </cell>
          <cell r="U38">
            <v>3983988</v>
          </cell>
          <cell r="W38">
            <v>17562788</v>
          </cell>
          <cell r="Y38">
            <v>25077286</v>
          </cell>
          <cell r="Z38">
            <v>17493848</v>
          </cell>
          <cell r="AB38">
            <v>17562788</v>
          </cell>
          <cell r="AC38">
            <v>4768585.6675775843</v>
          </cell>
          <cell r="AD38">
            <v>7483168.5185900899</v>
          </cell>
          <cell r="AE38">
            <v>6835728</v>
          </cell>
          <cell r="AF38">
            <v>10727060</v>
          </cell>
          <cell r="AG38">
            <v>0</v>
          </cell>
          <cell r="AH38">
            <v>12251754.186167674</v>
          </cell>
          <cell r="AJ38">
            <v>0</v>
          </cell>
          <cell r="AK38">
            <v>184254.3</v>
          </cell>
          <cell r="AM38">
            <v>184254.3</v>
          </cell>
          <cell r="AN38">
            <v>0.76387411190087573</v>
          </cell>
          <cell r="AO38">
            <v>140747.08977641753</v>
          </cell>
          <cell r="AP38">
            <v>75636.459999999992</v>
          </cell>
          <cell r="AR38">
            <v>75636.459999999992</v>
          </cell>
          <cell r="AS38">
            <v>142140.48596520408</v>
          </cell>
          <cell r="AT38">
            <v>66504</v>
          </cell>
          <cell r="AV38">
            <v>66504</v>
          </cell>
          <cell r="AW38">
            <v>16626</v>
          </cell>
          <cell r="AX38">
            <v>16626</v>
          </cell>
          <cell r="AY38">
            <v>16626</v>
          </cell>
          <cell r="AZ38">
            <v>16626</v>
          </cell>
          <cell r="BA38">
            <v>1908292.48</v>
          </cell>
          <cell r="BC38">
            <v>1908292.48</v>
          </cell>
          <cell r="BD38">
            <v>0.7523194149264244</v>
          </cell>
          <cell r="BE38">
            <v>1435645.4820620953</v>
          </cell>
          <cell r="BF38">
            <v>355883.52999999997</v>
          </cell>
          <cell r="BH38">
            <v>355883.52999999997</v>
          </cell>
          <cell r="BI38">
            <v>1449858.3723345101</v>
          </cell>
          <cell r="BJ38">
            <v>1093975</v>
          </cell>
          <cell r="BL38">
            <v>1093975</v>
          </cell>
          <cell r="BM38">
            <v>273493.75</v>
          </cell>
          <cell r="BN38">
            <v>273493.75</v>
          </cell>
          <cell r="BO38">
            <v>273493.75</v>
          </cell>
          <cell r="BP38">
            <v>273493.75</v>
          </cell>
        </row>
        <row r="39">
          <cell r="A39" t="str">
            <v>100700250A</v>
          </cell>
          <cell r="B39" t="str">
            <v>OKEENE MUNICIPAL HOSPITAL</v>
          </cell>
          <cell r="C39">
            <v>2</v>
          </cell>
          <cell r="D39">
            <v>12</v>
          </cell>
          <cell r="E39">
            <v>371327</v>
          </cell>
          <cell r="F39">
            <v>43647</v>
          </cell>
          <cell r="G39">
            <v>44012</v>
          </cell>
          <cell r="H39">
            <v>1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 t="e">
            <v>#N/A</v>
          </cell>
          <cell r="W39" t="e">
            <v>#N/A</v>
          </cell>
          <cell r="Y39" t="e">
            <v>#N/A</v>
          </cell>
          <cell r="Z39" t="e">
            <v>#N/A</v>
          </cell>
          <cell r="AB39" t="e">
            <v>#N/A</v>
          </cell>
          <cell r="AC39">
            <v>0</v>
          </cell>
          <cell r="AD39">
            <v>0</v>
          </cell>
          <cell r="AE39" t="e">
            <v>#N/A</v>
          </cell>
          <cell r="AF39" t="e">
            <v>#N/A</v>
          </cell>
          <cell r="AG39" t="e">
            <v>#N/A</v>
          </cell>
          <cell r="AH39">
            <v>0</v>
          </cell>
          <cell r="AJ39">
            <v>0</v>
          </cell>
          <cell r="AK39">
            <v>17876.2</v>
          </cell>
          <cell r="AM39">
            <v>17876.2</v>
          </cell>
          <cell r="AN39">
            <v>1</v>
          </cell>
          <cell r="AO39">
            <v>17876.2</v>
          </cell>
          <cell r="AP39">
            <v>17078.650000000001</v>
          </cell>
          <cell r="AR39">
            <v>17078.650000000001</v>
          </cell>
          <cell r="AS39">
            <v>18053.17438</v>
          </cell>
          <cell r="AT39">
            <v>975</v>
          </cell>
          <cell r="AV39">
            <v>975</v>
          </cell>
          <cell r="AW39">
            <v>243.75</v>
          </cell>
          <cell r="AX39">
            <v>243.75</v>
          </cell>
          <cell r="AY39">
            <v>243.75</v>
          </cell>
          <cell r="AZ39">
            <v>243.75</v>
          </cell>
          <cell r="BA39">
            <v>547437.69999999995</v>
          </cell>
          <cell r="BC39">
            <v>547437.69999999995</v>
          </cell>
          <cell r="BD39">
            <v>0.76450762317019172</v>
          </cell>
          <cell r="BE39">
            <v>418520.29486075643</v>
          </cell>
          <cell r="BF39">
            <v>137057.38</v>
          </cell>
          <cell r="BH39">
            <v>137057.38</v>
          </cell>
          <cell r="BI39">
            <v>422663.6457798779</v>
          </cell>
          <cell r="BJ39">
            <v>285606</v>
          </cell>
          <cell r="BL39">
            <v>285606</v>
          </cell>
          <cell r="BM39">
            <v>71401.5</v>
          </cell>
          <cell r="BN39">
            <v>71401.5</v>
          </cell>
          <cell r="BO39">
            <v>71401.5</v>
          </cell>
          <cell r="BP39">
            <v>71401.5</v>
          </cell>
        </row>
        <row r="40">
          <cell r="A40" t="str">
            <v>100690120A</v>
          </cell>
          <cell r="B40" t="str">
            <v>PAWHUSKA HOSPITAL  INC.</v>
          </cell>
          <cell r="C40">
            <v>2</v>
          </cell>
          <cell r="D40">
            <v>12</v>
          </cell>
          <cell r="E40">
            <v>371309</v>
          </cell>
          <cell r="F40">
            <v>43739</v>
          </cell>
          <cell r="G40">
            <v>44104</v>
          </cell>
          <cell r="H40">
            <v>1</v>
          </cell>
          <cell r="I40">
            <v>3240304</v>
          </cell>
          <cell r="J40">
            <v>12362547</v>
          </cell>
          <cell r="K40">
            <v>741263</v>
          </cell>
          <cell r="L40">
            <v>4052421</v>
          </cell>
          <cell r="M40">
            <v>2840533</v>
          </cell>
          <cell r="N40">
            <v>24010307</v>
          </cell>
          <cell r="O40">
            <v>14282511</v>
          </cell>
          <cell r="Q40">
            <v>3240304</v>
          </cell>
          <cell r="R40">
            <v>12362547</v>
          </cell>
          <cell r="S40">
            <v>741263</v>
          </cell>
          <cell r="T40">
            <v>4052421</v>
          </cell>
          <cell r="U40">
            <v>2840533</v>
          </cell>
          <cell r="W40">
            <v>23237068</v>
          </cell>
          <cell r="Y40">
            <v>24010307</v>
          </cell>
          <cell r="Z40">
            <v>14282511</v>
          </cell>
          <cell r="AB40">
            <v>23237068</v>
          </cell>
          <cell r="AC40">
            <v>9722282.5176810119</v>
          </cell>
          <cell r="AD40">
            <v>4100267.9110889342</v>
          </cell>
          <cell r="AE40">
            <v>16344114</v>
          </cell>
          <cell r="AF40">
            <v>6892954</v>
          </cell>
          <cell r="AG40">
            <v>0</v>
          </cell>
          <cell r="AH40">
            <v>13822550.428769946</v>
          </cell>
          <cell r="AJ40">
            <v>0</v>
          </cell>
          <cell r="AK40">
            <v>661725.29</v>
          </cell>
          <cell r="AM40">
            <v>661725.29</v>
          </cell>
          <cell r="AN40">
            <v>0.61216215755235426</v>
          </cell>
          <cell r="AO40">
            <v>405083.18123335735</v>
          </cell>
          <cell r="AP40">
            <v>117193.08</v>
          </cell>
          <cell r="AR40">
            <v>117193.08</v>
          </cell>
          <cell r="AS40">
            <v>409093.5047275676</v>
          </cell>
          <cell r="AT40">
            <v>291900</v>
          </cell>
          <cell r="AV40">
            <v>291900</v>
          </cell>
          <cell r="AW40">
            <v>72975</v>
          </cell>
          <cell r="AX40">
            <v>72975</v>
          </cell>
          <cell r="AY40">
            <v>72975</v>
          </cell>
          <cell r="AZ40">
            <v>72975</v>
          </cell>
          <cell r="BA40">
            <v>978631.61000000103</v>
          </cell>
          <cell r="BC40">
            <v>978631.61000000103</v>
          </cell>
          <cell r="BD40">
            <v>0.38701168359599214</v>
          </cell>
          <cell r="BE40">
            <v>378741.86700635677</v>
          </cell>
          <cell r="BF40">
            <v>153207.19909329564</v>
          </cell>
          <cell r="BH40">
            <v>153207.19909329564</v>
          </cell>
          <cell r="BI40">
            <v>382491.4114897197</v>
          </cell>
          <cell r="BJ40">
            <v>229284</v>
          </cell>
          <cell r="BL40">
            <v>229284</v>
          </cell>
          <cell r="BM40">
            <v>57321</v>
          </cell>
          <cell r="BN40">
            <v>57321</v>
          </cell>
          <cell r="BO40">
            <v>57321</v>
          </cell>
          <cell r="BP40">
            <v>57321</v>
          </cell>
        </row>
        <row r="41">
          <cell r="A41" t="str">
            <v>100699820A</v>
          </cell>
          <cell r="B41" t="str">
            <v>ROGER MILLS MEMORIAL HOSPITAL</v>
          </cell>
          <cell r="C41">
            <v>2</v>
          </cell>
          <cell r="D41">
            <v>12</v>
          </cell>
          <cell r="E41">
            <v>371303</v>
          </cell>
          <cell r="F41">
            <v>43952</v>
          </cell>
          <cell r="G41">
            <v>44316</v>
          </cell>
          <cell r="H41">
            <v>1</v>
          </cell>
          <cell r="I41">
            <v>638807</v>
          </cell>
          <cell r="J41">
            <v>3854811</v>
          </cell>
          <cell r="K41">
            <v>86615</v>
          </cell>
          <cell r="L41">
            <v>4044107</v>
          </cell>
          <cell r="M41">
            <v>1731379</v>
          </cell>
          <cell r="N41">
            <v>11337604</v>
          </cell>
          <cell r="O41">
            <v>6082767</v>
          </cell>
          <cell r="Q41">
            <v>638807</v>
          </cell>
          <cell r="R41">
            <v>3854811</v>
          </cell>
          <cell r="S41">
            <v>86615</v>
          </cell>
          <cell r="T41">
            <v>4044107</v>
          </cell>
          <cell r="U41">
            <v>1731379</v>
          </cell>
          <cell r="W41">
            <v>10355719</v>
          </cell>
          <cell r="Y41">
            <v>11337604</v>
          </cell>
          <cell r="Z41">
            <v>6082767</v>
          </cell>
          <cell r="AB41">
            <v>10355719</v>
          </cell>
          <cell r="AC41">
            <v>2457352.5539180059</v>
          </cell>
          <cell r="AD41">
            <v>3098620.8064562846</v>
          </cell>
          <cell r="AE41">
            <v>4580233</v>
          </cell>
          <cell r="AF41">
            <v>5775486</v>
          </cell>
          <cell r="AG41">
            <v>0</v>
          </cell>
          <cell r="AH41">
            <v>5555973.3603742914</v>
          </cell>
          <cell r="AJ41">
            <v>0</v>
          </cell>
          <cell r="AK41">
            <v>430943</v>
          </cell>
          <cell r="AM41">
            <v>430943</v>
          </cell>
          <cell r="AN41">
            <v>0.67328835406133902</v>
          </cell>
          <cell r="AO41">
            <v>290148.90316425561</v>
          </cell>
          <cell r="AP41">
            <v>147220.59999999998</v>
          </cell>
          <cell r="AR41">
            <v>147220.59999999998</v>
          </cell>
          <cell r="AS41">
            <v>293021.37730558176</v>
          </cell>
          <cell r="AT41">
            <v>145801</v>
          </cell>
          <cell r="AV41">
            <v>145801</v>
          </cell>
          <cell r="AW41">
            <v>36450.25</v>
          </cell>
          <cell r="AX41">
            <v>36450.25</v>
          </cell>
          <cell r="AY41">
            <v>36450.25</v>
          </cell>
          <cell r="AZ41">
            <v>36450.25</v>
          </cell>
          <cell r="BA41">
            <v>819340.23</v>
          </cell>
          <cell r="BC41">
            <v>819340.23</v>
          </cell>
          <cell r="BD41">
            <v>0.57121630269410706</v>
          </cell>
          <cell r="BE41">
            <v>468020.4968291393</v>
          </cell>
          <cell r="BF41">
            <v>133690.4079627161</v>
          </cell>
          <cell r="BH41">
            <v>133690.4079627161</v>
          </cell>
          <cell r="BI41">
            <v>472653.89974774781</v>
          </cell>
          <cell r="BJ41">
            <v>338963</v>
          </cell>
          <cell r="BL41">
            <v>338963</v>
          </cell>
          <cell r="BM41">
            <v>84740.75</v>
          </cell>
          <cell r="BN41">
            <v>84740.75</v>
          </cell>
          <cell r="BO41">
            <v>84740.75</v>
          </cell>
          <cell r="BP41">
            <v>84740.75</v>
          </cell>
        </row>
        <row r="42">
          <cell r="A42" t="str">
            <v>100700450A</v>
          </cell>
          <cell r="B42" t="str">
            <v>SEILING MUNICIPAL HOSPITAL (CAH Acquisition CO #9 LLC)</v>
          </cell>
          <cell r="C42">
            <v>2</v>
          </cell>
          <cell r="D42">
            <v>12</v>
          </cell>
          <cell r="E42">
            <v>371332</v>
          </cell>
          <cell r="F42">
            <v>43647</v>
          </cell>
          <cell r="G42">
            <v>44012</v>
          </cell>
          <cell r="H42">
            <v>1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W42" t="e">
            <v>#N/A</v>
          </cell>
          <cell r="Y42" t="e">
            <v>#N/A</v>
          </cell>
          <cell r="Z42" t="e">
            <v>#N/A</v>
          </cell>
          <cell r="AB42" t="e">
            <v>#N/A</v>
          </cell>
          <cell r="AC42">
            <v>0</v>
          </cell>
          <cell r="AD42">
            <v>0</v>
          </cell>
          <cell r="AE42" t="e">
            <v>#N/A</v>
          </cell>
          <cell r="AF42" t="e">
            <v>#N/A</v>
          </cell>
          <cell r="AG42" t="e">
            <v>#N/A</v>
          </cell>
          <cell r="AH42">
            <v>0</v>
          </cell>
          <cell r="AJ42">
            <v>0</v>
          </cell>
          <cell r="AK42">
            <v>80006</v>
          </cell>
          <cell r="AM42">
            <v>80006</v>
          </cell>
          <cell r="AN42">
            <v>1</v>
          </cell>
          <cell r="AO42">
            <v>80006</v>
          </cell>
          <cell r="AP42">
            <v>42988.39</v>
          </cell>
          <cell r="AR42">
            <v>42988.39</v>
          </cell>
          <cell r="AS42">
            <v>80798.059399999998</v>
          </cell>
          <cell r="AT42">
            <v>37810</v>
          </cell>
          <cell r="AV42">
            <v>37810</v>
          </cell>
          <cell r="AW42">
            <v>9452.5</v>
          </cell>
          <cell r="AX42">
            <v>9452.5</v>
          </cell>
          <cell r="AY42">
            <v>9452.5</v>
          </cell>
          <cell r="AZ42">
            <v>9452.5</v>
          </cell>
          <cell r="BA42">
            <v>382480.68</v>
          </cell>
          <cell r="BC42">
            <v>382480.68</v>
          </cell>
          <cell r="BD42">
            <v>0.51449431492805286</v>
          </cell>
          <cell r="BE42">
            <v>196784.1354298158</v>
          </cell>
          <cell r="BF42">
            <v>58102.252727406849</v>
          </cell>
          <cell r="BH42">
            <v>58102.252727406849</v>
          </cell>
          <cell r="BI42">
            <v>198732.29837057096</v>
          </cell>
          <cell r="BJ42">
            <v>140630</v>
          </cell>
          <cell r="BL42">
            <v>140630</v>
          </cell>
          <cell r="BM42">
            <v>35157.5</v>
          </cell>
          <cell r="BN42">
            <v>35157.5</v>
          </cell>
          <cell r="BO42">
            <v>35157.5</v>
          </cell>
          <cell r="BP42">
            <v>35157.5</v>
          </cell>
        </row>
        <row r="43">
          <cell r="A43" t="str">
            <v>100699830A</v>
          </cell>
          <cell r="B43" t="str">
            <v>SHARE MEMORIAL HOSPITAL</v>
          </cell>
          <cell r="C43">
            <v>2</v>
          </cell>
          <cell r="D43">
            <v>12.387096774193548</v>
          </cell>
          <cell r="E43">
            <v>371341</v>
          </cell>
          <cell r="F43">
            <v>43647</v>
          </cell>
          <cell r="G43">
            <v>44012</v>
          </cell>
          <cell r="H43">
            <v>1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W43" t="e">
            <v>#N/A</v>
          </cell>
          <cell r="Y43" t="e">
            <v>#N/A</v>
          </cell>
          <cell r="Z43" t="e">
            <v>#N/A</v>
          </cell>
          <cell r="AB43" t="e">
            <v>#N/A</v>
          </cell>
          <cell r="AC43">
            <v>0</v>
          </cell>
          <cell r="AD43">
            <v>0</v>
          </cell>
          <cell r="AE43" t="e">
            <v>#N/A</v>
          </cell>
          <cell r="AF43" t="e">
            <v>#N/A</v>
          </cell>
          <cell r="AG43" t="e">
            <v>#N/A</v>
          </cell>
          <cell r="AH43">
            <v>0</v>
          </cell>
          <cell r="AJ43">
            <v>0</v>
          </cell>
          <cell r="AK43">
            <v>206817.82</v>
          </cell>
          <cell r="AM43">
            <v>206817.82</v>
          </cell>
          <cell r="AN43">
            <v>0.79806975995465612</v>
          </cell>
          <cell r="AO43">
            <v>165055.04796174529</v>
          </cell>
          <cell r="AP43">
            <v>84725.040000000008</v>
          </cell>
          <cell r="AR43">
            <v>84725.040000000008</v>
          </cell>
          <cell r="AS43">
            <v>166689.09293656657</v>
          </cell>
          <cell r="AT43">
            <v>81964</v>
          </cell>
          <cell r="AV43">
            <v>81964</v>
          </cell>
          <cell r="AW43">
            <v>20491</v>
          </cell>
          <cell r="AX43">
            <v>20491</v>
          </cell>
          <cell r="AY43">
            <v>20491</v>
          </cell>
          <cell r="AZ43">
            <v>20491</v>
          </cell>
          <cell r="BA43">
            <v>977845.8899999999</v>
          </cell>
          <cell r="BC43">
            <v>977845.8899999999</v>
          </cell>
          <cell r="BD43">
            <v>0.37244232013641659</v>
          </cell>
          <cell r="BE43">
            <v>364191.19200745918</v>
          </cell>
          <cell r="BF43">
            <v>211934.41389351015</v>
          </cell>
          <cell r="BH43">
            <v>211934.41389351015</v>
          </cell>
          <cell r="BI43">
            <v>367796.68480833306</v>
          </cell>
          <cell r="BJ43">
            <v>155862</v>
          </cell>
          <cell r="BL43">
            <v>155862</v>
          </cell>
          <cell r="BM43">
            <v>38965.5</v>
          </cell>
          <cell r="BN43">
            <v>38965.5</v>
          </cell>
          <cell r="BO43">
            <v>38965.5</v>
          </cell>
          <cell r="BP43">
            <v>38965.5</v>
          </cell>
        </row>
        <row r="44">
          <cell r="A44" t="str">
            <v>100699870E</v>
          </cell>
          <cell r="B44" t="str">
            <v>WEATHERFORD HOSPITAL AUTHORITY</v>
          </cell>
          <cell r="C44">
            <v>2</v>
          </cell>
          <cell r="D44">
            <v>12</v>
          </cell>
          <cell r="E44">
            <v>371323</v>
          </cell>
          <cell r="F44">
            <v>43739</v>
          </cell>
          <cell r="G44">
            <v>44104</v>
          </cell>
          <cell r="H44">
            <v>1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 t="e">
            <v>#N/A</v>
          </cell>
          <cell r="N44" t="e">
            <v>#N/A</v>
          </cell>
          <cell r="O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W44" t="e">
            <v>#N/A</v>
          </cell>
          <cell r="Y44" t="e">
            <v>#N/A</v>
          </cell>
          <cell r="Z44" t="e">
            <v>#N/A</v>
          </cell>
          <cell r="AB44" t="e">
            <v>#N/A</v>
          </cell>
          <cell r="AC44">
            <v>0</v>
          </cell>
          <cell r="AD44">
            <v>0</v>
          </cell>
          <cell r="AE44" t="e">
            <v>#N/A</v>
          </cell>
          <cell r="AF44" t="e">
            <v>#N/A</v>
          </cell>
          <cell r="AG44" t="e">
            <v>#N/A</v>
          </cell>
          <cell r="AH44">
            <v>0</v>
          </cell>
          <cell r="AJ44">
            <v>0</v>
          </cell>
          <cell r="AK44">
            <v>1659876.15</v>
          </cell>
          <cell r="AM44">
            <v>1659876.15</v>
          </cell>
          <cell r="AN44">
            <v>0.64200690926665116</v>
          </cell>
          <cell r="AO44">
            <v>1065651.9568269283</v>
          </cell>
          <cell r="AP44">
            <v>553026.99</v>
          </cell>
          <cell r="AR44">
            <v>553026.99</v>
          </cell>
          <cell r="AS44">
            <v>1076201.911199515</v>
          </cell>
          <cell r="AT44">
            <v>523175</v>
          </cell>
          <cell r="AV44">
            <v>523175</v>
          </cell>
          <cell r="AW44">
            <v>130793.75</v>
          </cell>
          <cell r="AX44">
            <v>130793.75</v>
          </cell>
          <cell r="AY44">
            <v>130793.75</v>
          </cell>
          <cell r="AZ44">
            <v>130793.75</v>
          </cell>
          <cell r="BA44">
            <v>5135621.21</v>
          </cell>
          <cell r="BC44">
            <v>5135621.21</v>
          </cell>
          <cell r="BD44">
            <v>0.38421611817444773</v>
          </cell>
          <cell r="BE44">
            <v>1973188.4457205602</v>
          </cell>
          <cell r="BF44">
            <v>1268258.9261976047</v>
          </cell>
          <cell r="BH44">
            <v>1268258.9261976047</v>
          </cell>
          <cell r="BI44">
            <v>1992723.0113331936</v>
          </cell>
          <cell r="BJ44">
            <v>724464</v>
          </cell>
          <cell r="BL44">
            <v>724464</v>
          </cell>
          <cell r="BM44">
            <v>181116</v>
          </cell>
          <cell r="BN44">
            <v>181116</v>
          </cell>
          <cell r="BO44">
            <v>181116</v>
          </cell>
          <cell r="BP44">
            <v>181116</v>
          </cell>
        </row>
        <row r="48">
          <cell r="AV48">
            <v>6836250</v>
          </cell>
          <cell r="BL48">
            <v>27859542</v>
          </cell>
        </row>
      </sheetData>
      <sheetData sheetId="3">
        <row r="5">
          <cell r="A5" t="str">
            <v>200439230A</v>
          </cell>
        </row>
      </sheetData>
      <sheetData sheetId="4">
        <row r="19">
          <cell r="E19">
            <v>0.14234254757019582</v>
          </cell>
          <cell r="G19">
            <v>0.20952455465285771</v>
          </cell>
        </row>
        <row r="20">
          <cell r="E20">
            <v>0.85765745242980418</v>
          </cell>
          <cell r="G20">
            <v>0.79047544534714231</v>
          </cell>
        </row>
      </sheetData>
      <sheetData sheetId="5"/>
      <sheetData sheetId="6">
        <row r="1">
          <cell r="A1" t="str">
            <v>Billing ID &amp; Service Location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  <cell r="K1" t="str">
            <v>T18 Number</v>
          </cell>
          <cell r="L1" t="str">
            <v>Cost Report End</v>
          </cell>
          <cell r="M1" t="str">
            <v>Wage Index</v>
          </cell>
          <cell r="N1" t="str">
            <v>Wage Index by Zip 1st 4</v>
          </cell>
          <cell r="O1" t="str">
            <v>Wage Index 1st 3 dig Zip</v>
          </cell>
          <cell r="P1" t="str">
            <v xml:space="preserve"> Inpt Days</v>
          </cell>
          <cell r="Q1" t="str">
            <v>Billed Amount</v>
          </cell>
          <cell r="R1" t="str">
            <v>Medicaid FFS Payments (Inflated)</v>
          </cell>
          <cell r="S1" t="str">
            <v>TPL  Amount</v>
          </cell>
          <cell r="T1" t="str">
            <v>Medicaid GME Payments</v>
          </cell>
          <cell r="U1" t="str">
            <v>IME</v>
          </cell>
          <cell r="V1" t="str">
            <v xml:space="preserve">Expenditures  </v>
          </cell>
          <cell r="X1" t="str">
            <v>Outlier</v>
          </cell>
          <cell r="Y1" t="str">
            <v>IME</v>
          </cell>
          <cell r="Z1" t="str">
            <v>DSH</v>
          </cell>
          <cell r="AA1" t="str">
            <v>UCC DSH</v>
          </cell>
          <cell r="AB1" t="str">
            <v>ESRD Disch</v>
          </cell>
          <cell r="AC1" t="str">
            <v>SCH and MDH</v>
          </cell>
          <cell r="AD1" t="str">
            <v>Cap Adj</v>
          </cell>
          <cell r="AE1" t="str">
            <v>DGME</v>
          </cell>
          <cell r="AF1" t="str">
            <v>Organ Acq</v>
          </cell>
          <cell r="AG1" t="str">
            <v>Routine Srvcs Pass Through</v>
          </cell>
          <cell r="AH1" t="str">
            <v>Ancillary Other Pass Through</v>
          </cell>
          <cell r="AI1" t="str">
            <v>Bad Debt</v>
          </cell>
          <cell r="AJ1" t="str">
            <v>Prospective Payments</v>
          </cell>
          <cell r="AK1" t="str">
            <v>Sum of Medicare Pass-Through Payments (Inflated)</v>
          </cell>
          <cell r="AL1" t="str">
            <v>Medicare DRG Base Rate (Inflated)</v>
          </cell>
          <cell r="AM1" t="str">
            <v>Total Medicare DRG Weight Sum</v>
          </cell>
          <cell r="AN1" t="str">
            <v>Case Mix Index</v>
          </cell>
          <cell r="AO1" t="str">
            <v>Medicare Pass-Through Pymts/Discharges</v>
          </cell>
          <cell r="AP1" t="str">
            <v>Medicare Equivalent Reimb Amount</v>
          </cell>
          <cell r="AQ1" t="str">
            <v>T18 Disch</v>
          </cell>
          <cell r="AR1" t="str">
            <v>Medicaid Discharges</v>
          </cell>
          <cell r="AS1" t="str">
            <v>Medicaid UPL</v>
          </cell>
          <cell r="AT1" t="str">
            <v>Total Medicaid Payments</v>
          </cell>
          <cell r="AV1" t="str">
            <v>UPL Gap (Over)/Under WITHOUT SHOPP</v>
          </cell>
          <cell r="AW1" t="str">
            <v xml:space="preserve">UPL Gap (Over)/Under INCLUDING SHOPP &amp; Cost Settlement </v>
          </cell>
          <cell r="AX1" t="str">
            <v>SHOPP</v>
          </cell>
          <cell r="AY1" t="str">
            <v>Cost Settlements</v>
          </cell>
        </row>
        <row r="2">
          <cell r="A2" t="str">
            <v>200668710A</v>
          </cell>
          <cell r="E2" t="str">
            <v>010</v>
          </cell>
          <cell r="F2" t="str">
            <v>BLACKWELL REGIONAL HOSPITAL</v>
          </cell>
          <cell r="G2" t="str">
            <v>BLACKWELL,OK 74631-0000</v>
          </cell>
          <cell r="H2" t="str">
            <v>74631</v>
          </cell>
          <cell r="I2" t="str">
            <v>Private</v>
          </cell>
          <cell r="J2" t="str">
            <v>Yes</v>
          </cell>
          <cell r="K2">
            <v>370030</v>
          </cell>
          <cell r="L2">
            <v>44196</v>
          </cell>
          <cell r="M2">
            <v>0.80940000000000001</v>
          </cell>
          <cell r="N2">
            <v>0.80940000000000001</v>
          </cell>
          <cell r="O2">
            <v>0.80940000000000001</v>
          </cell>
          <cell r="P2">
            <v>89</v>
          </cell>
          <cell r="Q2">
            <v>585921.94999999995</v>
          </cell>
          <cell r="R2">
            <v>96050.959999999992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1402178</v>
          </cell>
          <cell r="AD2">
            <v>106715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51951</v>
          </cell>
          <cell r="AJ2">
            <v>1418380</v>
          </cell>
          <cell r="AK2">
            <v>168162.16009999998</v>
          </cell>
          <cell r="AL2">
            <v>5435.5834107960009</v>
          </cell>
          <cell r="AM2">
            <v>23.289300000000001</v>
          </cell>
          <cell r="AN2">
            <v>1.1090142857142857</v>
          </cell>
          <cell r="AO2">
            <v>718.64170982905978</v>
          </cell>
          <cell r="AP2">
            <v>6746.7813635934071</v>
          </cell>
          <cell r="AQ2">
            <v>234</v>
          </cell>
          <cell r="AR2">
            <v>21</v>
          </cell>
          <cell r="AS2">
            <v>141682.40863546156</v>
          </cell>
          <cell r="AT2">
            <v>96050.959999999992</v>
          </cell>
          <cell r="AV2">
            <v>45631.448635461566</v>
          </cell>
          <cell r="AW2">
            <v>45631.448635461566</v>
          </cell>
          <cell r="AY2">
            <v>0</v>
          </cell>
        </row>
        <row r="3">
          <cell r="A3" t="str">
            <v>100700720A</v>
          </cell>
          <cell r="E3" t="str">
            <v>010</v>
          </cell>
          <cell r="F3" t="str">
            <v>CHOCTAW MEMORIAL HOSPITAL</v>
          </cell>
          <cell r="G3" t="str">
            <v>HUGO,OK 74743-0000</v>
          </cell>
          <cell r="H3" t="str">
            <v>74743</v>
          </cell>
          <cell r="I3" t="str">
            <v>NSGO</v>
          </cell>
          <cell r="J3" t="str">
            <v>Yes</v>
          </cell>
          <cell r="K3">
            <v>370100</v>
          </cell>
          <cell r="L3">
            <v>44012</v>
          </cell>
          <cell r="M3">
            <v>0.80940000000000001</v>
          </cell>
          <cell r="N3">
            <v>0.80940000000000001</v>
          </cell>
          <cell r="O3">
            <v>0.80940000000000001</v>
          </cell>
          <cell r="P3">
            <v>463</v>
          </cell>
          <cell r="Q3">
            <v>1597847</v>
          </cell>
          <cell r="R3">
            <v>366293.66000000003</v>
          </cell>
          <cell r="S3">
            <v>30371.32</v>
          </cell>
          <cell r="T3">
            <v>0</v>
          </cell>
          <cell r="U3">
            <v>0</v>
          </cell>
          <cell r="V3">
            <v>0</v>
          </cell>
          <cell r="X3">
            <v>0</v>
          </cell>
          <cell r="Y3">
            <v>0</v>
          </cell>
          <cell r="Z3">
            <v>89876</v>
          </cell>
          <cell r="AA3">
            <v>392203</v>
          </cell>
          <cell r="AB3">
            <v>0</v>
          </cell>
          <cell r="AC3">
            <v>1300374</v>
          </cell>
          <cell r="AD3">
            <v>163391</v>
          </cell>
          <cell r="AE3">
            <v>0</v>
          </cell>
          <cell r="AF3">
            <v>0</v>
          </cell>
          <cell r="AG3">
            <v>0</v>
          </cell>
          <cell r="AH3">
            <v>7062</v>
          </cell>
          <cell r="AI3">
            <v>33703</v>
          </cell>
          <cell r="AJ3">
            <v>2552934</v>
          </cell>
          <cell r="AK3">
            <v>734942.87947987486</v>
          </cell>
          <cell r="AL3">
            <v>5435.5834107960009</v>
          </cell>
          <cell r="AM3">
            <v>110.33589999999998</v>
          </cell>
          <cell r="AN3">
            <v>1.0311766355140186</v>
          </cell>
          <cell r="AO3">
            <v>1651.5570325390447</v>
          </cell>
          <cell r="AP3">
            <v>7256.6036461394788</v>
          </cell>
          <cell r="AQ3">
            <v>445</v>
          </cell>
          <cell r="AR3">
            <v>107</v>
          </cell>
          <cell r="AS3">
            <v>776456.59013692418</v>
          </cell>
          <cell r="AT3">
            <v>396664.98000000004</v>
          </cell>
          <cell r="AV3">
            <v>379791.61013692414</v>
          </cell>
          <cell r="AW3">
            <v>379791.61013692414</v>
          </cell>
          <cell r="AY3">
            <v>0</v>
          </cell>
        </row>
        <row r="4">
          <cell r="A4" t="str">
            <v>100749570S</v>
          </cell>
          <cell r="B4" t="str">
            <v>100749570Y</v>
          </cell>
          <cell r="C4" t="str">
            <v>100749570Z</v>
          </cell>
          <cell r="E4" t="str">
            <v>010</v>
          </cell>
          <cell r="F4" t="str">
            <v>COMANCHE CO MEM HSP</v>
          </cell>
          <cell r="G4" t="str">
            <v>LAWTON,OK 73505-6332</v>
          </cell>
          <cell r="H4" t="str">
            <v>73505</v>
          </cell>
          <cell r="I4" t="str">
            <v>NSGO</v>
          </cell>
          <cell r="J4" t="str">
            <v>Yes</v>
          </cell>
          <cell r="K4">
            <v>370056</v>
          </cell>
          <cell r="L4">
            <v>44012</v>
          </cell>
          <cell r="M4">
            <v>0.80940000000000001</v>
          </cell>
          <cell r="N4">
            <v>0.80940000000000001</v>
          </cell>
          <cell r="O4">
            <v>0.80940000000000001</v>
          </cell>
          <cell r="P4">
            <v>13617</v>
          </cell>
          <cell r="Q4">
            <v>90370810.890000015</v>
          </cell>
          <cell r="R4">
            <v>14863912.18</v>
          </cell>
          <cell r="S4">
            <v>656030.12000000023</v>
          </cell>
          <cell r="T4">
            <v>54096</v>
          </cell>
          <cell r="U4">
            <v>0</v>
          </cell>
          <cell r="V4">
            <v>0</v>
          </cell>
          <cell r="X4">
            <v>0</v>
          </cell>
          <cell r="Y4">
            <v>806419</v>
          </cell>
          <cell r="Z4">
            <v>1133123</v>
          </cell>
          <cell r="AA4">
            <v>4022047</v>
          </cell>
          <cell r="AB4">
            <v>0</v>
          </cell>
          <cell r="AC4">
            <v>0</v>
          </cell>
          <cell r="AD4">
            <v>3051256</v>
          </cell>
          <cell r="AE4">
            <v>832200</v>
          </cell>
          <cell r="AF4">
            <v>0</v>
          </cell>
          <cell r="AG4">
            <v>0</v>
          </cell>
          <cell r="AH4">
            <v>131689</v>
          </cell>
          <cell r="AI4">
            <v>330325</v>
          </cell>
          <cell r="AJ4">
            <v>41696776</v>
          </cell>
          <cell r="AK4">
            <v>11038637.814202074</v>
          </cell>
          <cell r="AL4">
            <v>5435.5834107960009</v>
          </cell>
          <cell r="AM4">
            <v>3970.4073000000053</v>
          </cell>
          <cell r="AN4">
            <v>1.2175428702851903</v>
          </cell>
          <cell r="AO4">
            <v>2615.7909512327187</v>
          </cell>
          <cell r="AP4">
            <v>9233.8467788878461</v>
          </cell>
          <cell r="AQ4">
            <v>4220</v>
          </cell>
          <cell r="AR4">
            <v>3261</v>
          </cell>
          <cell r="AS4">
            <v>30111574.345953267</v>
          </cell>
          <cell r="AT4">
            <v>15574038.300000001</v>
          </cell>
          <cell r="AV4">
            <v>14537536.045953266</v>
          </cell>
          <cell r="AW4">
            <v>14537536.045953266</v>
          </cell>
          <cell r="AY4">
            <v>0</v>
          </cell>
        </row>
        <row r="5">
          <cell r="A5" t="str">
            <v>100700880A</v>
          </cell>
          <cell r="E5" t="str">
            <v>010</v>
          </cell>
          <cell r="F5" t="str">
            <v>ELKVIEW GEN HSP</v>
          </cell>
          <cell r="G5" t="str">
            <v>HOBART,OK 73651-</v>
          </cell>
          <cell r="H5" t="str">
            <v>73651</v>
          </cell>
          <cell r="I5" t="str">
            <v>NSGO</v>
          </cell>
          <cell r="J5" t="str">
            <v>Yes</v>
          </cell>
          <cell r="K5">
            <v>370153</v>
          </cell>
          <cell r="L5">
            <v>44012</v>
          </cell>
          <cell r="M5">
            <v>0.80940000000000001</v>
          </cell>
          <cell r="N5">
            <v>0.80940000000000001</v>
          </cell>
          <cell r="O5">
            <v>0.80940000000000001</v>
          </cell>
          <cell r="P5">
            <v>362</v>
          </cell>
          <cell r="Q5">
            <v>1423276.83</v>
          </cell>
          <cell r="R5">
            <v>456278.64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Z5">
            <v>36737</v>
          </cell>
          <cell r="AA5">
            <v>280276</v>
          </cell>
          <cell r="AB5">
            <v>0</v>
          </cell>
          <cell r="AC5">
            <v>1638804</v>
          </cell>
          <cell r="AD5">
            <v>139494</v>
          </cell>
          <cell r="AE5">
            <v>0</v>
          </cell>
          <cell r="AF5">
            <v>0</v>
          </cell>
          <cell r="AG5">
            <v>0</v>
          </cell>
          <cell r="AH5">
            <v>130524</v>
          </cell>
          <cell r="AI5">
            <v>26839</v>
          </cell>
          <cell r="AJ5">
            <v>2110339</v>
          </cell>
          <cell r="AK5">
            <v>657441.52575474989</v>
          </cell>
          <cell r="AL5">
            <v>5435.5834107960009</v>
          </cell>
          <cell r="AM5">
            <v>119.6681</v>
          </cell>
          <cell r="AN5">
            <v>1.1732166666666666</v>
          </cell>
          <cell r="AO5">
            <v>2417.0644329218744</v>
          </cell>
          <cell r="AP5">
            <v>8794.1814835245896</v>
          </cell>
          <cell r="AQ5">
            <v>272</v>
          </cell>
          <cell r="AR5">
            <v>102</v>
          </cell>
          <cell r="AS5">
            <v>897006.51131950808</v>
          </cell>
          <cell r="AT5">
            <v>456278.64</v>
          </cell>
          <cell r="AV5">
            <v>440727.87131950806</v>
          </cell>
          <cell r="AW5">
            <v>440727.87131950806</v>
          </cell>
          <cell r="AY5">
            <v>0</v>
          </cell>
        </row>
        <row r="6">
          <cell r="A6" t="str">
            <v>100700820A</v>
          </cell>
          <cell r="E6" t="str">
            <v>010</v>
          </cell>
          <cell r="F6" t="str">
            <v>GRADY MEMORIAL HOSPITAL</v>
          </cell>
          <cell r="G6" t="str">
            <v>CHICKASHA,OK 73018-2738</v>
          </cell>
          <cell r="H6" t="str">
            <v>73018</v>
          </cell>
          <cell r="I6" t="str">
            <v>NSGO</v>
          </cell>
          <cell r="J6" t="str">
            <v>Yes</v>
          </cell>
          <cell r="K6">
            <v>370054</v>
          </cell>
          <cell r="L6">
            <v>44196</v>
          </cell>
          <cell r="M6">
            <v>0.80940000000000001</v>
          </cell>
          <cell r="N6">
            <v>0.80940000000000001</v>
          </cell>
          <cell r="O6">
            <v>0.80940000000000001</v>
          </cell>
          <cell r="P6">
            <v>500</v>
          </cell>
          <cell r="Q6">
            <v>3037030.0599999996</v>
          </cell>
          <cell r="R6">
            <v>585159.63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Z6">
            <v>33177</v>
          </cell>
          <cell r="AA6">
            <v>685639</v>
          </cell>
          <cell r="AB6">
            <v>0</v>
          </cell>
          <cell r="AC6">
            <v>4108785</v>
          </cell>
          <cell r="AD6">
            <v>249888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57695</v>
          </cell>
          <cell r="AJ6">
            <v>4041538</v>
          </cell>
          <cell r="AK6">
            <v>1159100.7131000001</v>
          </cell>
          <cell r="AL6">
            <v>5435.5834107960009</v>
          </cell>
          <cell r="AM6">
            <v>130.38399999999999</v>
          </cell>
          <cell r="AN6">
            <v>1.4327912087912087</v>
          </cell>
          <cell r="AO6">
            <v>2927.0220027777777</v>
          </cell>
          <cell r="AP6">
            <v>10715.078128417621</v>
          </cell>
          <cell r="AQ6">
            <v>396</v>
          </cell>
          <cell r="AR6">
            <v>91</v>
          </cell>
          <cell r="AS6">
            <v>975072.10968600353</v>
          </cell>
          <cell r="AT6">
            <v>585159.63</v>
          </cell>
          <cell r="AV6">
            <v>389912.47968600353</v>
          </cell>
          <cell r="AW6">
            <v>389912.47968600353</v>
          </cell>
          <cell r="AY6">
            <v>0</v>
          </cell>
        </row>
        <row r="7">
          <cell r="A7" t="str">
            <v>100699350A</v>
          </cell>
          <cell r="E7" t="str">
            <v>010</v>
          </cell>
          <cell r="F7" t="str">
            <v>JACKSON CO MEM HSP</v>
          </cell>
          <cell r="G7" t="str">
            <v>ALTUS,OK 73521-</v>
          </cell>
          <cell r="H7" t="str">
            <v>73521</v>
          </cell>
          <cell r="I7" t="str">
            <v>NSGO</v>
          </cell>
          <cell r="J7" t="str">
            <v>Yes</v>
          </cell>
          <cell r="K7">
            <v>370022</v>
          </cell>
          <cell r="L7">
            <v>44012</v>
          </cell>
          <cell r="M7">
            <v>0.83020000000000005</v>
          </cell>
          <cell r="N7">
            <v>0.83020000000000005</v>
          </cell>
          <cell r="O7">
            <v>0.83020000000000005</v>
          </cell>
          <cell r="P7">
            <v>1984</v>
          </cell>
          <cell r="Q7">
            <v>11103778.99</v>
          </cell>
          <cell r="R7">
            <v>1819258.85</v>
          </cell>
          <cell r="S7">
            <v>89255.31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254438</v>
          </cell>
          <cell r="AA7">
            <v>1355026</v>
          </cell>
          <cell r="AB7">
            <v>0</v>
          </cell>
          <cell r="AC7">
            <v>9534979</v>
          </cell>
          <cell r="AD7">
            <v>613117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102206</v>
          </cell>
          <cell r="AJ7">
            <v>9474019</v>
          </cell>
          <cell r="AK7">
            <v>2555083.5645084744</v>
          </cell>
          <cell r="AL7">
            <v>5515.0742370680009</v>
          </cell>
          <cell r="AM7">
            <v>613.36569999999961</v>
          </cell>
          <cell r="AN7">
            <v>1.1275104779411758</v>
          </cell>
          <cell r="AO7">
            <v>2658.7758215488807</v>
          </cell>
          <cell r="AP7">
            <v>8877.0798104664882</v>
          </cell>
          <cell r="AQ7">
            <v>961</v>
          </cell>
          <cell r="AR7">
            <v>544</v>
          </cell>
          <cell r="AS7">
            <v>4829131.41689377</v>
          </cell>
          <cell r="AT7">
            <v>1908514.1600000001</v>
          </cell>
          <cell r="AV7">
            <v>2920617.2568937698</v>
          </cell>
          <cell r="AW7">
            <v>2920617.2568937698</v>
          </cell>
          <cell r="AY7">
            <v>0</v>
          </cell>
        </row>
        <row r="8">
          <cell r="A8" t="str">
            <v>100818200B</v>
          </cell>
          <cell r="E8" t="str">
            <v>010</v>
          </cell>
          <cell r="F8" t="str">
            <v>LINDSAY MUNICIPAL HOSPITAL</v>
          </cell>
          <cell r="G8" t="str">
            <v>LINDSAY,OK 73052-0888</v>
          </cell>
          <cell r="H8" t="str">
            <v>73052</v>
          </cell>
          <cell r="I8" t="str">
            <v>NSGO</v>
          </cell>
          <cell r="J8" t="str">
            <v>Yes</v>
          </cell>
          <cell r="K8">
            <v>370214</v>
          </cell>
          <cell r="L8">
            <v>44012</v>
          </cell>
          <cell r="M8">
            <v>0.80940000000000001</v>
          </cell>
          <cell r="N8">
            <v>0.80940000000000001</v>
          </cell>
          <cell r="O8">
            <v>0.80940000000000001</v>
          </cell>
          <cell r="P8">
            <v>5682</v>
          </cell>
          <cell r="Q8">
            <v>7436063.3000000007</v>
          </cell>
          <cell r="R8">
            <v>2822517.19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663</v>
          </cell>
          <cell r="AA8">
            <v>108342</v>
          </cell>
          <cell r="AB8">
            <v>0</v>
          </cell>
          <cell r="AC8">
            <v>0</v>
          </cell>
          <cell r="AD8">
            <v>1742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131095</v>
          </cell>
          <cell r="AK8">
            <v>118607.64763347499</v>
          </cell>
          <cell r="AL8">
            <v>5435.5834107960009</v>
          </cell>
          <cell r="AM8">
            <v>759.39870000000008</v>
          </cell>
          <cell r="AN8">
            <v>1.1884173708920189</v>
          </cell>
          <cell r="AO8">
            <v>23721.529526694998</v>
          </cell>
          <cell r="AP8">
            <v>30181.271273017453</v>
          </cell>
          <cell r="AQ8">
            <v>5</v>
          </cell>
          <cell r="AR8">
            <v>639</v>
          </cell>
          <cell r="AS8">
            <v>19285832.343458153</v>
          </cell>
          <cell r="AT8">
            <v>2822517.19</v>
          </cell>
          <cell r="AV8">
            <v>16463315.153458154</v>
          </cell>
          <cell r="AW8">
            <v>16463315.153458154</v>
          </cell>
          <cell r="AY8">
            <v>0</v>
          </cell>
        </row>
        <row r="9">
          <cell r="A9" t="str">
            <v>100710530D</v>
          </cell>
          <cell r="E9" t="str">
            <v>010</v>
          </cell>
          <cell r="F9" t="str">
            <v>MCALESTER REGIONAL</v>
          </cell>
          <cell r="G9" t="str">
            <v>MCALESTER,OK 74502-</v>
          </cell>
          <cell r="H9" t="str">
            <v>74502</v>
          </cell>
          <cell r="I9" t="str">
            <v>NSGO</v>
          </cell>
          <cell r="J9" t="str">
            <v>Yes</v>
          </cell>
          <cell r="K9">
            <v>370034</v>
          </cell>
          <cell r="L9">
            <v>44012</v>
          </cell>
          <cell r="M9">
            <v>0.84219999999999995</v>
          </cell>
          <cell r="N9">
            <v>0.84219999999999995</v>
          </cell>
          <cell r="O9">
            <v>0.84219999999999995</v>
          </cell>
          <cell r="P9">
            <v>4024</v>
          </cell>
          <cell r="Q9">
            <v>20171325.869999997</v>
          </cell>
          <cell r="R9">
            <v>5309249.4399999995</v>
          </cell>
          <cell r="S9">
            <v>505692.62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682945</v>
          </cell>
          <cell r="Z9">
            <v>392804</v>
          </cell>
          <cell r="AA9">
            <v>1283039</v>
          </cell>
          <cell r="AB9">
            <v>0</v>
          </cell>
          <cell r="AC9">
            <v>16348970</v>
          </cell>
          <cell r="AD9">
            <v>1178586</v>
          </cell>
          <cell r="AE9">
            <v>442385</v>
          </cell>
          <cell r="AF9">
            <v>0</v>
          </cell>
          <cell r="AG9">
            <v>0</v>
          </cell>
          <cell r="AH9">
            <v>0</v>
          </cell>
          <cell r="AI9">
            <v>151735</v>
          </cell>
          <cell r="AJ9">
            <v>16061106</v>
          </cell>
          <cell r="AK9">
            <v>4733037.070351149</v>
          </cell>
          <cell r="AL9">
            <v>5560.934329148</v>
          </cell>
          <cell r="AM9">
            <v>1432.5030000000002</v>
          </cell>
          <cell r="AN9">
            <v>1.192758534554538</v>
          </cell>
          <cell r="AO9">
            <v>2710.7887000865685</v>
          </cell>
          <cell r="AP9">
            <v>9343.6405812751582</v>
          </cell>
          <cell r="AQ9">
            <v>1746</v>
          </cell>
          <cell r="AR9">
            <v>1201</v>
          </cell>
          <cell r="AS9">
            <v>11221712.338111466</v>
          </cell>
          <cell r="AT9">
            <v>5814942.0599999996</v>
          </cell>
          <cell r="AV9">
            <v>5406770.2781114662</v>
          </cell>
          <cell r="AW9">
            <v>5406770.2781114662</v>
          </cell>
          <cell r="AY9">
            <v>0</v>
          </cell>
        </row>
        <row r="10">
          <cell r="A10" t="str">
            <v>100700690A</v>
          </cell>
          <cell r="B10" t="str">
            <v>100700690Q</v>
          </cell>
          <cell r="C10" t="str">
            <v>100700690R</v>
          </cell>
          <cell r="E10" t="str">
            <v>010</v>
          </cell>
          <cell r="F10" t="str">
            <v>NORMAN REGIONAL HOSPITAL</v>
          </cell>
          <cell r="G10" t="str">
            <v>NORMAN,OK 73071-</v>
          </cell>
          <cell r="H10" t="str">
            <v>73071</v>
          </cell>
          <cell r="I10" t="str">
            <v>NSGO</v>
          </cell>
          <cell r="J10" t="str">
            <v>Yes</v>
          </cell>
          <cell r="K10">
            <v>370008</v>
          </cell>
          <cell r="L10">
            <v>44012</v>
          </cell>
          <cell r="M10">
            <v>0.88280000000000003</v>
          </cell>
          <cell r="N10">
            <v>0.88280000000000003</v>
          </cell>
          <cell r="O10">
            <v>0.88280000000000003</v>
          </cell>
          <cell r="P10">
            <v>18693</v>
          </cell>
          <cell r="Q10">
            <v>189942348.52000004</v>
          </cell>
          <cell r="R10">
            <v>20709681.140000001</v>
          </cell>
          <cell r="S10">
            <v>1004338.269999997</v>
          </cell>
          <cell r="T10">
            <v>44660</v>
          </cell>
          <cell r="U10">
            <v>0</v>
          </cell>
          <cell r="V10">
            <v>0</v>
          </cell>
          <cell r="X10">
            <v>0</v>
          </cell>
          <cell r="Y10">
            <v>1832099</v>
          </cell>
          <cell r="Z10">
            <v>970305</v>
          </cell>
          <cell r="AA10">
            <v>6067684</v>
          </cell>
          <cell r="AB10">
            <v>0</v>
          </cell>
          <cell r="AC10">
            <v>0</v>
          </cell>
          <cell r="AD10">
            <v>4687197</v>
          </cell>
          <cell r="AE10">
            <v>615096</v>
          </cell>
          <cell r="AF10">
            <v>0</v>
          </cell>
          <cell r="AG10">
            <v>0</v>
          </cell>
          <cell r="AH10">
            <v>119941</v>
          </cell>
          <cell r="AI10">
            <v>571204</v>
          </cell>
          <cell r="AJ10">
            <v>61739792</v>
          </cell>
          <cell r="AK10">
            <v>15918515.665426549</v>
          </cell>
          <cell r="AL10">
            <v>5716.0943073520002</v>
          </cell>
          <cell r="AM10">
            <v>5654.9301000000014</v>
          </cell>
          <cell r="AN10">
            <v>1.2314743249128923</v>
          </cell>
          <cell r="AO10">
            <v>2844.623957367146</v>
          </cell>
          <cell r="AP10">
            <v>9883.8473356518771</v>
          </cell>
          <cell r="AQ10">
            <v>5596</v>
          </cell>
          <cell r="AR10">
            <v>4592</v>
          </cell>
          <cell r="AS10">
            <v>45386626.96531342</v>
          </cell>
          <cell r="AT10">
            <v>21758679.409999996</v>
          </cell>
          <cell r="AV10">
            <v>23627947.555313423</v>
          </cell>
          <cell r="AW10">
            <v>23627947.555313423</v>
          </cell>
          <cell r="AY10">
            <v>0</v>
          </cell>
        </row>
        <row r="11">
          <cell r="A11" t="str">
            <v>100700680A</v>
          </cell>
          <cell r="B11" t="str">
            <v>100700680I</v>
          </cell>
          <cell r="E11" t="str">
            <v>010</v>
          </cell>
          <cell r="F11" t="str">
            <v>NORTHEASTERN HEALTH SYSTEM</v>
          </cell>
          <cell r="G11" t="str">
            <v>TAHLEQUAH,OK 74464-1008</v>
          </cell>
          <cell r="H11" t="str">
            <v>74464</v>
          </cell>
          <cell r="I11" t="str">
            <v>NSGO</v>
          </cell>
          <cell r="J11" t="str">
            <v>Yes</v>
          </cell>
          <cell r="K11">
            <v>370089</v>
          </cell>
          <cell r="L11">
            <v>44012</v>
          </cell>
          <cell r="M11">
            <v>0.80940000000000001</v>
          </cell>
          <cell r="N11">
            <v>0.80940000000000001</v>
          </cell>
          <cell r="O11">
            <v>0.80940000000000001</v>
          </cell>
          <cell r="P11">
            <v>4733</v>
          </cell>
          <cell r="Q11">
            <v>27538818.039999999</v>
          </cell>
          <cell r="R11">
            <v>6968053.2400000002</v>
          </cell>
          <cell r="S11">
            <v>116609.23999999999</v>
          </cell>
          <cell r="T11">
            <v>0</v>
          </cell>
          <cell r="U11">
            <v>0</v>
          </cell>
          <cell r="V11">
            <v>1846.89</v>
          </cell>
          <cell r="X11">
            <v>0</v>
          </cell>
          <cell r="Y11">
            <v>1069813</v>
          </cell>
          <cell r="Z11">
            <v>363917</v>
          </cell>
          <cell r="AA11">
            <v>1670235</v>
          </cell>
          <cell r="AB11">
            <v>0</v>
          </cell>
          <cell r="AC11">
            <v>18911436</v>
          </cell>
          <cell r="AD11">
            <v>1318425</v>
          </cell>
          <cell r="AE11">
            <v>334907</v>
          </cell>
          <cell r="AF11">
            <v>0</v>
          </cell>
          <cell r="AG11">
            <v>0</v>
          </cell>
          <cell r="AH11">
            <v>0</v>
          </cell>
          <cell r="AI11">
            <v>65595</v>
          </cell>
          <cell r="AJ11">
            <v>19147492</v>
          </cell>
          <cell r="AK11">
            <v>5165213.2781050997</v>
          </cell>
          <cell r="AL11">
            <v>5435.5834107960009</v>
          </cell>
          <cell r="AM11">
            <v>1607.4938000000004</v>
          </cell>
          <cell r="AN11">
            <v>1.6885439075630257</v>
          </cell>
          <cell r="AO11">
            <v>2799.5735924688888</v>
          </cell>
          <cell r="AP11">
            <v>11977.794844819127</v>
          </cell>
          <cell r="AQ11">
            <v>1845</v>
          </cell>
          <cell r="AR11">
            <v>952</v>
          </cell>
          <cell r="AS11">
            <v>11402860.692267809</v>
          </cell>
          <cell r="AT11">
            <v>7086509.3700000001</v>
          </cell>
          <cell r="AV11">
            <v>4316351.322267809</v>
          </cell>
          <cell r="AW11">
            <v>4316351.322267809</v>
          </cell>
          <cell r="AY11">
            <v>0</v>
          </cell>
        </row>
        <row r="12">
          <cell r="A12" t="str">
            <v>200417790W</v>
          </cell>
          <cell r="E12" t="str">
            <v>010</v>
          </cell>
          <cell r="F12" t="str">
            <v>PERRY MEMORIAL HOSPITAL</v>
          </cell>
          <cell r="G12" t="str">
            <v>PERRY,OK 73077-0000</v>
          </cell>
          <cell r="H12" t="str">
            <v>73077</v>
          </cell>
          <cell r="I12" t="str">
            <v>NSGO</v>
          </cell>
          <cell r="J12" t="str">
            <v>Yes</v>
          </cell>
          <cell r="K12">
            <v>370139</v>
          </cell>
          <cell r="L12">
            <v>44196</v>
          </cell>
          <cell r="M12">
            <v>0.80940000000000001</v>
          </cell>
          <cell r="N12">
            <v>0.80940000000000001</v>
          </cell>
          <cell r="O12">
            <v>0.80940000000000001</v>
          </cell>
          <cell r="P12">
            <v>57</v>
          </cell>
          <cell r="Q12">
            <v>422395.85</v>
          </cell>
          <cell r="R12">
            <v>130072.35999999999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842205</v>
          </cell>
          <cell r="AD12">
            <v>50363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5431</v>
          </cell>
          <cell r="AJ12">
            <v>682077</v>
          </cell>
          <cell r="AK12">
            <v>228844.93169999999</v>
          </cell>
          <cell r="AL12">
            <v>5435.5834107960009</v>
          </cell>
          <cell r="AM12">
            <v>33.674200000000006</v>
          </cell>
          <cell r="AN12">
            <v>1.5306454545454549</v>
          </cell>
          <cell r="AO12">
            <v>2080.4084699999999</v>
          </cell>
          <cell r="AP12">
            <v>10400.359510537579</v>
          </cell>
          <cell r="AQ12">
            <v>110</v>
          </cell>
          <cell r="AR12">
            <v>22</v>
          </cell>
          <cell r="AS12">
            <v>228807.90923182672</v>
          </cell>
          <cell r="AT12">
            <v>130072.35999999999</v>
          </cell>
          <cell r="AV12">
            <v>98735.549231826735</v>
          </cell>
          <cell r="AW12">
            <v>98735.549231826735</v>
          </cell>
          <cell r="AY12">
            <v>0</v>
          </cell>
        </row>
        <row r="13">
          <cell r="A13" t="str">
            <v>100699900A</v>
          </cell>
          <cell r="E13" t="str">
            <v>010</v>
          </cell>
          <cell r="F13" t="str">
            <v>PURCELL MUNICIPAL HOSPITAL</v>
          </cell>
          <cell r="G13" t="str">
            <v>PURCELL,OK 73080-9998</v>
          </cell>
          <cell r="H13" t="str">
            <v>73080</v>
          </cell>
          <cell r="I13" t="str">
            <v>NSGO</v>
          </cell>
          <cell r="J13" t="str">
            <v>Yes</v>
          </cell>
          <cell r="K13">
            <v>370158</v>
          </cell>
          <cell r="L13">
            <v>44012</v>
          </cell>
          <cell r="M13">
            <v>0.88280000000000003</v>
          </cell>
          <cell r="N13">
            <v>0.88280000000000003</v>
          </cell>
          <cell r="O13">
            <v>0.88280000000000003</v>
          </cell>
          <cell r="P13">
            <v>85</v>
          </cell>
          <cell r="Q13">
            <v>309877.27</v>
          </cell>
          <cell r="R13">
            <v>84429.860000000015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96704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19266</v>
          </cell>
          <cell r="AJ13">
            <v>1231898</v>
          </cell>
          <cell r="AK13">
            <v>124201.36794724998</v>
          </cell>
          <cell r="AL13">
            <v>5716.0943073520002</v>
          </cell>
          <cell r="AM13">
            <v>24.596</v>
          </cell>
          <cell r="AN13">
            <v>1.2945263157894737</v>
          </cell>
          <cell r="AO13">
            <v>544.74284187390344</v>
          </cell>
          <cell r="AP13">
            <v>7944.3773462754725</v>
          </cell>
          <cell r="AQ13">
            <v>228</v>
          </cell>
          <cell r="AR13">
            <v>19</v>
          </cell>
          <cell r="AS13">
            <v>150943.16957923397</v>
          </cell>
          <cell r="AT13">
            <v>84429.860000000015</v>
          </cell>
          <cell r="AV13">
            <v>66513.309579233959</v>
          </cell>
          <cell r="AW13">
            <v>66513.309579233959</v>
          </cell>
          <cell r="AY13">
            <v>0</v>
          </cell>
        </row>
        <row r="14">
          <cell r="A14" t="str">
            <v>100700770A</v>
          </cell>
          <cell r="E14" t="str">
            <v>010</v>
          </cell>
          <cell r="F14" t="str">
            <v>PUSHMATAHA HSP</v>
          </cell>
          <cell r="G14" t="str">
            <v>ANTLERS,OK 74523-</v>
          </cell>
          <cell r="H14" t="str">
            <v>74523</v>
          </cell>
          <cell r="I14" t="str">
            <v>NSGO</v>
          </cell>
          <cell r="J14" t="str">
            <v>Yes</v>
          </cell>
          <cell r="K14">
            <v>370083</v>
          </cell>
          <cell r="L14">
            <v>44286</v>
          </cell>
          <cell r="M14">
            <v>0.80940000000000001</v>
          </cell>
          <cell r="N14">
            <v>0.80940000000000001</v>
          </cell>
          <cell r="O14">
            <v>0.80940000000000001</v>
          </cell>
          <cell r="P14">
            <v>222</v>
          </cell>
          <cell r="Q14">
            <v>691727.29</v>
          </cell>
          <cell r="R14">
            <v>149762.78</v>
          </cell>
          <cell r="S14">
            <v>10087.719999999999</v>
          </cell>
          <cell r="T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31799</v>
          </cell>
          <cell r="AA14">
            <v>160219</v>
          </cell>
          <cell r="AB14">
            <v>0</v>
          </cell>
          <cell r="AC14">
            <v>1163479</v>
          </cell>
          <cell r="AD14">
            <v>84871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8049</v>
          </cell>
          <cell r="AJ14">
            <v>1324650</v>
          </cell>
          <cell r="AK14">
            <v>300150.12747500004</v>
          </cell>
          <cell r="AL14">
            <v>5435.5834107960009</v>
          </cell>
          <cell r="AM14">
            <v>42.825900000000004</v>
          </cell>
          <cell r="AN14">
            <v>1.0445341463414635</v>
          </cell>
          <cell r="AO14">
            <v>1436.1250118421056</v>
          </cell>
          <cell r="AP14">
            <v>7113.777489705727</v>
          </cell>
          <cell r="AQ14">
            <v>209</v>
          </cell>
          <cell r="AR14">
            <v>41</v>
          </cell>
          <cell r="AS14">
            <v>291664.8770779348</v>
          </cell>
          <cell r="AT14">
            <v>159850.5</v>
          </cell>
          <cell r="AV14">
            <v>131814.3770779348</v>
          </cell>
          <cell r="AW14">
            <v>131814.3770779348</v>
          </cell>
          <cell r="AY14">
            <v>0</v>
          </cell>
        </row>
        <row r="15">
          <cell r="A15" t="str">
            <v>100700190A</v>
          </cell>
          <cell r="E15" t="str">
            <v>010</v>
          </cell>
          <cell r="F15" t="str">
            <v>SEQUOYAH COUNTY CITY OF SALLISAW HOSPITAL AUTHORIT</v>
          </cell>
          <cell r="G15" t="str">
            <v>SALLISAW,OK 74955-2811</v>
          </cell>
          <cell r="H15" t="str">
            <v>74955</v>
          </cell>
          <cell r="I15" t="str">
            <v>NSGO</v>
          </cell>
          <cell r="J15" t="str">
            <v>Yes</v>
          </cell>
          <cell r="K15">
            <v>370112</v>
          </cell>
          <cell r="L15">
            <v>44286</v>
          </cell>
          <cell r="M15">
            <v>0.84060000000000001</v>
          </cell>
          <cell r="N15">
            <v>0.84060000000000001</v>
          </cell>
          <cell r="O15">
            <v>0.84060000000000001</v>
          </cell>
          <cell r="P15">
            <v>244</v>
          </cell>
          <cell r="Q15">
            <v>1439626.06</v>
          </cell>
          <cell r="R15">
            <v>364538.45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41374</v>
          </cell>
          <cell r="AA15">
            <v>433468</v>
          </cell>
          <cell r="AB15">
            <v>0</v>
          </cell>
          <cell r="AC15">
            <v>0</v>
          </cell>
          <cell r="AD15">
            <v>129317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2258058</v>
          </cell>
          <cell r="AK15">
            <v>636413.53861250007</v>
          </cell>
          <cell r="AL15">
            <v>5554.8196502040009</v>
          </cell>
          <cell r="AM15">
            <v>97.939300000000003</v>
          </cell>
          <cell r="AN15">
            <v>1.1257390804597702</v>
          </cell>
          <cell r="AO15">
            <v>2225.2221629807696</v>
          </cell>
          <cell r="AP15">
            <v>8478.4997281212836</v>
          </cell>
          <cell r="AQ15">
            <v>286</v>
          </cell>
          <cell r="AR15">
            <v>87</v>
          </cell>
          <cell r="AS15">
            <v>737629.47634655167</v>
          </cell>
          <cell r="AT15">
            <v>364538.45</v>
          </cell>
          <cell r="AV15">
            <v>373091.02634655166</v>
          </cell>
          <cell r="AW15">
            <v>373091.02634655166</v>
          </cell>
          <cell r="AY15">
            <v>0</v>
          </cell>
        </row>
        <row r="16">
          <cell r="A16" t="str">
            <v>100699950A</v>
          </cell>
          <cell r="E16" t="str">
            <v>010</v>
          </cell>
          <cell r="F16" t="str">
            <v>STILLWATER MEDICAL CENTER</v>
          </cell>
          <cell r="G16" t="str">
            <v>STILLWATER,OK 74074-4399</v>
          </cell>
          <cell r="H16" t="str">
            <v>74074</v>
          </cell>
          <cell r="I16" t="str">
            <v>NSGO</v>
          </cell>
          <cell r="J16" t="str">
            <v>Yes</v>
          </cell>
          <cell r="K16">
            <v>370049</v>
          </cell>
          <cell r="L16">
            <v>44196</v>
          </cell>
          <cell r="M16">
            <v>0.86890000000000001</v>
          </cell>
          <cell r="N16">
            <v>0.86890000000000001</v>
          </cell>
          <cell r="O16">
            <v>0.86890000000000001</v>
          </cell>
          <cell r="P16">
            <v>3676</v>
          </cell>
          <cell r="Q16">
            <v>28132607.799999997</v>
          </cell>
          <cell r="R16">
            <v>4708227.96</v>
          </cell>
          <cell r="S16">
            <v>238724.08000000028</v>
          </cell>
          <cell r="T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413641</v>
          </cell>
          <cell r="AA16">
            <v>2795186</v>
          </cell>
          <cell r="AB16">
            <v>0</v>
          </cell>
          <cell r="AC16">
            <v>18101619</v>
          </cell>
          <cell r="AD16">
            <v>1297833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256467</v>
          </cell>
          <cell r="AJ16">
            <v>19537327</v>
          </cell>
          <cell r="AK16">
            <v>5048200.1509499997</v>
          </cell>
          <cell r="AL16">
            <v>5662.9730340260003</v>
          </cell>
          <cell r="AM16">
            <v>1435.3524000000009</v>
          </cell>
          <cell r="AN16">
            <v>1.0477024817518255</v>
          </cell>
          <cell r="AO16">
            <v>2810.8018657850776</v>
          </cell>
          <cell r="AP16">
            <v>8743.9127676277822</v>
          </cell>
          <cell r="AQ16">
            <v>1796</v>
          </cell>
          <cell r="AR16">
            <v>1370</v>
          </cell>
          <cell r="AS16">
            <v>11979160.491650062</v>
          </cell>
          <cell r="AT16">
            <v>4946952.04</v>
          </cell>
          <cell r="AV16">
            <v>7032208.4516500616</v>
          </cell>
          <cell r="AW16">
            <v>7032208.4516500616</v>
          </cell>
          <cell r="AY16">
            <v>0</v>
          </cell>
        </row>
        <row r="17">
          <cell r="A17" t="str">
            <v>200100890B</v>
          </cell>
          <cell r="E17" t="str">
            <v>010</v>
          </cell>
          <cell r="F17" t="str">
            <v>WAGONER COMMUNITY HOSPITAL</v>
          </cell>
          <cell r="G17" t="str">
            <v>WAGONER,OK 74467-4624</v>
          </cell>
          <cell r="H17" t="str">
            <v>74467</v>
          </cell>
          <cell r="I17" t="str">
            <v>NSGO</v>
          </cell>
          <cell r="J17" t="str">
            <v>Yes</v>
          </cell>
          <cell r="K17">
            <v>370166</v>
          </cell>
          <cell r="L17">
            <v>44104</v>
          </cell>
          <cell r="M17">
            <v>0.84219999999999995</v>
          </cell>
          <cell r="N17">
            <v>0.84219999999999995</v>
          </cell>
          <cell r="O17">
            <v>0.84219999999999995</v>
          </cell>
          <cell r="P17">
            <v>8721</v>
          </cell>
          <cell r="Q17">
            <v>14725996.67</v>
          </cell>
          <cell r="R17">
            <v>3600700.07</v>
          </cell>
          <cell r="S17">
            <v>18104.099999999999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352183</v>
          </cell>
          <cell r="AA17">
            <v>463626</v>
          </cell>
          <cell r="AB17">
            <v>0</v>
          </cell>
          <cell r="AC17">
            <v>0</v>
          </cell>
          <cell r="AD17">
            <v>326267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56920</v>
          </cell>
          <cell r="AJ17">
            <v>4503591</v>
          </cell>
          <cell r="AK17">
            <v>1277427.3791306498</v>
          </cell>
          <cell r="AL17">
            <v>5560.934329148</v>
          </cell>
          <cell r="AM17">
            <v>1470.025999999998</v>
          </cell>
          <cell r="AN17">
            <v>1.1826436041834256</v>
          </cell>
          <cell r="AO17">
            <v>2136.1661858372072</v>
          </cell>
          <cell r="AP17">
            <v>8712.7696034881374</v>
          </cell>
          <cell r="AQ17">
            <v>598</v>
          </cell>
          <cell r="AR17">
            <v>1243</v>
          </cell>
          <cell r="AS17">
            <v>10829972.617135754</v>
          </cell>
          <cell r="AT17">
            <v>3618804.17</v>
          </cell>
          <cell r="AV17">
            <v>7211168.4471357539</v>
          </cell>
          <cell r="AW17">
            <v>7211168.4471357539</v>
          </cell>
          <cell r="AY17">
            <v>0</v>
          </cell>
        </row>
        <row r="18">
          <cell r="P18">
            <v>63152</v>
          </cell>
          <cell r="Q18">
            <v>398929452.39000016</v>
          </cell>
          <cell r="R18">
            <v>63034186.410000011</v>
          </cell>
          <cell r="S18">
            <v>2669212.7799999975</v>
          </cell>
          <cell r="AK18">
            <v>49863979.81447684</v>
          </cell>
          <cell r="AM18">
            <v>17526.189700000003</v>
          </cell>
          <cell r="AQ18">
            <v>18947</v>
          </cell>
          <cell r="AR18">
            <v>14292</v>
          </cell>
          <cell r="AV18">
            <v>83442132.182797164</v>
          </cell>
          <cell r="AW18">
            <v>83442132.182797164</v>
          </cell>
          <cell r="AY18">
            <v>0</v>
          </cell>
        </row>
        <row r="20">
          <cell r="A20" t="str">
            <v>200439230A</v>
          </cell>
          <cell r="E20" t="str">
            <v>010</v>
          </cell>
          <cell r="F20" t="str">
            <v>AHS SOUTHCREST HOSPITAL, LLC</v>
          </cell>
          <cell r="G20" t="str">
            <v>TULSA,OK 74133-5716</v>
          </cell>
          <cell r="H20" t="str">
            <v>74133</v>
          </cell>
          <cell r="I20" t="str">
            <v>Private</v>
          </cell>
          <cell r="J20" t="str">
            <v>Yes</v>
          </cell>
          <cell r="K20">
            <v>370202</v>
          </cell>
          <cell r="L20">
            <v>44196</v>
          </cell>
          <cell r="M20">
            <v>0.86890000000000001</v>
          </cell>
          <cell r="N20">
            <v>0.86890000000000001</v>
          </cell>
          <cell r="O20">
            <v>0.86890000000000001</v>
          </cell>
          <cell r="P20">
            <v>9413</v>
          </cell>
          <cell r="Q20">
            <v>89262266.969999999</v>
          </cell>
          <cell r="R20">
            <v>11259596.48</v>
          </cell>
          <cell r="S20">
            <v>582169.43999999971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358571</v>
          </cell>
          <cell r="AA20">
            <v>1578811</v>
          </cell>
          <cell r="AB20">
            <v>0</v>
          </cell>
          <cell r="AC20">
            <v>0</v>
          </cell>
          <cell r="AD20">
            <v>2105100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321997</v>
          </cell>
          <cell r="AJ20">
            <v>26979736</v>
          </cell>
          <cell r="AK20">
            <v>4625693.0681499997</v>
          </cell>
          <cell r="AL20">
            <v>5662.9730340260003</v>
          </cell>
          <cell r="AM20">
            <v>3128.6058999999959</v>
          </cell>
          <cell r="AN20">
            <v>1.274381221995925</v>
          </cell>
          <cell r="AO20">
            <v>1830.5077436288088</v>
          </cell>
          <cell r="AP20">
            <v>9047.2942388608335</v>
          </cell>
          <cell r="AQ20">
            <v>2527</v>
          </cell>
          <cell r="AR20">
            <v>2455</v>
          </cell>
          <cell r="AS20">
            <v>22211107.356403347</v>
          </cell>
          <cell r="AT20">
            <v>11841765.92</v>
          </cell>
          <cell r="AV20">
            <v>10369341.436403347</v>
          </cell>
          <cell r="AW20">
            <v>10369341.436403347</v>
          </cell>
          <cell r="AY20">
            <v>0</v>
          </cell>
        </row>
        <row r="21">
          <cell r="A21" t="str">
            <v>100696610B</v>
          </cell>
          <cell r="E21" t="str">
            <v>010</v>
          </cell>
          <cell r="F21" t="str">
            <v>ALLIANCEHEALTH DURANT</v>
          </cell>
          <cell r="G21" t="str">
            <v>DURANT,OK 74701-</v>
          </cell>
          <cell r="H21" t="str">
            <v>74701</v>
          </cell>
          <cell r="I21" t="str">
            <v>Private</v>
          </cell>
          <cell r="J21" t="str">
            <v>Yes</v>
          </cell>
          <cell r="K21">
            <v>370014</v>
          </cell>
          <cell r="L21">
            <v>44104</v>
          </cell>
          <cell r="M21">
            <v>0.83020000000000005</v>
          </cell>
          <cell r="N21">
            <v>0.83020000000000005</v>
          </cell>
          <cell r="O21">
            <v>0.83020000000000005</v>
          </cell>
          <cell r="P21">
            <v>6824</v>
          </cell>
          <cell r="Q21">
            <v>155021286.44999999</v>
          </cell>
          <cell r="R21">
            <v>8200238.0800000001</v>
          </cell>
          <cell r="S21">
            <v>331123.59000000008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799743</v>
          </cell>
          <cell r="Z21">
            <v>923966</v>
          </cell>
          <cell r="AA21">
            <v>1202430</v>
          </cell>
          <cell r="AB21">
            <v>0</v>
          </cell>
          <cell r="AC21">
            <v>0</v>
          </cell>
          <cell r="AD21">
            <v>1397832</v>
          </cell>
          <cell r="AE21">
            <v>408080</v>
          </cell>
          <cell r="AF21">
            <v>0</v>
          </cell>
          <cell r="AG21">
            <v>0</v>
          </cell>
          <cell r="AH21">
            <v>0</v>
          </cell>
          <cell r="AI21">
            <v>398239</v>
          </cell>
          <cell r="AJ21">
            <v>19919001</v>
          </cell>
          <cell r="AK21">
            <v>5465883.8802466244</v>
          </cell>
          <cell r="AL21">
            <v>5515.0742370680009</v>
          </cell>
          <cell r="AM21">
            <v>2489.9731000000093</v>
          </cell>
          <cell r="AN21">
            <v>1.0060497373737411</v>
          </cell>
          <cell r="AO21">
            <v>2304.3355313012748</v>
          </cell>
          <cell r="AP21">
            <v>7852.7745191002232</v>
          </cell>
          <cell r="AQ21">
            <v>2372</v>
          </cell>
          <cell r="AR21">
            <v>2475</v>
          </cell>
          <cell r="AS21">
            <v>19435616.934773054</v>
          </cell>
          <cell r="AT21">
            <v>8531361.6699999999</v>
          </cell>
          <cell r="AV21">
            <v>10904255.264773054</v>
          </cell>
          <cell r="AW21">
            <v>10904255.264773054</v>
          </cell>
          <cell r="AY21">
            <v>0</v>
          </cell>
        </row>
        <row r="22">
          <cell r="A22" t="str">
            <v>200102450A</v>
          </cell>
          <cell r="E22" t="str">
            <v>010</v>
          </cell>
          <cell r="F22" t="str">
            <v>BAILEY MEDICAL CENTER LLC</v>
          </cell>
          <cell r="G22" t="str">
            <v>OWASSO,OK 74055-6655</v>
          </cell>
          <cell r="H22" t="str">
            <v>74055</v>
          </cell>
          <cell r="I22" t="str">
            <v>Private</v>
          </cell>
          <cell r="J22" t="str">
            <v>Yes</v>
          </cell>
          <cell r="K22">
            <v>370228</v>
          </cell>
          <cell r="L22">
            <v>44196</v>
          </cell>
          <cell r="M22">
            <v>0.84219999999999995</v>
          </cell>
          <cell r="N22">
            <v>0.84219999999999995</v>
          </cell>
          <cell r="O22">
            <v>0.84219999999999995</v>
          </cell>
          <cell r="P22">
            <v>521</v>
          </cell>
          <cell r="Q22">
            <v>6116705.2000000002</v>
          </cell>
          <cell r="R22">
            <v>538469.25</v>
          </cell>
          <cell r="S22">
            <v>239997.40000000014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18692</v>
          </cell>
          <cell r="AA22">
            <v>407816</v>
          </cell>
          <cell r="AB22">
            <v>0</v>
          </cell>
          <cell r="AC22">
            <v>0</v>
          </cell>
          <cell r="AD22">
            <v>152756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24144</v>
          </cell>
          <cell r="AJ22">
            <v>2399236</v>
          </cell>
          <cell r="AK22">
            <v>639521.96880000003</v>
          </cell>
          <cell r="AL22">
            <v>5560.934329148</v>
          </cell>
          <cell r="AM22">
            <v>235.73739999999998</v>
          </cell>
          <cell r="AN22">
            <v>0.86350695970695968</v>
          </cell>
          <cell r="AO22">
            <v>2620.9916754098363</v>
          </cell>
          <cell r="AP22">
            <v>7422.8971711024878</v>
          </cell>
          <cell r="AQ22">
            <v>244</v>
          </cell>
          <cell r="AR22">
            <v>273</v>
          </cell>
          <cell r="AS22">
            <v>2026450.9277109792</v>
          </cell>
          <cell r="AT22">
            <v>778466.65000000014</v>
          </cell>
          <cell r="AV22">
            <v>1247984.2777109791</v>
          </cell>
          <cell r="AW22">
            <v>1247984.2777109791</v>
          </cell>
          <cell r="AY22">
            <v>0</v>
          </cell>
        </row>
        <row r="23">
          <cell r="A23" t="str">
            <v>200573000A</v>
          </cell>
          <cell r="B23" t="str">
            <v>200697510F</v>
          </cell>
          <cell r="E23" t="str">
            <v>010</v>
          </cell>
          <cell r="F23" t="str">
            <v>BRISTOW ENDEAVOR HEALTHCARE, LLC</v>
          </cell>
          <cell r="G23" t="str">
            <v>BRISTOW,OK 74010-2301</v>
          </cell>
          <cell r="H23" t="str">
            <v>74010</v>
          </cell>
          <cell r="I23" t="str">
            <v>Private</v>
          </cell>
          <cell r="J23" t="str">
            <v>Yes</v>
          </cell>
          <cell r="K23">
            <v>370041</v>
          </cell>
          <cell r="L23">
            <v>44196</v>
          </cell>
          <cell r="M23">
            <v>0.84219999999999995</v>
          </cell>
          <cell r="N23">
            <v>0.84219999999999995</v>
          </cell>
          <cell r="O23">
            <v>0.84219999999999995</v>
          </cell>
          <cell r="P23">
            <v>227</v>
          </cell>
          <cell r="Q23">
            <v>14176132.470000001</v>
          </cell>
          <cell r="R23">
            <v>1390319.16</v>
          </cell>
          <cell r="S23">
            <v>53833.29</v>
          </cell>
          <cell r="T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632183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4919</v>
          </cell>
          <cell r="AJ23">
            <v>9172626</v>
          </cell>
          <cell r="AK23">
            <v>675232.55469999998</v>
          </cell>
          <cell r="AL23">
            <v>5560.934329148</v>
          </cell>
          <cell r="AM23">
            <v>335.75640000000004</v>
          </cell>
          <cell r="AN23">
            <v>2.2840571428571432</v>
          </cell>
          <cell r="AO23">
            <v>956.42004915014161</v>
          </cell>
          <cell r="AP23">
            <v>13657.911824600127</v>
          </cell>
          <cell r="AQ23">
            <v>706</v>
          </cell>
          <cell r="AR23">
            <v>147</v>
          </cell>
          <cell r="AS23">
            <v>2007713.0382162186</v>
          </cell>
          <cell r="AT23">
            <v>1444152.45</v>
          </cell>
          <cell r="AV23">
            <v>563560.58821621863</v>
          </cell>
          <cell r="AW23">
            <v>563560.58821621863</v>
          </cell>
          <cell r="AY23">
            <v>0</v>
          </cell>
        </row>
        <row r="24">
          <cell r="A24" t="str">
            <v>100700010G</v>
          </cell>
          <cell r="E24" t="str">
            <v>010</v>
          </cell>
          <cell r="F24" t="str">
            <v>CLINTON HMA LLC</v>
          </cell>
          <cell r="G24" t="str">
            <v>CLINTON,OK 73601-3117</v>
          </cell>
          <cell r="H24" t="str">
            <v>73601</v>
          </cell>
          <cell r="I24" t="str">
            <v>Private</v>
          </cell>
          <cell r="J24" t="str">
            <v>Yes</v>
          </cell>
          <cell r="K24">
            <v>370029</v>
          </cell>
          <cell r="L24">
            <v>44286</v>
          </cell>
          <cell r="M24">
            <v>0.86890000000000001</v>
          </cell>
          <cell r="N24">
            <v>0.86890000000000001</v>
          </cell>
          <cell r="O24">
            <v>0.86890000000000001</v>
          </cell>
          <cell r="P24">
            <v>673</v>
          </cell>
          <cell r="Q24">
            <v>6115355.4600000009</v>
          </cell>
          <cell r="R24">
            <v>889134.05999999994</v>
          </cell>
          <cell r="S24">
            <v>56803.479999999996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78134</v>
          </cell>
          <cell r="AA24">
            <v>264752</v>
          </cell>
          <cell r="AB24">
            <v>0</v>
          </cell>
          <cell r="AC24">
            <v>1910393</v>
          </cell>
          <cell r="AD24">
            <v>154775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30020</v>
          </cell>
          <cell r="AJ24">
            <v>2405825</v>
          </cell>
          <cell r="AK24">
            <v>555852.56938750006</v>
          </cell>
          <cell r="AL24">
            <v>5662.9730340260003</v>
          </cell>
          <cell r="AM24">
            <v>284.1176999999999</v>
          </cell>
          <cell r="AN24">
            <v>0.84307922848664663</v>
          </cell>
          <cell r="AO24">
            <v>1865.2770784815439</v>
          </cell>
          <cell r="AP24">
            <v>6639.6120149488688</v>
          </cell>
          <cell r="AQ24">
            <v>298</v>
          </cell>
          <cell r="AR24">
            <v>337</v>
          </cell>
          <cell r="AS24">
            <v>2237549.2490377687</v>
          </cell>
          <cell r="AT24">
            <v>945937.53999999992</v>
          </cell>
          <cell r="AV24">
            <v>1291611.7090377687</v>
          </cell>
          <cell r="AW24">
            <v>1291611.7090377687</v>
          </cell>
          <cell r="AY24">
            <v>0</v>
          </cell>
        </row>
        <row r="25">
          <cell r="A25" t="str">
            <v>100746230C</v>
          </cell>
          <cell r="E25" t="str">
            <v>010</v>
          </cell>
          <cell r="F25" t="str">
            <v>COMMUNITY HOSPITAL, LLC</v>
          </cell>
          <cell r="G25" t="str">
            <v>OKLAHOMA CITY,OK 73114-6303</v>
          </cell>
          <cell r="H25" t="str">
            <v>73114</v>
          </cell>
          <cell r="I25" t="str">
            <v>Private</v>
          </cell>
          <cell r="J25" t="str">
            <v>Yes</v>
          </cell>
          <cell r="K25">
            <v>370203</v>
          </cell>
          <cell r="L25">
            <v>44196</v>
          </cell>
          <cell r="M25">
            <v>0.88280000000000003</v>
          </cell>
          <cell r="N25">
            <v>0.88280000000000003</v>
          </cell>
          <cell r="O25">
            <v>0.88280000000000003</v>
          </cell>
          <cell r="P25">
            <v>26</v>
          </cell>
          <cell r="Q25">
            <v>877548.84</v>
          </cell>
          <cell r="R25">
            <v>145157.07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719433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8941844</v>
          </cell>
          <cell r="AK25">
            <v>762491.06504999998</v>
          </cell>
          <cell r="AL25">
            <v>5716.0943073520002</v>
          </cell>
          <cell r="AM25">
            <v>44.272599999999997</v>
          </cell>
          <cell r="AN25">
            <v>3.6893833333333332</v>
          </cell>
          <cell r="AO25">
            <v>1268.7039351913477</v>
          </cell>
          <cell r="AP25">
            <v>22357.567004497363</v>
          </cell>
          <cell r="AQ25">
            <v>601</v>
          </cell>
          <cell r="AR25">
            <v>12</v>
          </cell>
          <cell r="AS25">
            <v>268290.80405396834</v>
          </cell>
          <cell r="AT25">
            <v>145157.07</v>
          </cell>
          <cell r="AV25">
            <v>123133.73405396834</v>
          </cell>
          <cell r="AW25">
            <v>123133.73405396834</v>
          </cell>
          <cell r="AY25">
            <v>0</v>
          </cell>
        </row>
        <row r="26">
          <cell r="A26" t="str">
            <v>200693850A</v>
          </cell>
          <cell r="E26" t="str">
            <v>010</v>
          </cell>
          <cell r="F26" t="str">
            <v>CURAHEALTH OKLAHOMA CITY</v>
          </cell>
          <cell r="G26" t="str">
            <v>OKLAHOMA CITY,OK 75320-</v>
          </cell>
          <cell r="H26" t="str">
            <v>75320</v>
          </cell>
          <cell r="I26" t="str">
            <v>Private</v>
          </cell>
          <cell r="J26" t="str">
            <v>Yes</v>
          </cell>
          <cell r="K26">
            <v>372004</v>
          </cell>
          <cell r="L26">
            <v>44074</v>
          </cell>
          <cell r="M26" t="e">
            <v>#N/A</v>
          </cell>
          <cell r="N26" t="e">
            <v>#N/A</v>
          </cell>
          <cell r="O26">
            <v>0.96079999999999999</v>
          </cell>
          <cell r="P26">
            <v>633</v>
          </cell>
          <cell r="Q26">
            <v>4352892</v>
          </cell>
          <cell r="R26">
            <v>925808.81</v>
          </cell>
          <cell r="S26">
            <v>35875.279999999999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6014.1849058720009</v>
          </cell>
          <cell r="AM26">
            <v>167.67060000000001</v>
          </cell>
          <cell r="AN26">
            <v>3.8993162790697675</v>
          </cell>
          <cell r="AO26">
            <v>0</v>
          </cell>
          <cell r="AP26">
            <v>23451.20910880237</v>
          </cell>
          <cell r="AQ26">
            <v>230</v>
          </cell>
          <cell r="AR26">
            <v>43</v>
          </cell>
          <cell r="AS26">
            <v>1008401.9916785019</v>
          </cell>
          <cell r="AT26">
            <v>961684.09000000008</v>
          </cell>
          <cell r="AV26">
            <v>46717.901678501861</v>
          </cell>
          <cell r="AW26">
            <v>46717.901678501861</v>
          </cell>
          <cell r="AY26">
            <v>0</v>
          </cell>
        </row>
        <row r="27">
          <cell r="A27" t="str">
            <v>100700120A</v>
          </cell>
          <cell r="E27" t="str">
            <v>010</v>
          </cell>
          <cell r="F27" t="str">
            <v>DUNCAN REGIONAL HOSPITAL</v>
          </cell>
          <cell r="G27" t="str">
            <v>DUNCAN,OK 73533-</v>
          </cell>
          <cell r="H27" t="str">
            <v>73533</v>
          </cell>
          <cell r="I27" t="str">
            <v>Private</v>
          </cell>
          <cell r="J27" t="str">
            <v>Yes</v>
          </cell>
          <cell r="K27">
            <v>370023</v>
          </cell>
          <cell r="L27">
            <v>44012</v>
          </cell>
          <cell r="M27">
            <v>0.80940000000000001</v>
          </cell>
          <cell r="N27">
            <v>0.80940000000000001</v>
          </cell>
          <cell r="O27">
            <v>0.80940000000000001</v>
          </cell>
          <cell r="P27">
            <v>2732</v>
          </cell>
          <cell r="Q27">
            <v>20512587.060000002</v>
          </cell>
          <cell r="R27">
            <v>3367409.5999999996</v>
          </cell>
          <cell r="S27">
            <v>178675.32000000021</v>
          </cell>
          <cell r="T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297653</v>
          </cell>
          <cell r="AA27">
            <v>1744557</v>
          </cell>
          <cell r="AB27">
            <v>0</v>
          </cell>
          <cell r="AC27">
            <v>13166989</v>
          </cell>
          <cell r="AD27">
            <v>886153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110264</v>
          </cell>
          <cell r="AJ27">
            <v>13310390</v>
          </cell>
          <cell r="AK27">
            <v>3254303.9586224747</v>
          </cell>
          <cell r="AL27">
            <v>5435.5834107960009</v>
          </cell>
          <cell r="AM27">
            <v>938.5975999999971</v>
          </cell>
          <cell r="AN27">
            <v>0.87230260223048062</v>
          </cell>
          <cell r="AO27">
            <v>2098.1972653916664</v>
          </cell>
          <cell r="AP27">
            <v>6839.6708192698497</v>
          </cell>
          <cell r="AQ27">
            <v>1551</v>
          </cell>
          <cell r="AR27">
            <v>1076</v>
          </cell>
          <cell r="AS27">
            <v>7359485.8015343584</v>
          </cell>
          <cell r="AT27">
            <v>3546084.92</v>
          </cell>
          <cell r="AV27">
            <v>3813400.8815343585</v>
          </cell>
          <cell r="AW27">
            <v>3813400.8815343585</v>
          </cell>
          <cell r="AY27">
            <v>0</v>
          </cell>
        </row>
        <row r="28">
          <cell r="A28" t="str">
            <v>100699410A</v>
          </cell>
          <cell r="B28" t="str">
            <v>100699410G</v>
          </cell>
          <cell r="C28" t="str">
            <v>100699410F</v>
          </cell>
          <cell r="E28" t="str">
            <v>010</v>
          </cell>
          <cell r="F28" t="str">
            <v>GREAT PLAINS REGIONAL MEDICAL CENTER</v>
          </cell>
          <cell r="G28" t="str">
            <v>ELK CITY,OK 73644-5113</v>
          </cell>
          <cell r="H28" t="str">
            <v>73644</v>
          </cell>
          <cell r="I28" t="str">
            <v>Private</v>
          </cell>
          <cell r="J28" t="str">
            <v>Yes</v>
          </cell>
          <cell r="K28">
            <v>370019</v>
          </cell>
          <cell r="L28">
            <v>44012</v>
          </cell>
          <cell r="M28">
            <v>0.80940000000000001</v>
          </cell>
          <cell r="N28">
            <v>0.80940000000000001</v>
          </cell>
          <cell r="O28">
            <v>0.80940000000000001</v>
          </cell>
          <cell r="P28">
            <v>1653</v>
          </cell>
          <cell r="Q28">
            <v>11218867</v>
          </cell>
          <cell r="R28">
            <v>2071637.19</v>
          </cell>
          <cell r="S28">
            <v>151638.22000000009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4793301</v>
          </cell>
          <cell r="AD28">
            <v>386464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49067</v>
          </cell>
          <cell r="AJ28">
            <v>4445782</v>
          </cell>
          <cell r="AK28">
            <v>838629.65569624992</v>
          </cell>
          <cell r="AL28">
            <v>5435.5834107960009</v>
          </cell>
          <cell r="AM28">
            <v>661.146199999999</v>
          </cell>
          <cell r="AN28">
            <v>1.1168010135135118</v>
          </cell>
          <cell r="AO28">
            <v>1481.6778369191695</v>
          </cell>
          <cell r="AP28">
            <v>7552.1428991333751</v>
          </cell>
          <cell r="AQ28">
            <v>566</v>
          </cell>
          <cell r="AR28">
            <v>592</v>
          </cell>
          <cell r="AS28">
            <v>4470868.5962869581</v>
          </cell>
          <cell r="AT28">
            <v>2223275.41</v>
          </cell>
          <cell r="AV28">
            <v>2247593.1862869579</v>
          </cell>
          <cell r="AW28">
            <v>2247593.1862869579</v>
          </cell>
          <cell r="AY28">
            <v>0</v>
          </cell>
        </row>
        <row r="29">
          <cell r="A29" t="str">
            <v>200045700C</v>
          </cell>
          <cell r="E29" t="str">
            <v>010</v>
          </cell>
          <cell r="F29" t="str">
            <v>HENRYETTA MEDICAL CENTER</v>
          </cell>
          <cell r="G29" t="str">
            <v>HENRYETTA,OK 74437-6908</v>
          </cell>
          <cell r="H29" t="str">
            <v>74437</v>
          </cell>
          <cell r="I29" t="str">
            <v>Private</v>
          </cell>
          <cell r="J29" t="str">
            <v>Yes</v>
          </cell>
          <cell r="K29">
            <v>370183</v>
          </cell>
          <cell r="L29">
            <v>44165</v>
          </cell>
          <cell r="M29">
            <v>0.84219999999999995</v>
          </cell>
          <cell r="N29">
            <v>0.84219999999999995</v>
          </cell>
          <cell r="O29">
            <v>0.84219999999999995</v>
          </cell>
          <cell r="P29">
            <v>757</v>
          </cell>
          <cell r="Q29">
            <v>2597002.64</v>
          </cell>
          <cell r="R29">
            <v>520130.56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28450</v>
          </cell>
          <cell r="AA29">
            <v>188642</v>
          </cell>
          <cell r="AB29">
            <v>0</v>
          </cell>
          <cell r="AC29">
            <v>0</v>
          </cell>
          <cell r="AD29">
            <v>72132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30969</v>
          </cell>
          <cell r="AJ29">
            <v>1165430</v>
          </cell>
          <cell r="AK29">
            <v>339950.42501433741</v>
          </cell>
          <cell r="AL29">
            <v>5560.934329148</v>
          </cell>
          <cell r="AM29">
            <v>170.36270000000002</v>
          </cell>
          <cell r="AN29">
            <v>0.88730572916666672</v>
          </cell>
          <cell r="AO29">
            <v>1909.8338483951541</v>
          </cell>
          <cell r="AP29">
            <v>6844.0827381677682</v>
          </cell>
          <cell r="AQ29">
            <v>178</v>
          </cell>
          <cell r="AR29">
            <v>192</v>
          </cell>
          <cell r="AS29">
            <v>1314063.8857282116</v>
          </cell>
          <cell r="AT29">
            <v>520130.56</v>
          </cell>
          <cell r="AV29">
            <v>793933.32572821155</v>
          </cell>
          <cell r="AW29">
            <v>793933.32572821155</v>
          </cell>
          <cell r="AY29">
            <v>0</v>
          </cell>
        </row>
        <row r="30">
          <cell r="A30" t="str">
            <v>200435950A</v>
          </cell>
          <cell r="E30" t="str">
            <v>010</v>
          </cell>
          <cell r="F30" t="str">
            <v>HILLCREST HOSPITAL CLAREMORE</v>
          </cell>
          <cell r="G30" t="str">
            <v>CLAREMORE,OK 74017-3058</v>
          </cell>
          <cell r="H30" t="str">
            <v>74017</v>
          </cell>
          <cell r="I30" t="str">
            <v>Private</v>
          </cell>
          <cell r="J30" t="str">
            <v>Yes</v>
          </cell>
          <cell r="K30">
            <v>370039</v>
          </cell>
          <cell r="L30">
            <v>44135</v>
          </cell>
          <cell r="M30">
            <v>0.84219999999999995</v>
          </cell>
          <cell r="N30">
            <v>0.84219999999999995</v>
          </cell>
          <cell r="O30">
            <v>0.84219999999999995</v>
          </cell>
          <cell r="P30">
            <v>2539</v>
          </cell>
          <cell r="Q30">
            <v>27328040.18</v>
          </cell>
          <cell r="R30">
            <v>3319957.8100000005</v>
          </cell>
          <cell r="S30">
            <v>160575.50000000009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142350</v>
          </cell>
          <cell r="AA30">
            <v>557920</v>
          </cell>
          <cell r="AB30">
            <v>0</v>
          </cell>
          <cell r="AC30">
            <v>0</v>
          </cell>
          <cell r="AD30">
            <v>444333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107147</v>
          </cell>
          <cell r="AJ30">
            <v>6411388</v>
          </cell>
          <cell r="AK30">
            <v>1331310.5728312498</v>
          </cell>
          <cell r="AL30">
            <v>5560.934329148</v>
          </cell>
          <cell r="AM30">
            <v>1084.0512999999964</v>
          </cell>
          <cell r="AN30">
            <v>0.84625394223262795</v>
          </cell>
          <cell r="AO30">
            <v>1615.6681709117108</v>
          </cell>
          <cell r="AP30">
            <v>6321.6307694499601</v>
          </cell>
          <cell r="AQ30">
            <v>824</v>
          </cell>
          <cell r="AR30">
            <v>1281</v>
          </cell>
          <cell r="AS30">
            <v>8098009.0156653989</v>
          </cell>
          <cell r="AT30">
            <v>3480533.3100000005</v>
          </cell>
          <cell r="AV30">
            <v>4617475.7056653984</v>
          </cell>
          <cell r="AW30">
            <v>4617475.7056653984</v>
          </cell>
          <cell r="AY30">
            <v>0</v>
          </cell>
        </row>
        <row r="31">
          <cell r="A31" t="str">
            <v>200044190A</v>
          </cell>
          <cell r="E31" t="str">
            <v>010</v>
          </cell>
          <cell r="F31" t="str">
            <v>HILLCREST HOSPITAL CUSHING</v>
          </cell>
          <cell r="G31" t="str">
            <v>CUSHING,OK 74023-</v>
          </cell>
          <cell r="H31" t="str">
            <v>74023</v>
          </cell>
          <cell r="I31" t="str">
            <v>Private</v>
          </cell>
          <cell r="J31" t="str">
            <v>Yes</v>
          </cell>
          <cell r="K31">
            <v>370099</v>
          </cell>
          <cell r="L31">
            <v>44165</v>
          </cell>
          <cell r="M31">
            <v>0.86890000000000001</v>
          </cell>
          <cell r="N31">
            <v>0.86890000000000001</v>
          </cell>
          <cell r="O31">
            <v>0.86890000000000001</v>
          </cell>
          <cell r="P31">
            <v>520</v>
          </cell>
          <cell r="Q31">
            <v>3120255.13</v>
          </cell>
          <cell r="R31">
            <v>496914.89</v>
          </cell>
          <cell r="S31">
            <v>25015.440000000002</v>
          </cell>
          <cell r="T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30755</v>
          </cell>
          <cell r="AA31">
            <v>402379</v>
          </cell>
          <cell r="AB31">
            <v>0</v>
          </cell>
          <cell r="AC31">
            <v>1504712</v>
          </cell>
          <cell r="AD31">
            <v>119651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80455</v>
          </cell>
          <cell r="AJ31">
            <v>1976660</v>
          </cell>
          <cell r="AK31">
            <v>672313.90797449986</v>
          </cell>
          <cell r="AL31">
            <v>5662.9730340260003</v>
          </cell>
          <cell r="AM31">
            <v>154.16729999999998</v>
          </cell>
          <cell r="AN31">
            <v>0.97574240506329102</v>
          </cell>
          <cell r="AO31">
            <v>2286.7819999132648</v>
          </cell>
          <cell r="AP31">
            <v>7812.3849279423557</v>
          </cell>
          <cell r="AQ31">
            <v>294</v>
          </cell>
          <cell r="AR31">
            <v>158</v>
          </cell>
          <cell r="AS31">
            <v>1234356.8186148922</v>
          </cell>
          <cell r="AT31">
            <v>521930.33</v>
          </cell>
          <cell r="AV31">
            <v>712426.48861489212</v>
          </cell>
          <cell r="AW31">
            <v>712426.48861489212</v>
          </cell>
          <cell r="AY31">
            <v>0</v>
          </cell>
        </row>
        <row r="32">
          <cell r="A32" t="str">
            <v>200735850A</v>
          </cell>
          <cell r="E32" t="str">
            <v>010</v>
          </cell>
          <cell r="F32" t="str">
            <v>HILLCREST HOSPITAL PRYOR</v>
          </cell>
          <cell r="G32" t="str">
            <v>PRYOR,OK 74361-</v>
          </cell>
          <cell r="H32" t="str">
            <v>74361</v>
          </cell>
          <cell r="I32" t="str">
            <v>Private</v>
          </cell>
          <cell r="J32" t="str">
            <v>Yes</v>
          </cell>
          <cell r="K32">
            <v>370015</v>
          </cell>
          <cell r="L32">
            <v>44286</v>
          </cell>
          <cell r="M32">
            <v>0.80940000000000001</v>
          </cell>
          <cell r="N32">
            <v>0.80940000000000001</v>
          </cell>
          <cell r="O32">
            <v>0.80940000000000001</v>
          </cell>
          <cell r="P32">
            <v>349</v>
          </cell>
          <cell r="Q32">
            <v>2259085.33</v>
          </cell>
          <cell r="R32">
            <v>360167.79000000004</v>
          </cell>
          <cell r="S32">
            <v>325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2199579</v>
          </cell>
          <cell r="AD32">
            <v>146416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27862</v>
          </cell>
          <cell r="AJ32">
            <v>1987004</v>
          </cell>
          <cell r="AK32">
            <v>407506.11453750008</v>
          </cell>
          <cell r="AL32">
            <v>5435.5834107960009</v>
          </cell>
          <cell r="AM32">
            <v>100.56299999999999</v>
          </cell>
          <cell r="AN32">
            <v>1.1830941176470586</v>
          </cell>
          <cell r="AO32">
            <v>1498.1842446231622</v>
          </cell>
          <cell r="AP32">
            <v>7928.9910039158458</v>
          </cell>
          <cell r="AQ32">
            <v>272</v>
          </cell>
          <cell r="AR32">
            <v>85</v>
          </cell>
          <cell r="AS32">
            <v>673964.23533284687</v>
          </cell>
          <cell r="AT32">
            <v>360492.79000000004</v>
          </cell>
          <cell r="AV32">
            <v>313471.44533284684</v>
          </cell>
          <cell r="AW32">
            <v>313471.44533284684</v>
          </cell>
          <cell r="AY32">
            <v>0</v>
          </cell>
        </row>
        <row r="33">
          <cell r="A33" t="str">
            <v>200044210A</v>
          </cell>
          <cell r="B33" t="str">
            <v>200044210B</v>
          </cell>
          <cell r="E33" t="str">
            <v>010</v>
          </cell>
          <cell r="F33" t="str">
            <v>HILLCREST MEDICAL CENTER</v>
          </cell>
          <cell r="G33" t="str">
            <v>TULSA,OK 74104-4012</v>
          </cell>
          <cell r="H33" t="str">
            <v>74104</v>
          </cell>
          <cell r="I33" t="str">
            <v>Private</v>
          </cell>
          <cell r="J33" t="str">
            <v>Yes</v>
          </cell>
          <cell r="K33">
            <v>370001</v>
          </cell>
          <cell r="L33">
            <v>44012</v>
          </cell>
          <cell r="M33">
            <v>0.86890000000000001</v>
          </cell>
          <cell r="N33">
            <v>0.86890000000000001</v>
          </cell>
          <cell r="O33">
            <v>0.86890000000000001</v>
          </cell>
          <cell r="P33">
            <v>42705</v>
          </cell>
          <cell r="Q33">
            <v>551426947</v>
          </cell>
          <cell r="R33">
            <v>51708937.219999999</v>
          </cell>
          <cell r="S33">
            <v>885432.10999999894</v>
          </cell>
          <cell r="T33">
            <v>455153</v>
          </cell>
          <cell r="U33">
            <v>0</v>
          </cell>
          <cell r="V33">
            <v>369015.51</v>
          </cell>
          <cell r="X33">
            <v>0</v>
          </cell>
          <cell r="Y33">
            <v>4475513</v>
          </cell>
          <cell r="Z33">
            <v>3220091</v>
          </cell>
          <cell r="AA33">
            <v>7858362</v>
          </cell>
          <cell r="AB33">
            <v>0</v>
          </cell>
          <cell r="AC33">
            <v>0</v>
          </cell>
          <cell r="AD33">
            <v>6912856</v>
          </cell>
          <cell r="AE33">
            <v>1934950</v>
          </cell>
          <cell r="AF33">
            <v>0</v>
          </cell>
          <cell r="AG33">
            <v>156831</v>
          </cell>
          <cell r="AH33">
            <v>1146</v>
          </cell>
          <cell r="AI33">
            <v>1266832</v>
          </cell>
          <cell r="AJ33">
            <v>90946946</v>
          </cell>
          <cell r="AK33">
            <v>27659711.04251492</v>
          </cell>
          <cell r="AL33">
            <v>5662.9730340260003</v>
          </cell>
          <cell r="AM33">
            <v>12270.967599999949</v>
          </cell>
          <cell r="AN33">
            <v>1.5268094562647692</v>
          </cell>
          <cell r="AO33">
            <v>4398.8090080335433</v>
          </cell>
          <cell r="AP33">
            <v>13045.089786956833</v>
          </cell>
          <cell r="AQ33">
            <v>6288</v>
          </cell>
          <cell r="AR33">
            <v>8037</v>
          </cell>
          <cell r="AS33">
            <v>104843386.61777206</v>
          </cell>
          <cell r="AT33">
            <v>53418537.839999996</v>
          </cell>
          <cell r="AV33">
            <v>51424848.777772062</v>
          </cell>
          <cell r="AW33">
            <v>51424848.777772062</v>
          </cell>
          <cell r="AY33">
            <v>0</v>
          </cell>
        </row>
        <row r="34">
          <cell r="A34" t="str">
            <v>100806400C</v>
          </cell>
          <cell r="B34" t="str">
            <v>100690810A</v>
          </cell>
          <cell r="C34" t="str">
            <v>100699740B</v>
          </cell>
          <cell r="D34" t="str">
            <v>100806400X</v>
          </cell>
          <cell r="E34" t="str">
            <v>010</v>
          </cell>
          <cell r="F34" t="str">
            <v>INTEGRIS BAPTIST MEDICAL C</v>
          </cell>
          <cell r="G34" t="str">
            <v>OKLAHOMA CITY,OK 73112-</v>
          </cell>
          <cell r="H34" t="str">
            <v>73112</v>
          </cell>
          <cell r="I34" t="str">
            <v>Private</v>
          </cell>
          <cell r="J34" t="str">
            <v>Yes</v>
          </cell>
          <cell r="K34">
            <v>370028</v>
          </cell>
          <cell r="L34">
            <v>44012</v>
          </cell>
          <cell r="M34">
            <v>0.88280000000000003</v>
          </cell>
          <cell r="N34">
            <v>0.88280000000000003</v>
          </cell>
          <cell r="O34">
            <v>0.88280000000000003</v>
          </cell>
          <cell r="P34">
            <v>40605</v>
          </cell>
          <cell r="Q34">
            <v>559323168.90999997</v>
          </cell>
          <cell r="R34">
            <v>56011612.169999994</v>
          </cell>
          <cell r="S34">
            <v>1979933.6999999962</v>
          </cell>
          <cell r="T34">
            <v>542165</v>
          </cell>
          <cell r="U34">
            <v>0</v>
          </cell>
          <cell r="V34">
            <v>143465.22</v>
          </cell>
          <cell r="X34">
            <v>0</v>
          </cell>
          <cell r="Y34">
            <v>3479009</v>
          </cell>
          <cell r="Z34">
            <v>5332730</v>
          </cell>
          <cell r="AA34">
            <v>10899459</v>
          </cell>
          <cell r="AB34">
            <v>0</v>
          </cell>
          <cell r="AC34">
            <v>0</v>
          </cell>
          <cell r="AD34">
            <v>9863448</v>
          </cell>
          <cell r="AE34">
            <v>960399</v>
          </cell>
          <cell r="AF34">
            <v>10495358</v>
          </cell>
          <cell r="AG34">
            <v>0</v>
          </cell>
          <cell r="AH34">
            <v>31796</v>
          </cell>
          <cell r="AI34">
            <v>548514</v>
          </cell>
          <cell r="AJ34">
            <v>138776034</v>
          </cell>
          <cell r="AK34">
            <v>44564175.871867016</v>
          </cell>
          <cell r="AL34">
            <v>5716.0943073520002</v>
          </cell>
          <cell r="AM34">
            <v>11756.136199999914</v>
          </cell>
          <cell r="AN34">
            <v>1.494360772848597</v>
          </cell>
          <cell r="AO34">
            <v>4897.7003925559966</v>
          </cell>
          <cell r="AP34">
            <v>13439.607499365997</v>
          </cell>
          <cell r="AQ34">
            <v>9099</v>
          </cell>
          <cell r="AR34">
            <v>7867</v>
          </cell>
          <cell r="AS34">
            <v>105729392.1975123</v>
          </cell>
          <cell r="AT34">
            <v>58677176.089999989</v>
          </cell>
          <cell r="AV34">
            <v>46536052.957512312</v>
          </cell>
          <cell r="AW34">
            <v>46536052.957512312</v>
          </cell>
          <cell r="AY34">
            <v>516163.15</v>
          </cell>
        </row>
        <row r="35">
          <cell r="A35" t="str">
            <v>100699500A</v>
          </cell>
          <cell r="B35" t="str">
            <v>200285100D</v>
          </cell>
          <cell r="E35" t="str">
            <v>010</v>
          </cell>
          <cell r="F35" t="str">
            <v>INTEGRIS BASS MEM BAP</v>
          </cell>
          <cell r="G35" t="str">
            <v>ENID,OK 73701-</v>
          </cell>
          <cell r="H35" t="str">
            <v>73701</v>
          </cell>
          <cell r="I35" t="str">
            <v>Private</v>
          </cell>
          <cell r="J35" t="str">
            <v>Yes</v>
          </cell>
          <cell r="K35">
            <v>370016</v>
          </cell>
          <cell r="L35">
            <v>44012</v>
          </cell>
          <cell r="M35">
            <v>0.86450000000000005</v>
          </cell>
          <cell r="N35">
            <v>0.86450000000000005</v>
          </cell>
          <cell r="O35">
            <v>0.86450000000000005</v>
          </cell>
          <cell r="P35">
            <v>3781</v>
          </cell>
          <cell r="Q35">
            <v>32180768.600000001</v>
          </cell>
          <cell r="R35">
            <v>3674135.79</v>
          </cell>
          <cell r="S35">
            <v>244049.71000000022</v>
          </cell>
          <cell r="T35">
            <v>1619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818623</v>
          </cell>
          <cell r="AA35">
            <v>1958702</v>
          </cell>
          <cell r="AB35">
            <v>0</v>
          </cell>
          <cell r="AC35">
            <v>0</v>
          </cell>
          <cell r="AD35">
            <v>773171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58859</v>
          </cell>
          <cell r="AJ35">
            <v>11361431</v>
          </cell>
          <cell r="AK35">
            <v>3865541.3331658742</v>
          </cell>
          <cell r="AL35">
            <v>5646.1576669300002</v>
          </cell>
          <cell r="AM35">
            <v>1245.3218000000011</v>
          </cell>
          <cell r="AN35">
            <v>0.89270379928315491</v>
          </cell>
          <cell r="AO35">
            <v>3660.5505048919263</v>
          </cell>
          <cell r="AP35">
            <v>8700.8969055120506</v>
          </cell>
          <cell r="AQ35">
            <v>1056</v>
          </cell>
          <cell r="AR35">
            <v>1395</v>
          </cell>
          <cell r="AS35">
            <v>12137751.18318931</v>
          </cell>
          <cell r="AT35">
            <v>3919804.5000000005</v>
          </cell>
          <cell r="AV35">
            <v>8217946.6831893101</v>
          </cell>
          <cell r="AW35">
            <v>8217946.6831893101</v>
          </cell>
          <cell r="AY35">
            <v>0</v>
          </cell>
        </row>
        <row r="36">
          <cell r="A36" t="str">
            <v>100700610A</v>
          </cell>
          <cell r="E36" t="str">
            <v>010</v>
          </cell>
          <cell r="F36" t="str">
            <v>INTEGRIS CANADIAN VALLEY HOSPITAL</v>
          </cell>
          <cell r="G36" t="str">
            <v>YUKON,OK 73099-</v>
          </cell>
          <cell r="H36" t="str">
            <v>73099</v>
          </cell>
          <cell r="I36" t="str">
            <v>Private</v>
          </cell>
          <cell r="J36" t="str">
            <v>Yes</v>
          </cell>
          <cell r="K36">
            <v>370211</v>
          </cell>
          <cell r="L36">
            <v>44012</v>
          </cell>
          <cell r="M36">
            <v>0.88280000000000003</v>
          </cell>
          <cell r="N36">
            <v>0.88280000000000003</v>
          </cell>
          <cell r="O36">
            <v>0.88280000000000003</v>
          </cell>
          <cell r="P36">
            <v>4425</v>
          </cell>
          <cell r="Q36">
            <v>40933120.519999996</v>
          </cell>
          <cell r="R36">
            <v>4869058.76</v>
          </cell>
          <cell r="S36">
            <v>286578.68000000017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209653</v>
          </cell>
          <cell r="AA36">
            <v>1080410</v>
          </cell>
          <cell r="AB36">
            <v>0</v>
          </cell>
          <cell r="AC36">
            <v>0</v>
          </cell>
          <cell r="AD36">
            <v>632494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44146</v>
          </cell>
          <cell r="AJ36">
            <v>9032380</v>
          </cell>
          <cell r="AK36">
            <v>2106296.4813827747</v>
          </cell>
          <cell r="AL36">
            <v>5716.0943073520002</v>
          </cell>
          <cell r="AM36">
            <v>1454.7805000000028</v>
          </cell>
          <cell r="AN36">
            <v>0.92191413181242254</v>
          </cell>
          <cell r="AO36">
            <v>2171.4396715286339</v>
          </cell>
          <cell r="AP36">
            <v>7441.1877922489839</v>
          </cell>
          <cell r="AQ36">
            <v>970</v>
          </cell>
          <cell r="AR36">
            <v>1578</v>
          </cell>
          <cell r="AS36">
            <v>11742194.336168896</v>
          </cell>
          <cell r="AT36">
            <v>5155637.4399999995</v>
          </cell>
          <cell r="AV36">
            <v>6586556.8961688969</v>
          </cell>
          <cell r="AW36">
            <v>6586556.8961688969</v>
          </cell>
          <cell r="AY36">
            <v>0</v>
          </cell>
        </row>
        <row r="37">
          <cell r="A37" t="str">
            <v>200834400A</v>
          </cell>
          <cell r="B37" t="str">
            <v>200834400B</v>
          </cell>
          <cell r="C37" t="str">
            <v>200834400D</v>
          </cell>
          <cell r="E37" t="str">
            <v>010</v>
          </cell>
          <cell r="F37" t="str">
            <v>INTEGRIS COMMUNITY HOSPITAL COUNCIL CROSSING</v>
          </cell>
          <cell r="G37" t="str">
            <v>OKLAHOMA CITY,OK 73162-</v>
          </cell>
          <cell r="H37" t="str">
            <v>73162</v>
          </cell>
          <cell r="I37" t="str">
            <v>Private</v>
          </cell>
          <cell r="J37" t="str">
            <v>Yes</v>
          </cell>
          <cell r="K37">
            <v>370240</v>
          </cell>
          <cell r="L37">
            <v>44196</v>
          </cell>
          <cell r="M37">
            <v>0.88280000000000003</v>
          </cell>
          <cell r="N37">
            <v>0.88280000000000003</v>
          </cell>
          <cell r="O37">
            <v>0.88280000000000003</v>
          </cell>
          <cell r="P37">
            <v>46</v>
          </cell>
          <cell r="Q37">
            <v>210397.44</v>
          </cell>
          <cell r="R37">
            <v>33196.269999999997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61166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813622</v>
          </cell>
          <cell r="AK37">
            <v>64826.785100000001</v>
          </cell>
          <cell r="AL37">
            <v>5716.0943073520002</v>
          </cell>
          <cell r="AM37">
            <v>7.8315999999999999</v>
          </cell>
          <cell r="AN37">
            <v>1.1188</v>
          </cell>
          <cell r="AO37">
            <v>476.66753749999998</v>
          </cell>
          <cell r="AP37">
            <v>6871.8338485654185</v>
          </cell>
          <cell r="AQ37">
            <v>136</v>
          </cell>
          <cell r="AR37">
            <v>7</v>
          </cell>
          <cell r="AS37">
            <v>48102.836939957931</v>
          </cell>
          <cell r="AT37">
            <v>33196.269999999997</v>
          </cell>
          <cell r="AV37">
            <v>14906.566939957935</v>
          </cell>
          <cell r="AW37">
            <v>14906.566939957935</v>
          </cell>
          <cell r="AY37">
            <v>0</v>
          </cell>
        </row>
        <row r="38">
          <cell r="A38" t="str">
            <v>100699700A</v>
          </cell>
          <cell r="E38" t="str">
            <v>010</v>
          </cell>
          <cell r="F38" t="str">
            <v>INTEGRIS GROVE HOSPITAL</v>
          </cell>
          <cell r="G38" t="str">
            <v>GROVE,OK 74344-5304</v>
          </cell>
          <cell r="H38" t="str">
            <v>74344</v>
          </cell>
          <cell r="I38" t="str">
            <v>Private</v>
          </cell>
          <cell r="J38" t="str">
            <v>Yes</v>
          </cell>
          <cell r="K38">
            <v>370113</v>
          </cell>
          <cell r="L38">
            <v>44012</v>
          </cell>
          <cell r="M38">
            <v>0.83020000000000005</v>
          </cell>
          <cell r="N38">
            <v>0.83020000000000005</v>
          </cell>
          <cell r="O38">
            <v>0.83020000000000005</v>
          </cell>
          <cell r="P38">
            <v>1750</v>
          </cell>
          <cell r="Q38">
            <v>16768444.050000001</v>
          </cell>
          <cell r="R38">
            <v>2288245.1799999997</v>
          </cell>
          <cell r="S38">
            <v>80781.36000000003</v>
          </cell>
          <cell r="T38">
            <v>0</v>
          </cell>
          <cell r="U38">
            <v>0</v>
          </cell>
          <cell r="V38">
            <v>4450.97</v>
          </cell>
          <cell r="X38">
            <v>0</v>
          </cell>
          <cell r="Y38">
            <v>0</v>
          </cell>
          <cell r="Z38">
            <v>147089</v>
          </cell>
          <cell r="AA38">
            <v>1036599</v>
          </cell>
          <cell r="AB38">
            <v>0</v>
          </cell>
          <cell r="AC38">
            <v>5137107</v>
          </cell>
          <cell r="AD38">
            <v>431255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38795</v>
          </cell>
          <cell r="AJ38">
            <v>6398648</v>
          </cell>
          <cell r="AK38">
            <v>1771117.7186026496</v>
          </cell>
          <cell r="AL38">
            <v>5515.0742370680009</v>
          </cell>
          <cell r="AM38">
            <v>713.23269999999809</v>
          </cell>
          <cell r="AN38">
            <v>1.0247596264367789</v>
          </cell>
          <cell r="AO38">
            <v>2393.402322436013</v>
          </cell>
          <cell r="AP38">
            <v>8045.0277373849203</v>
          </cell>
          <cell r="AQ38">
            <v>740</v>
          </cell>
          <cell r="AR38">
            <v>696</v>
          </cell>
          <cell r="AS38">
            <v>5599339.3052199045</v>
          </cell>
          <cell r="AT38">
            <v>2373477.5099999998</v>
          </cell>
          <cell r="AV38">
            <v>3225861.7952199047</v>
          </cell>
          <cell r="AW38">
            <v>3225861.7952199047</v>
          </cell>
          <cell r="AY38">
            <v>0</v>
          </cell>
        </row>
        <row r="39">
          <cell r="A39" t="str">
            <v>200405550A</v>
          </cell>
          <cell r="E39" t="str">
            <v>010</v>
          </cell>
          <cell r="F39" t="str">
            <v>INTEGRIS HEALTH EDMOND, INC.</v>
          </cell>
          <cell r="G39" t="str">
            <v>EDMOND,OK 73034-8864</v>
          </cell>
          <cell r="H39" t="str">
            <v>73034</v>
          </cell>
          <cell r="I39" t="str">
            <v>Private</v>
          </cell>
          <cell r="J39" t="str">
            <v>Yes</v>
          </cell>
          <cell r="K39">
            <v>370236</v>
          </cell>
          <cell r="L39">
            <v>44012</v>
          </cell>
          <cell r="M39">
            <v>0.88280000000000003</v>
          </cell>
          <cell r="N39">
            <v>0.88280000000000003</v>
          </cell>
          <cell r="O39">
            <v>0.88280000000000003</v>
          </cell>
          <cell r="P39">
            <v>3008</v>
          </cell>
          <cell r="Q39">
            <v>27142770.200000003</v>
          </cell>
          <cell r="R39">
            <v>3058716.92</v>
          </cell>
          <cell r="S39">
            <v>182411.71000000008</v>
          </cell>
          <cell r="T39">
            <v>0</v>
          </cell>
          <cell r="U39">
            <v>0</v>
          </cell>
          <cell r="V39">
            <v>1647.82</v>
          </cell>
          <cell r="X39">
            <v>0</v>
          </cell>
          <cell r="Y39">
            <v>0</v>
          </cell>
          <cell r="Z39">
            <v>76389</v>
          </cell>
          <cell r="AA39">
            <v>1024106</v>
          </cell>
          <cell r="AB39">
            <v>0</v>
          </cell>
          <cell r="AC39">
            <v>0</v>
          </cell>
          <cell r="AD39">
            <v>570807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31353</v>
          </cell>
          <cell r="AJ39">
            <v>8036056</v>
          </cell>
          <cell r="AK39">
            <v>1823506.7702183747</v>
          </cell>
          <cell r="AL39">
            <v>5716.0943073520002</v>
          </cell>
          <cell r="AM39">
            <v>882.05789999999729</v>
          </cell>
          <cell r="AN39">
            <v>0.98553955307262264</v>
          </cell>
          <cell r="AO39">
            <v>2067.4679934448691</v>
          </cell>
          <cell r="AP39">
            <v>7700.9050224335224</v>
          </cell>
          <cell r="AQ39">
            <v>882</v>
          </cell>
          <cell r="AR39">
            <v>895</v>
          </cell>
          <cell r="AS39">
            <v>6892309.9950780021</v>
          </cell>
          <cell r="AT39">
            <v>3242776.4499999997</v>
          </cell>
          <cell r="AV39">
            <v>3649533.5450780024</v>
          </cell>
          <cell r="AW39">
            <v>3649533.5450780024</v>
          </cell>
          <cell r="AY39">
            <v>0</v>
          </cell>
        </row>
        <row r="40">
          <cell r="A40" t="str">
            <v>100699440A</v>
          </cell>
          <cell r="E40" t="str">
            <v>010</v>
          </cell>
          <cell r="F40" t="str">
            <v>INTEGRIS MIAMI HOSPITAL</v>
          </cell>
          <cell r="G40" t="str">
            <v>MIAMI,OK 74354-</v>
          </cell>
          <cell r="H40" t="str">
            <v>74354</v>
          </cell>
          <cell r="I40" t="str">
            <v>Private</v>
          </cell>
          <cell r="J40" t="str">
            <v>Yes</v>
          </cell>
          <cell r="K40">
            <v>370004</v>
          </cell>
          <cell r="L40">
            <v>44012</v>
          </cell>
          <cell r="M40">
            <v>0.81759999999999999</v>
          </cell>
          <cell r="N40">
            <v>0.81759999999999999</v>
          </cell>
          <cell r="O40">
            <v>0.81759999999999999</v>
          </cell>
          <cell r="P40">
            <v>1528</v>
          </cell>
          <cell r="Q40">
            <v>14236132.93</v>
          </cell>
          <cell r="R40">
            <v>1933653.5899999999</v>
          </cell>
          <cell r="S40">
            <v>143356.09000000003</v>
          </cell>
          <cell r="T40">
            <v>0</v>
          </cell>
          <cell r="U40">
            <v>0</v>
          </cell>
          <cell r="V40">
            <v>24407.23</v>
          </cell>
          <cell r="X40">
            <v>0</v>
          </cell>
          <cell r="Y40">
            <v>0</v>
          </cell>
          <cell r="Z40">
            <v>106187</v>
          </cell>
          <cell r="AA40">
            <v>1066956</v>
          </cell>
          <cell r="AB40">
            <v>0</v>
          </cell>
          <cell r="AC40">
            <v>3754506</v>
          </cell>
          <cell r="AD40">
            <v>285569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39646</v>
          </cell>
          <cell r="AJ40">
            <v>4747369</v>
          </cell>
          <cell r="AK40">
            <v>1604709.0909261499</v>
          </cell>
          <cell r="AL40">
            <v>5466.921140384</v>
          </cell>
          <cell r="AM40">
            <v>575.85489999999913</v>
          </cell>
          <cell r="AN40">
            <v>1.0394492779783377</v>
          </cell>
          <cell r="AO40">
            <v>2865.5519480824105</v>
          </cell>
          <cell r="AP40">
            <v>8548.1391802190701</v>
          </cell>
          <cell r="AQ40">
            <v>560</v>
          </cell>
          <cell r="AR40">
            <v>554</v>
          </cell>
          <cell r="AS40">
            <v>4735669.1058413647</v>
          </cell>
          <cell r="AT40">
            <v>2101416.91</v>
          </cell>
          <cell r="AV40">
            <v>2634252.1958413646</v>
          </cell>
          <cell r="AW40">
            <v>2634252.1958413646</v>
          </cell>
          <cell r="AY40">
            <v>0</v>
          </cell>
        </row>
        <row r="41">
          <cell r="A41" t="str">
            <v>100700200A</v>
          </cell>
          <cell r="B41" t="str">
            <v>100700200R</v>
          </cell>
          <cell r="E41" t="str">
            <v>010</v>
          </cell>
          <cell r="F41" t="str">
            <v>INTEGRIS SOUTHWEST MEDICAL</v>
          </cell>
          <cell r="G41" t="str">
            <v>OKLAHOMA CITY,OK 73109-3413</v>
          </cell>
          <cell r="H41" t="str">
            <v>73109</v>
          </cell>
          <cell r="I41" t="str">
            <v>Private</v>
          </cell>
          <cell r="J41" t="str">
            <v>Yes</v>
          </cell>
          <cell r="K41">
            <v>370106</v>
          </cell>
          <cell r="L41">
            <v>44012</v>
          </cell>
          <cell r="M41">
            <v>0.88280000000000003</v>
          </cell>
          <cell r="N41">
            <v>0.88280000000000003</v>
          </cell>
          <cell r="O41">
            <v>0.88280000000000003</v>
          </cell>
          <cell r="P41">
            <v>19188</v>
          </cell>
          <cell r="Q41">
            <v>222707739.27000001</v>
          </cell>
          <cell r="R41">
            <v>21570502.939999998</v>
          </cell>
          <cell r="S41">
            <v>452148.73000000027</v>
          </cell>
          <cell r="T41">
            <v>62864</v>
          </cell>
          <cell r="U41">
            <v>0</v>
          </cell>
          <cell r="V41">
            <v>0</v>
          </cell>
          <cell r="X41">
            <v>0</v>
          </cell>
          <cell r="Y41">
            <v>2086914</v>
          </cell>
          <cell r="Z41">
            <v>1002466</v>
          </cell>
          <cell r="AA41">
            <v>7706533</v>
          </cell>
          <cell r="AB41">
            <v>0</v>
          </cell>
          <cell r="AC41">
            <v>0</v>
          </cell>
          <cell r="AD41">
            <v>2750287</v>
          </cell>
          <cell r="AE41">
            <v>987524</v>
          </cell>
          <cell r="AF41">
            <v>0</v>
          </cell>
          <cell r="AG41">
            <v>0</v>
          </cell>
          <cell r="AH41">
            <v>0</v>
          </cell>
          <cell r="AI41">
            <v>285410</v>
          </cell>
          <cell r="AJ41">
            <v>41736665</v>
          </cell>
          <cell r="AK41">
            <v>15870972.791183949</v>
          </cell>
          <cell r="AL41">
            <v>5716.0943073520002</v>
          </cell>
          <cell r="AM41">
            <v>4990.508699999993</v>
          </cell>
          <cell r="AN41">
            <v>1.298597111631536</v>
          </cell>
          <cell r="AO41">
            <v>5067.3604058697156</v>
          </cell>
          <cell r="AP41">
            <v>12490.263963210487</v>
          </cell>
          <cell r="AQ41">
            <v>3132</v>
          </cell>
          <cell r="AR41">
            <v>3843</v>
          </cell>
          <cell r="AS41">
            <v>48000084.410617903</v>
          </cell>
          <cell r="AT41">
            <v>22085515.669999998</v>
          </cell>
          <cell r="AV41">
            <v>25914568.740617905</v>
          </cell>
          <cell r="AW41">
            <v>25914568.740617905</v>
          </cell>
          <cell r="AY41">
            <v>0</v>
          </cell>
        </row>
        <row r="42">
          <cell r="A42" t="str">
            <v>100699490A</v>
          </cell>
          <cell r="B42" t="str">
            <v>100699490J</v>
          </cell>
          <cell r="C42" t="str">
            <v>100699490K</v>
          </cell>
          <cell r="E42" t="str">
            <v>010</v>
          </cell>
          <cell r="F42" t="str">
            <v>JANE PHILLIPS EP HSP</v>
          </cell>
          <cell r="G42" t="str">
            <v>BARTLESVILLE,OK 74006-</v>
          </cell>
          <cell r="H42" t="str">
            <v>74006</v>
          </cell>
          <cell r="I42" t="str">
            <v>Private</v>
          </cell>
          <cell r="J42" t="str">
            <v>Yes</v>
          </cell>
          <cell r="K42">
            <v>370018</v>
          </cell>
          <cell r="L42">
            <v>44012</v>
          </cell>
          <cell r="M42">
            <v>0.84219999999999995</v>
          </cell>
          <cell r="N42">
            <v>0.84219999999999995</v>
          </cell>
          <cell r="O42">
            <v>0.84219999999999995</v>
          </cell>
          <cell r="P42">
            <v>2569</v>
          </cell>
          <cell r="Q42">
            <v>16028463.699999999</v>
          </cell>
          <cell r="R42">
            <v>4532249.8599999994</v>
          </cell>
          <cell r="S42">
            <v>56800.669999999984</v>
          </cell>
          <cell r="T42">
            <v>0</v>
          </cell>
          <cell r="U42">
            <v>0</v>
          </cell>
          <cell r="V42">
            <v>0</v>
          </cell>
          <cell r="X42">
            <v>0</v>
          </cell>
          <cell r="Y42">
            <v>224233</v>
          </cell>
          <cell r="Z42">
            <v>172274</v>
          </cell>
          <cell r="AA42">
            <v>1766685</v>
          </cell>
          <cell r="AB42">
            <v>0</v>
          </cell>
          <cell r="AC42">
            <v>16679236</v>
          </cell>
          <cell r="AD42">
            <v>1202796</v>
          </cell>
          <cell r="AE42">
            <v>55346</v>
          </cell>
          <cell r="AF42">
            <v>0</v>
          </cell>
          <cell r="AG42">
            <v>0</v>
          </cell>
          <cell r="AH42">
            <v>0</v>
          </cell>
          <cell r="AI42">
            <v>344630</v>
          </cell>
          <cell r="AJ42">
            <v>17298343</v>
          </cell>
          <cell r="AK42">
            <v>4033266.1933266995</v>
          </cell>
          <cell r="AL42">
            <v>5560.934329148</v>
          </cell>
          <cell r="AM42">
            <v>1163.4483999999986</v>
          </cell>
          <cell r="AN42">
            <v>1.2469972132904594</v>
          </cell>
          <cell r="AO42">
            <v>2444.4037535313332</v>
          </cell>
          <cell r="AP42">
            <v>9378.8733652701394</v>
          </cell>
          <cell r="AQ42">
            <v>1650</v>
          </cell>
          <cell r="AR42">
            <v>933</v>
          </cell>
          <cell r="AS42">
            <v>8750488.8497970402</v>
          </cell>
          <cell r="AT42">
            <v>4589050.5299999993</v>
          </cell>
          <cell r="AV42">
            <v>4161438.3197970409</v>
          </cell>
          <cell r="AW42">
            <v>4161438.3197970409</v>
          </cell>
          <cell r="AY42">
            <v>0</v>
          </cell>
        </row>
        <row r="43">
          <cell r="A43" t="str">
            <v>100699420A</v>
          </cell>
          <cell r="E43" t="str">
            <v>010</v>
          </cell>
          <cell r="F43" t="str">
            <v>KAY COUNTY OKLAHOMA HOSPITAL</v>
          </cell>
          <cell r="G43" t="str">
            <v>PONCA CITY,OK 74601-</v>
          </cell>
          <cell r="H43" t="str">
            <v>74601</v>
          </cell>
          <cell r="I43" t="str">
            <v>Private</v>
          </cell>
          <cell r="J43" t="str">
            <v>Yes</v>
          </cell>
          <cell r="K43">
            <v>370006</v>
          </cell>
          <cell r="L43">
            <v>43982</v>
          </cell>
          <cell r="M43">
            <v>0.84219999999999995</v>
          </cell>
          <cell r="N43">
            <v>0.84219999999999995</v>
          </cell>
          <cell r="O43">
            <v>0.84219999999999995</v>
          </cell>
          <cell r="P43">
            <v>2170</v>
          </cell>
          <cell r="Q43">
            <v>25570643.18</v>
          </cell>
          <cell r="R43">
            <v>2650182.73</v>
          </cell>
          <cell r="S43">
            <v>149975.11000000007</v>
          </cell>
          <cell r="T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291321</v>
          </cell>
          <cell r="AA43">
            <v>579333</v>
          </cell>
          <cell r="AB43">
            <v>0</v>
          </cell>
          <cell r="AC43">
            <v>7118201</v>
          </cell>
          <cell r="AD43">
            <v>542514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105145</v>
          </cell>
          <cell r="AJ43">
            <v>7565030</v>
          </cell>
          <cell r="AK43">
            <v>1628896.5374548626</v>
          </cell>
          <cell r="AL43">
            <v>5560.934329148</v>
          </cell>
          <cell r="AM43">
            <v>903.83589999999811</v>
          </cell>
          <cell r="AN43">
            <v>1.0608402582159602</v>
          </cell>
          <cell r="AO43">
            <v>1991.3160604582672</v>
          </cell>
          <cell r="AP43">
            <v>7890.5790701136284</v>
          </cell>
          <cell r="AQ43">
            <v>818</v>
          </cell>
          <cell r="AR43">
            <v>852</v>
          </cell>
          <cell r="AS43">
            <v>6722773.3677368117</v>
          </cell>
          <cell r="AT43">
            <v>2800157.84</v>
          </cell>
          <cell r="AV43">
            <v>3922615.5277368119</v>
          </cell>
          <cell r="AW43">
            <v>3922615.5277368119</v>
          </cell>
          <cell r="AY43">
            <v>0</v>
          </cell>
        </row>
        <row r="44">
          <cell r="A44" t="str">
            <v>100700030A</v>
          </cell>
          <cell r="B44" t="str">
            <v>100700030I</v>
          </cell>
          <cell r="E44" t="str">
            <v>010</v>
          </cell>
          <cell r="F44" t="str">
            <v>MEMORIAL HOSPITAL</v>
          </cell>
          <cell r="G44" t="str">
            <v>STILWELL,OK 74960-</v>
          </cell>
          <cell r="H44" t="str">
            <v>74960</v>
          </cell>
          <cell r="I44" t="str">
            <v>Private</v>
          </cell>
          <cell r="J44" t="str">
            <v>Yes</v>
          </cell>
          <cell r="K44">
            <v>370178</v>
          </cell>
          <cell r="L44">
            <v>44012</v>
          </cell>
          <cell r="M44">
            <v>0.80940000000000001</v>
          </cell>
          <cell r="N44">
            <v>0.80940000000000001</v>
          </cell>
          <cell r="O44">
            <v>0.80940000000000001</v>
          </cell>
          <cell r="P44">
            <v>679</v>
          </cell>
          <cell r="Q44">
            <v>2093888.63</v>
          </cell>
          <cell r="R44">
            <v>741790.52999999991</v>
          </cell>
          <cell r="S44">
            <v>29187.03</v>
          </cell>
          <cell r="T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33496</v>
          </cell>
          <cell r="AA44">
            <v>158349</v>
          </cell>
          <cell r="AB44">
            <v>0</v>
          </cell>
          <cell r="AC44">
            <v>551840</v>
          </cell>
          <cell r="AD44">
            <v>203305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117452</v>
          </cell>
          <cell r="AJ44">
            <v>727164</v>
          </cell>
          <cell r="AK44">
            <v>548985.68261184997</v>
          </cell>
          <cell r="AL44">
            <v>5435.5834107960009</v>
          </cell>
          <cell r="AM44">
            <v>224.99780000000001</v>
          </cell>
          <cell r="AN44">
            <v>1.0613103773584907</v>
          </cell>
          <cell r="AO44">
            <v>1111.3070498215586</v>
          </cell>
          <cell r="AP44">
            <v>6880.1481306970136</v>
          </cell>
          <cell r="AQ44">
            <v>494</v>
          </cell>
          <cell r="AR44">
            <v>212</v>
          </cell>
          <cell r="AS44">
            <v>1458591.4037077669</v>
          </cell>
          <cell r="AT44">
            <v>770977.55999999994</v>
          </cell>
          <cell r="AV44">
            <v>687613.84370776697</v>
          </cell>
          <cell r="AW44">
            <v>687613.84370776697</v>
          </cell>
          <cell r="AY44">
            <v>0</v>
          </cell>
        </row>
        <row r="45">
          <cell r="A45" t="str">
            <v>100699390A</v>
          </cell>
          <cell r="E45" t="str">
            <v>010</v>
          </cell>
          <cell r="F45" t="str">
            <v>MERCY HEALTH CENTER</v>
          </cell>
          <cell r="G45" t="str">
            <v>OKLAHOMA CITY,OK 73120-8362</v>
          </cell>
          <cell r="H45" t="str">
            <v>73120</v>
          </cell>
          <cell r="I45" t="str">
            <v>Private</v>
          </cell>
          <cell r="J45" t="str">
            <v>Yes</v>
          </cell>
          <cell r="K45">
            <v>370013</v>
          </cell>
          <cell r="L45">
            <v>44012</v>
          </cell>
          <cell r="M45">
            <v>0.88280000000000003</v>
          </cell>
          <cell r="N45">
            <v>0.88280000000000003</v>
          </cell>
          <cell r="O45">
            <v>0.88280000000000003</v>
          </cell>
          <cell r="P45">
            <v>18646</v>
          </cell>
          <cell r="Q45">
            <v>128690206.26000001</v>
          </cell>
          <cell r="R45">
            <v>18558800.899999999</v>
          </cell>
          <cell r="S45">
            <v>1739941.3899999945</v>
          </cell>
          <cell r="T45">
            <v>0</v>
          </cell>
          <cell r="U45">
            <v>0</v>
          </cell>
          <cell r="V45">
            <v>2549.6999999999998</v>
          </cell>
          <cell r="X45">
            <v>0</v>
          </cell>
          <cell r="Y45">
            <v>0</v>
          </cell>
          <cell r="Z45">
            <v>1035331</v>
          </cell>
          <cell r="AA45">
            <v>7597764</v>
          </cell>
          <cell r="AB45">
            <v>0</v>
          </cell>
          <cell r="AC45">
            <v>0</v>
          </cell>
          <cell r="AD45">
            <v>4087307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279742</v>
          </cell>
          <cell r="AJ45">
            <v>61940052</v>
          </cell>
          <cell r="AK45">
            <v>13922873.745893197</v>
          </cell>
          <cell r="AL45">
            <v>5716.0943073520002</v>
          </cell>
          <cell r="AM45">
            <v>5127.1706000000067</v>
          </cell>
          <cell r="AN45">
            <v>1.2499196977084366</v>
          </cell>
          <cell r="AO45">
            <v>2663.6452546189394</v>
          </cell>
          <cell r="AP45">
            <v>9808.3041233372678</v>
          </cell>
          <cell r="AQ45">
            <v>5227</v>
          </cell>
          <cell r="AR45">
            <v>4102</v>
          </cell>
          <cell r="AS45">
            <v>40233663.513929471</v>
          </cell>
          <cell r="AT45">
            <v>20301291.989999991</v>
          </cell>
          <cell r="AV45">
            <v>19932371.52392948</v>
          </cell>
          <cell r="AW45">
            <v>19932371.52392948</v>
          </cell>
          <cell r="AY45">
            <v>0</v>
          </cell>
        </row>
        <row r="46">
          <cell r="A46" t="str">
            <v>200509290A</v>
          </cell>
          <cell r="B46" t="str">
            <v>200509290E</v>
          </cell>
          <cell r="E46" t="str">
            <v>010</v>
          </cell>
          <cell r="F46" t="str">
            <v>MERCY HOSPITAL ADA, INC.</v>
          </cell>
          <cell r="G46" t="str">
            <v>ADA,OK 74820-4610</v>
          </cell>
          <cell r="H46" t="str">
            <v>74820</v>
          </cell>
          <cell r="I46" t="str">
            <v>Private</v>
          </cell>
          <cell r="J46" t="str">
            <v>Yes</v>
          </cell>
          <cell r="K46">
            <v>370020</v>
          </cell>
          <cell r="L46">
            <v>44012</v>
          </cell>
          <cell r="M46">
            <v>0.86890000000000001</v>
          </cell>
          <cell r="N46">
            <v>0.86890000000000001</v>
          </cell>
          <cell r="O46">
            <v>0.86890000000000001</v>
          </cell>
          <cell r="P46">
            <v>3919</v>
          </cell>
          <cell r="Q46">
            <v>23767024.810000002</v>
          </cell>
          <cell r="R46">
            <v>4964508.4800000004</v>
          </cell>
          <cell r="S46">
            <v>186854.24000000017</v>
          </cell>
          <cell r="T46">
            <v>0</v>
          </cell>
          <cell r="U46">
            <v>0</v>
          </cell>
          <cell r="V46">
            <v>2462.2600000000002</v>
          </cell>
          <cell r="X46">
            <v>0</v>
          </cell>
          <cell r="Y46">
            <v>0</v>
          </cell>
          <cell r="Z46">
            <v>398137</v>
          </cell>
          <cell r="AA46">
            <v>2066202</v>
          </cell>
          <cell r="AB46">
            <v>0</v>
          </cell>
          <cell r="AC46">
            <v>13924609</v>
          </cell>
          <cell r="AD46">
            <v>1032206</v>
          </cell>
          <cell r="AE46">
            <v>0</v>
          </cell>
          <cell r="AF46">
            <v>0</v>
          </cell>
          <cell r="AG46">
            <v>0</v>
          </cell>
          <cell r="AH46">
            <v>26027</v>
          </cell>
          <cell r="AI46">
            <v>156723</v>
          </cell>
          <cell r="AJ46">
            <v>15463107</v>
          </cell>
          <cell r="AK46">
            <v>3940445.5642103744</v>
          </cell>
          <cell r="AL46">
            <v>5662.9730340260003</v>
          </cell>
          <cell r="AM46">
            <v>1460.6480999999994</v>
          </cell>
          <cell r="AN46">
            <v>1.1982347005742406</v>
          </cell>
          <cell r="AO46">
            <v>2755.5563386086533</v>
          </cell>
          <cell r="AP46">
            <v>9541.1271363947963</v>
          </cell>
          <cell r="AQ46">
            <v>1430</v>
          </cell>
          <cell r="AR46">
            <v>1219</v>
          </cell>
          <cell r="AS46">
            <v>11630633.979265256</v>
          </cell>
          <cell r="AT46">
            <v>5153824.9800000004</v>
          </cell>
          <cell r="AV46">
            <v>6476808.9992652554</v>
          </cell>
          <cell r="AW46">
            <v>6476808.9992652554</v>
          </cell>
          <cell r="AY46">
            <v>0</v>
          </cell>
        </row>
        <row r="47">
          <cell r="A47" t="str">
            <v>100262320C</v>
          </cell>
          <cell r="B47" t="str">
            <v>100262320G</v>
          </cell>
          <cell r="E47" t="str">
            <v>010</v>
          </cell>
          <cell r="F47" t="str">
            <v>MERCY HOSPITAL ARDMORE</v>
          </cell>
          <cell r="G47" t="str">
            <v>ARDMORE,OK 73401-</v>
          </cell>
          <cell r="H47" t="str">
            <v>73401</v>
          </cell>
          <cell r="I47" t="str">
            <v>Private</v>
          </cell>
          <cell r="J47" t="str">
            <v>Yes</v>
          </cell>
          <cell r="K47">
            <v>370047</v>
          </cell>
          <cell r="L47">
            <v>44012</v>
          </cell>
          <cell r="M47">
            <v>0.86890000000000001</v>
          </cell>
          <cell r="N47">
            <v>0.86890000000000001</v>
          </cell>
          <cell r="O47">
            <v>0.86890000000000001</v>
          </cell>
          <cell r="P47">
            <v>4843</v>
          </cell>
          <cell r="Q47">
            <v>33731365.609999999</v>
          </cell>
          <cell r="R47">
            <v>5990987.2600000007</v>
          </cell>
          <cell r="S47">
            <v>206233.93000000025</v>
          </cell>
          <cell r="T47">
            <v>0</v>
          </cell>
          <cell r="U47">
            <v>0</v>
          </cell>
          <cell r="V47">
            <v>1850.9</v>
          </cell>
          <cell r="X47">
            <v>0</v>
          </cell>
          <cell r="Y47">
            <v>0</v>
          </cell>
          <cell r="Z47">
            <v>472955</v>
          </cell>
          <cell r="AA47">
            <v>4484633</v>
          </cell>
          <cell r="AB47">
            <v>0</v>
          </cell>
          <cell r="AC47">
            <v>28448464</v>
          </cell>
          <cell r="AD47">
            <v>1832615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300162</v>
          </cell>
          <cell r="AJ47">
            <v>27990809</v>
          </cell>
          <cell r="AK47">
            <v>8083766.5714684986</v>
          </cell>
          <cell r="AL47">
            <v>5662.9730340260003</v>
          </cell>
          <cell r="AM47">
            <v>1719.9469000000042</v>
          </cell>
          <cell r="AN47">
            <v>1.0769861615529144</v>
          </cell>
          <cell r="AO47">
            <v>3303.5417129008983</v>
          </cell>
          <cell r="AP47">
            <v>9402.485303794223</v>
          </cell>
          <cell r="AQ47">
            <v>2447</v>
          </cell>
          <cell r="AR47">
            <v>1597</v>
          </cell>
          <cell r="AS47">
            <v>15015769.030159375</v>
          </cell>
          <cell r="AT47">
            <v>6199072.0900000017</v>
          </cell>
          <cell r="AV47">
            <v>8816696.940159373</v>
          </cell>
          <cell r="AW47">
            <v>8816696.940159373</v>
          </cell>
          <cell r="AY47">
            <v>0</v>
          </cell>
        </row>
        <row r="48">
          <cell r="A48" t="str">
            <v>200423910P</v>
          </cell>
          <cell r="B48" t="str">
            <v>100700490I</v>
          </cell>
          <cell r="C48" t="str">
            <v>100700490A</v>
          </cell>
          <cell r="E48" t="str">
            <v>010</v>
          </cell>
          <cell r="F48" t="str">
            <v>MIDWEST REGIONAL MEDICAL</v>
          </cell>
          <cell r="G48" t="str">
            <v>MIDWEST CITY,OK 73110-</v>
          </cell>
          <cell r="H48" t="str">
            <v>73110</v>
          </cell>
          <cell r="I48" t="str">
            <v>Private</v>
          </cell>
          <cell r="J48" t="str">
            <v>Yes</v>
          </cell>
          <cell r="K48">
            <v>370094</v>
          </cell>
          <cell r="L48">
            <v>44286</v>
          </cell>
          <cell r="M48">
            <v>0.88280000000000003</v>
          </cell>
          <cell r="N48">
            <v>0.88280000000000003</v>
          </cell>
          <cell r="O48">
            <v>0.88280000000000003</v>
          </cell>
          <cell r="P48">
            <v>6926</v>
          </cell>
          <cell r="Q48">
            <v>107584626.53999999</v>
          </cell>
          <cell r="R48">
            <v>6269731.0999999996</v>
          </cell>
          <cell r="S48">
            <v>64058.76</v>
          </cell>
          <cell r="T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585528</v>
          </cell>
          <cell r="AA48">
            <v>2351374</v>
          </cell>
          <cell r="AB48">
            <v>0</v>
          </cell>
          <cell r="AC48">
            <v>0</v>
          </cell>
          <cell r="AD48">
            <v>1150070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105731</v>
          </cell>
          <cell r="AJ48">
            <v>16478095</v>
          </cell>
          <cell r="AK48">
            <v>4490294.4554327745</v>
          </cell>
          <cell r="AL48">
            <v>5716.0943073520002</v>
          </cell>
          <cell r="AM48">
            <v>1850.7354999999991</v>
          </cell>
          <cell r="AN48">
            <v>1.2676270547945199</v>
          </cell>
          <cell r="AO48">
            <v>3193.666042270821</v>
          </cell>
          <cell r="AP48">
            <v>10439.541834027157</v>
          </cell>
          <cell r="AQ48">
            <v>1406</v>
          </cell>
          <cell r="AR48">
            <v>1460</v>
          </cell>
          <cell r="AS48">
            <v>15241731.077679649</v>
          </cell>
          <cell r="AT48">
            <v>6333789.8599999994</v>
          </cell>
          <cell r="AV48">
            <v>8907941.2176796496</v>
          </cell>
          <cell r="AW48">
            <v>8907941.2176796496</v>
          </cell>
          <cell r="AY48">
            <v>0</v>
          </cell>
        </row>
        <row r="49">
          <cell r="A49" t="str">
            <v>200035670C</v>
          </cell>
          <cell r="E49" t="str">
            <v>010</v>
          </cell>
          <cell r="F49" t="str">
            <v>NORTHWEST SURGICAL HOSPITAL</v>
          </cell>
          <cell r="G49" t="str">
            <v>OKLAHOMA CITY,OK 73120-4419</v>
          </cell>
          <cell r="H49" t="str">
            <v>73120</v>
          </cell>
          <cell r="I49" t="str">
            <v>Private</v>
          </cell>
          <cell r="J49" t="str">
            <v>Yes</v>
          </cell>
          <cell r="K49">
            <v>370192</v>
          </cell>
          <cell r="L49">
            <v>44196</v>
          </cell>
          <cell r="M49">
            <v>0.88280000000000003</v>
          </cell>
          <cell r="N49">
            <v>0.88280000000000003</v>
          </cell>
          <cell r="O49">
            <v>0.88280000000000003</v>
          </cell>
          <cell r="P49">
            <v>18</v>
          </cell>
          <cell r="Q49">
            <v>845112.27</v>
          </cell>
          <cell r="R49">
            <v>127372.32999999999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44573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580745</v>
          </cell>
          <cell r="AK49">
            <v>47240.694049999998</v>
          </cell>
          <cell r="AL49">
            <v>5716.0943073520002</v>
          </cell>
          <cell r="AM49">
            <v>32.586300000000001</v>
          </cell>
          <cell r="AN49">
            <v>4.0732875000000002</v>
          </cell>
          <cell r="AO49">
            <v>1431.5361833333334</v>
          </cell>
          <cell r="AP49">
            <v>24714.831674291396</v>
          </cell>
          <cell r="AQ49">
            <v>33</v>
          </cell>
          <cell r="AR49">
            <v>8</v>
          </cell>
          <cell r="AS49">
            <v>197718.65339433117</v>
          </cell>
          <cell r="AT49">
            <v>127372.32999999999</v>
          </cell>
          <cell r="AV49">
            <v>70346.323394331179</v>
          </cell>
          <cell r="AW49">
            <v>70346.323394331179</v>
          </cell>
          <cell r="AY49">
            <v>0</v>
          </cell>
        </row>
        <row r="50">
          <cell r="A50" t="str">
            <v>200280620A</v>
          </cell>
          <cell r="E50" t="str">
            <v>010</v>
          </cell>
          <cell r="F50" t="str">
            <v>OKLAHOMA HEART HOSPITAL</v>
          </cell>
          <cell r="G50" t="str">
            <v>OKLAHOMA CITY,OK 73135-2610</v>
          </cell>
          <cell r="H50" t="str">
            <v>73135</v>
          </cell>
          <cell r="I50" t="str">
            <v>Private</v>
          </cell>
          <cell r="J50" t="str">
            <v>Yes</v>
          </cell>
          <cell r="K50">
            <v>370234</v>
          </cell>
          <cell r="L50">
            <v>44196</v>
          </cell>
          <cell r="M50">
            <v>0.88280000000000003</v>
          </cell>
          <cell r="N50">
            <v>0.88280000000000003</v>
          </cell>
          <cell r="O50">
            <v>0.88280000000000003</v>
          </cell>
          <cell r="P50">
            <v>1720</v>
          </cell>
          <cell r="Q50">
            <v>20643065.09</v>
          </cell>
          <cell r="R50">
            <v>4116844.4</v>
          </cell>
          <cell r="S50">
            <v>22039.52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1953015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128889</v>
          </cell>
          <cell r="AJ50">
            <v>23933275</v>
          </cell>
          <cell r="AK50">
            <v>2206505.9543999997</v>
          </cell>
          <cell r="AL50">
            <v>5716.0943073520002</v>
          </cell>
          <cell r="AM50">
            <v>860.27909999999997</v>
          </cell>
          <cell r="AN50">
            <v>2.275870634920635</v>
          </cell>
          <cell r="AO50">
            <v>1320.4703497307</v>
          </cell>
          <cell r="AP50">
            <v>14329.561530270124</v>
          </cell>
          <cell r="AQ50">
            <v>1671</v>
          </cell>
          <cell r="AR50">
            <v>378</v>
          </cell>
          <cell r="AS50">
            <v>5416574.2584421067</v>
          </cell>
          <cell r="AT50">
            <v>4138883.92</v>
          </cell>
          <cell r="AV50">
            <v>1277690.3384421067</v>
          </cell>
          <cell r="AW50">
            <v>1277690.3384421067</v>
          </cell>
          <cell r="AY50">
            <v>0</v>
          </cell>
        </row>
        <row r="51">
          <cell r="A51" t="str">
            <v>200242900A</v>
          </cell>
          <cell r="E51" t="str">
            <v>010</v>
          </cell>
          <cell r="F51" t="str">
            <v>OKLAHOMA STATE UNIVERSITY MEDICAL TRUST</v>
          </cell>
          <cell r="G51" t="str">
            <v>TULSA,OK 74127-</v>
          </cell>
          <cell r="H51" t="str">
            <v>74127</v>
          </cell>
          <cell r="I51" t="str">
            <v>Private</v>
          </cell>
          <cell r="J51" t="str">
            <v>Yes</v>
          </cell>
          <cell r="K51">
            <v>370078</v>
          </cell>
          <cell r="L51">
            <v>44012</v>
          </cell>
          <cell r="M51">
            <v>0.86890000000000001</v>
          </cell>
          <cell r="N51">
            <v>0.86890000000000001</v>
          </cell>
          <cell r="O51">
            <v>0.86890000000000001</v>
          </cell>
          <cell r="P51">
            <v>9602</v>
          </cell>
          <cell r="Q51">
            <v>82576456.169999987</v>
          </cell>
          <cell r="R51">
            <v>14278954.43</v>
          </cell>
          <cell r="S51">
            <v>172896.82</v>
          </cell>
          <cell r="T51">
            <v>191098</v>
          </cell>
          <cell r="U51">
            <v>18475458</v>
          </cell>
          <cell r="V51">
            <v>0</v>
          </cell>
          <cell r="X51">
            <v>0</v>
          </cell>
          <cell r="Y51">
            <v>4422091</v>
          </cell>
          <cell r="Z51">
            <v>554795</v>
          </cell>
          <cell r="AA51">
            <v>2588022</v>
          </cell>
          <cell r="AB51">
            <v>0</v>
          </cell>
          <cell r="AC51">
            <v>0</v>
          </cell>
          <cell r="AD51">
            <v>1693990</v>
          </cell>
          <cell r="AE51">
            <v>3706490</v>
          </cell>
          <cell r="AF51">
            <v>0</v>
          </cell>
          <cell r="AG51">
            <v>0</v>
          </cell>
          <cell r="AH51">
            <v>79124</v>
          </cell>
          <cell r="AI51">
            <v>474988</v>
          </cell>
          <cell r="AJ51">
            <v>22301876</v>
          </cell>
          <cell r="AK51">
            <v>14479092.816787498</v>
          </cell>
          <cell r="AL51">
            <v>5662.9730340260003</v>
          </cell>
          <cell r="AM51">
            <v>3506.3710999999985</v>
          </cell>
          <cell r="AN51">
            <v>1.4615969570654432</v>
          </cell>
          <cell r="AO51">
            <v>10075.917061090813</v>
          </cell>
          <cell r="AP51">
            <v>18352.901215566875</v>
          </cell>
          <cell r="AQ51">
            <v>1437</v>
          </cell>
          <cell r="AR51">
            <v>2399</v>
          </cell>
          <cell r="AS51">
            <v>44028610.016144931</v>
          </cell>
          <cell r="AT51">
            <v>33118407.25</v>
          </cell>
          <cell r="AV51">
            <v>10910202.766144931</v>
          </cell>
          <cell r="AW51">
            <v>10910202.766144931</v>
          </cell>
          <cell r="AY51">
            <v>0</v>
          </cell>
        </row>
        <row r="52">
          <cell r="A52" t="str">
            <v>100699570A</v>
          </cell>
          <cell r="B52" t="str">
            <v>100699570N</v>
          </cell>
          <cell r="E52" t="str">
            <v>010</v>
          </cell>
          <cell r="F52" t="str">
            <v>SAINT FRANCIS HOSPITAL</v>
          </cell>
          <cell r="G52" t="str">
            <v>TULSA,OK 74136-0001</v>
          </cell>
          <cell r="H52" t="str">
            <v>74136</v>
          </cell>
          <cell r="I52" t="str">
            <v>Private</v>
          </cell>
          <cell r="J52" t="str">
            <v>Yes</v>
          </cell>
          <cell r="K52">
            <v>370091</v>
          </cell>
          <cell r="L52">
            <v>44012</v>
          </cell>
          <cell r="M52">
            <v>0.84219999999999995</v>
          </cell>
          <cell r="N52">
            <v>0.84219999999999995</v>
          </cell>
          <cell r="O52">
            <v>0.84219999999999995</v>
          </cell>
          <cell r="P52">
            <v>84796</v>
          </cell>
          <cell r="Q52">
            <v>635592812.81000006</v>
          </cell>
          <cell r="R52">
            <v>103509251.61999999</v>
          </cell>
          <cell r="S52">
            <v>4517253.7799999984</v>
          </cell>
          <cell r="T52">
            <v>561040</v>
          </cell>
          <cell r="U52">
            <v>0</v>
          </cell>
          <cell r="V52">
            <v>60662</v>
          </cell>
          <cell r="X52">
            <v>0</v>
          </cell>
          <cell r="Y52">
            <v>3317804</v>
          </cell>
          <cell r="Z52">
            <v>4579399</v>
          </cell>
          <cell r="AA52">
            <v>14323361</v>
          </cell>
          <cell r="AB52">
            <v>0</v>
          </cell>
          <cell r="AC52">
            <v>0</v>
          </cell>
          <cell r="AD52">
            <v>11193078</v>
          </cell>
          <cell r="AE52">
            <v>1283723</v>
          </cell>
          <cell r="AF52">
            <v>0</v>
          </cell>
          <cell r="AG52">
            <v>0</v>
          </cell>
          <cell r="AH52">
            <v>86163</v>
          </cell>
          <cell r="AI52">
            <v>1902872</v>
          </cell>
          <cell r="AJ52">
            <v>154548335</v>
          </cell>
          <cell r="AK52">
            <v>39290342.890919991</v>
          </cell>
          <cell r="AL52">
            <v>5560.934329148</v>
          </cell>
          <cell r="AM52">
            <v>23968.679400000259</v>
          </cell>
          <cell r="AN52">
            <v>1.5897512369835021</v>
          </cell>
          <cell r="AO52">
            <v>3178.058957447221</v>
          </cell>
          <cell r="AP52">
            <v>12018.561185994276</v>
          </cell>
          <cell r="AQ52">
            <v>12363</v>
          </cell>
          <cell r="AR52">
            <v>15077</v>
          </cell>
          <cell r="AS52">
            <v>181203847.00123569</v>
          </cell>
          <cell r="AT52">
            <v>108648207.39999999</v>
          </cell>
          <cell r="AV52">
            <v>72555639.601235703</v>
          </cell>
          <cell r="AW52">
            <v>72555639.601235703</v>
          </cell>
          <cell r="AY52">
            <v>0</v>
          </cell>
        </row>
        <row r="53">
          <cell r="A53" t="str">
            <v>200700900A</v>
          </cell>
          <cell r="B53" t="str">
            <v>200700900C</v>
          </cell>
          <cell r="C53" t="str">
            <v>200700900B</v>
          </cell>
          <cell r="E53" t="str">
            <v>010</v>
          </cell>
          <cell r="F53" t="str">
            <v>SAINT FRANCIS HOSPITAL MUSKOGEE INC</v>
          </cell>
          <cell r="G53" t="str">
            <v>MUSKOGEE,OK 74401-5075</v>
          </cell>
          <cell r="H53" t="str">
            <v>74401</v>
          </cell>
          <cell r="I53" t="str">
            <v>Private</v>
          </cell>
          <cell r="J53" t="str">
            <v>Yes</v>
          </cell>
          <cell r="K53">
            <v>370025</v>
          </cell>
          <cell r="L53">
            <v>44012</v>
          </cell>
          <cell r="M53">
            <v>0.84219999999999995</v>
          </cell>
          <cell r="N53">
            <v>0.84219999999999995</v>
          </cell>
          <cell r="O53">
            <v>0.84219999999999995</v>
          </cell>
          <cell r="P53">
            <v>14606</v>
          </cell>
          <cell r="Q53">
            <v>79338696.040000007</v>
          </cell>
          <cell r="R53">
            <v>14260045.309999999</v>
          </cell>
          <cell r="S53">
            <v>702732.02999999991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964183</v>
          </cell>
          <cell r="AA53">
            <v>2666669</v>
          </cell>
          <cell r="AB53">
            <v>0</v>
          </cell>
          <cell r="AC53">
            <v>0</v>
          </cell>
          <cell r="AD53">
            <v>2394777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528260</v>
          </cell>
          <cell r="AJ53">
            <v>34127961</v>
          </cell>
          <cell r="AK53">
            <v>7019073.7188448235</v>
          </cell>
          <cell r="AL53">
            <v>5560.934329148</v>
          </cell>
          <cell r="AM53">
            <v>3772.6543000000006</v>
          </cell>
          <cell r="AN53">
            <v>1.3435378561253564</v>
          </cell>
          <cell r="AO53">
            <v>1802.9986434227649</v>
          </cell>
          <cell r="AP53">
            <v>9274.3244300601655</v>
          </cell>
          <cell r="AQ53">
            <v>3893</v>
          </cell>
          <cell r="AR53">
            <v>2808</v>
          </cell>
          <cell r="AS53">
            <v>26042302.999608945</v>
          </cell>
          <cell r="AT53">
            <v>14962777.339999998</v>
          </cell>
          <cell r="AV53">
            <v>11079525.659608947</v>
          </cell>
          <cell r="AW53">
            <v>11079525.659608947</v>
          </cell>
          <cell r="AY53">
            <v>0</v>
          </cell>
        </row>
        <row r="54">
          <cell r="A54" t="str">
            <v>200031310A</v>
          </cell>
          <cell r="E54" t="str">
            <v>010</v>
          </cell>
          <cell r="F54" t="str">
            <v>SAINT FRANCIS HOSPITAL SOUTH</v>
          </cell>
          <cell r="G54" t="str">
            <v>TULSA,OK 74133-</v>
          </cell>
          <cell r="H54" t="str">
            <v>74133</v>
          </cell>
          <cell r="I54" t="str">
            <v>Private</v>
          </cell>
          <cell r="J54" t="str">
            <v>Yes</v>
          </cell>
          <cell r="K54">
            <v>370218</v>
          </cell>
          <cell r="L54">
            <v>44012</v>
          </cell>
          <cell r="M54">
            <v>0.84219999999999995</v>
          </cell>
          <cell r="N54">
            <v>0.84219999999999995</v>
          </cell>
          <cell r="O54">
            <v>0.84219999999999995</v>
          </cell>
          <cell r="P54">
            <v>6593</v>
          </cell>
          <cell r="Q54">
            <v>40182458.280000001</v>
          </cell>
          <cell r="R54">
            <v>7755491.8799999999</v>
          </cell>
          <cell r="S54">
            <v>194230.56000000023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262294</v>
          </cell>
          <cell r="AA54">
            <v>1463909</v>
          </cell>
          <cell r="AB54">
            <v>0</v>
          </cell>
          <cell r="AC54">
            <v>0</v>
          </cell>
          <cell r="AD54">
            <v>1106457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183844</v>
          </cell>
          <cell r="AJ54">
            <v>15762669</v>
          </cell>
          <cell r="AK54">
            <v>3230610.7029261994</v>
          </cell>
          <cell r="AL54">
            <v>5560.934329148</v>
          </cell>
          <cell r="AM54">
            <v>2220.1637000000051</v>
          </cell>
          <cell r="AN54">
            <v>1.2079236670293825</v>
          </cell>
          <cell r="AO54">
            <v>1772.1397163610529</v>
          </cell>
          <cell r="AP54">
            <v>8489.3239033350837</v>
          </cell>
          <cell r="AQ54">
            <v>1823</v>
          </cell>
          <cell r="AR54">
            <v>1838</v>
          </cell>
          <cell r="AS54">
            <v>15603377.334329884</v>
          </cell>
          <cell r="AT54">
            <v>7949722.4400000004</v>
          </cell>
          <cell r="AV54">
            <v>7653654.8943298841</v>
          </cell>
          <cell r="AW54">
            <v>7653654.8943298841</v>
          </cell>
          <cell r="AY54">
            <v>0</v>
          </cell>
        </row>
        <row r="55">
          <cell r="A55" t="str">
            <v>200702430B</v>
          </cell>
          <cell r="B55" t="str">
            <v>200702430C</v>
          </cell>
          <cell r="E55" t="str">
            <v>010</v>
          </cell>
          <cell r="F55" t="str">
            <v>SAINT FRANCIS HOSPITAL VINITA</v>
          </cell>
          <cell r="G55" t="str">
            <v>VINITA,OK 74301-1422</v>
          </cell>
          <cell r="H55" t="str">
            <v>74301</v>
          </cell>
          <cell r="I55" t="str">
            <v xml:space="preserve">Private </v>
          </cell>
          <cell r="J55" t="str">
            <v>Yes</v>
          </cell>
          <cell r="K55">
            <v>370237</v>
          </cell>
          <cell r="L55">
            <v>44012</v>
          </cell>
          <cell r="M55">
            <v>0.80940000000000001</v>
          </cell>
          <cell r="N55">
            <v>0.80940000000000001</v>
          </cell>
          <cell r="O55">
            <v>0.80940000000000001</v>
          </cell>
          <cell r="P55">
            <v>872</v>
          </cell>
          <cell r="Q55">
            <v>3302792.46</v>
          </cell>
          <cell r="R55">
            <v>728666.42999999993</v>
          </cell>
          <cell r="S55">
            <v>79956.100000000006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32059</v>
          </cell>
          <cell r="AA55">
            <v>527217</v>
          </cell>
          <cell r="AB55">
            <v>0</v>
          </cell>
          <cell r="AC55">
            <v>0</v>
          </cell>
          <cell r="AD55">
            <v>177245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44539</v>
          </cell>
          <cell r="AJ55">
            <v>2816937</v>
          </cell>
          <cell r="AK55">
            <v>836498.40863049985</v>
          </cell>
          <cell r="AL55">
            <v>5435.5834107960009</v>
          </cell>
          <cell r="AM55">
            <v>223.58960000000002</v>
          </cell>
          <cell r="AN55">
            <v>1.1767873684210528</v>
          </cell>
          <cell r="AO55">
            <v>1896.8217882777774</v>
          </cell>
          <cell r="AP55">
            <v>8293.3476861015333</v>
          </cell>
          <cell r="AQ55">
            <v>441</v>
          </cell>
          <cell r="AR55">
            <v>190</v>
          </cell>
          <cell r="AS55">
            <v>1575736.0603592913</v>
          </cell>
          <cell r="AT55">
            <v>808622.52999999991</v>
          </cell>
          <cell r="AV55">
            <v>767113.53035929136</v>
          </cell>
          <cell r="AW55">
            <v>767113.53035929136</v>
          </cell>
          <cell r="AY55">
            <v>0</v>
          </cell>
        </row>
        <row r="56">
          <cell r="A56" t="str">
            <v>200196450C</v>
          </cell>
          <cell r="E56" t="str">
            <v>010</v>
          </cell>
          <cell r="F56" t="str">
            <v>SEMINOLE HMA LLC</v>
          </cell>
          <cell r="G56" t="str">
            <v>SEMINOLE,OK 74868-1917</v>
          </cell>
          <cell r="H56" t="str">
            <v>74868</v>
          </cell>
          <cell r="I56" t="str">
            <v>Private</v>
          </cell>
          <cell r="J56" t="str">
            <v>Yes</v>
          </cell>
          <cell r="K56">
            <v>370229</v>
          </cell>
          <cell r="L56">
            <v>44286</v>
          </cell>
          <cell r="M56">
            <v>0.80940000000000001</v>
          </cell>
          <cell r="N56">
            <v>0.80940000000000001</v>
          </cell>
          <cell r="O56">
            <v>0.80940000000000001</v>
          </cell>
          <cell r="P56">
            <v>233</v>
          </cell>
          <cell r="Q56">
            <v>2030074.42</v>
          </cell>
          <cell r="R56">
            <v>368116.58999999997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24995</v>
          </cell>
          <cell r="AA56">
            <v>350099</v>
          </cell>
          <cell r="AB56">
            <v>0</v>
          </cell>
          <cell r="AC56">
            <v>1</v>
          </cell>
          <cell r="AD56">
            <v>105911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36912</v>
          </cell>
          <cell r="AJ56">
            <v>1815680</v>
          </cell>
          <cell r="AK56">
            <v>545567.29383750004</v>
          </cell>
          <cell r="AL56">
            <v>5435.5834107960009</v>
          </cell>
          <cell r="AM56">
            <v>100.51830000000001</v>
          </cell>
          <cell r="AN56">
            <v>1.1294191011235957</v>
          </cell>
          <cell r="AO56">
            <v>2435.5682760602681</v>
          </cell>
          <cell r="AP56">
            <v>8574.6200059638159</v>
          </cell>
          <cell r="AQ56">
            <v>224</v>
          </cell>
          <cell r="AR56">
            <v>89</v>
          </cell>
          <cell r="AS56">
            <v>763141.18053077965</v>
          </cell>
          <cell r="AT56">
            <v>368116.58999999997</v>
          </cell>
          <cell r="AV56">
            <v>395024.59053077968</v>
          </cell>
          <cell r="AW56">
            <v>395024.59053077968</v>
          </cell>
          <cell r="AY56">
            <v>0</v>
          </cell>
        </row>
        <row r="57">
          <cell r="A57" t="str">
            <v>100697950B</v>
          </cell>
          <cell r="B57" t="str">
            <v>100697950I</v>
          </cell>
          <cell r="C57" t="str">
            <v>100697950H</v>
          </cell>
          <cell r="E57" t="str">
            <v>010</v>
          </cell>
          <cell r="F57" t="str">
            <v>SOUTHWESTERN MEDICAL CENTER</v>
          </cell>
          <cell r="G57" t="str">
            <v>LAWTON,OK 73505-9635</v>
          </cell>
          <cell r="H57" t="str">
            <v>73505</v>
          </cell>
          <cell r="I57" t="str">
            <v>Private</v>
          </cell>
          <cell r="J57" t="str">
            <v>Yes</v>
          </cell>
          <cell r="K57">
            <v>370097</v>
          </cell>
          <cell r="L57">
            <v>44135</v>
          </cell>
          <cell r="M57">
            <v>0.86890000000000001</v>
          </cell>
          <cell r="N57">
            <v>0.86890000000000001</v>
          </cell>
          <cell r="O57">
            <v>0.86890000000000001</v>
          </cell>
          <cell r="P57">
            <v>4171</v>
          </cell>
          <cell r="Q57">
            <v>29854496.590000004</v>
          </cell>
          <cell r="R57">
            <v>3839713.39</v>
          </cell>
          <cell r="S57">
            <v>269905.27000000008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252504</v>
          </cell>
          <cell r="AA57">
            <v>837667</v>
          </cell>
          <cell r="AB57">
            <v>0</v>
          </cell>
          <cell r="AC57">
            <v>0</v>
          </cell>
          <cell r="AD57">
            <v>645922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91706</v>
          </cell>
          <cell r="AJ57">
            <v>9316093</v>
          </cell>
          <cell r="AK57">
            <v>1943972.9448455248</v>
          </cell>
          <cell r="AL57">
            <v>5662.9730340260003</v>
          </cell>
          <cell r="AM57">
            <v>1329.7016999999983</v>
          </cell>
          <cell r="AN57">
            <v>1.08902678132678</v>
          </cell>
          <cell r="AO57">
            <v>1756.0731209083333</v>
          </cell>
          <cell r="AP57">
            <v>7923.2024168940179</v>
          </cell>
          <cell r="AQ57">
            <v>1107</v>
          </cell>
          <cell r="AR57">
            <v>1221</v>
          </cell>
          <cell r="AS57">
            <v>9674230.1510275956</v>
          </cell>
          <cell r="AT57">
            <v>4109618.66</v>
          </cell>
          <cell r="AV57">
            <v>5564611.4910275955</v>
          </cell>
          <cell r="AW57">
            <v>5564611.4910275955</v>
          </cell>
          <cell r="AY57">
            <v>0</v>
          </cell>
        </row>
        <row r="58">
          <cell r="A58" t="str">
            <v>100699540A</v>
          </cell>
          <cell r="B58" t="str">
            <v>100699540T</v>
          </cell>
          <cell r="E58" t="str">
            <v>010</v>
          </cell>
          <cell r="F58" t="str">
            <v>ST ANTHONY HSP</v>
          </cell>
          <cell r="G58" t="str">
            <v>OKLAHOMA CITY,OK 73102-1036</v>
          </cell>
          <cell r="H58" t="str">
            <v>73102</v>
          </cell>
          <cell r="I58" t="str">
            <v>Private</v>
          </cell>
          <cell r="J58" t="str">
            <v>Yes</v>
          </cell>
          <cell r="K58">
            <v>370037</v>
          </cell>
          <cell r="L58">
            <v>44196</v>
          </cell>
          <cell r="M58">
            <v>0.88280000000000003</v>
          </cell>
          <cell r="N58">
            <v>0.88280000000000003</v>
          </cell>
          <cell r="O58">
            <v>0.88280000000000003</v>
          </cell>
          <cell r="P58">
            <v>35838</v>
          </cell>
          <cell r="Q58">
            <v>263772742.67000002</v>
          </cell>
          <cell r="R58">
            <v>32766175.799999997</v>
          </cell>
          <cell r="S58">
            <v>1878250.3199999989</v>
          </cell>
          <cell r="T58">
            <v>961868</v>
          </cell>
          <cell r="U58">
            <v>0</v>
          </cell>
          <cell r="V58">
            <v>18105.400000000001</v>
          </cell>
          <cell r="X58">
            <v>0</v>
          </cell>
          <cell r="Y58">
            <v>3110477</v>
          </cell>
          <cell r="Z58">
            <v>2275134</v>
          </cell>
          <cell r="AA58">
            <v>7236893</v>
          </cell>
          <cell r="AB58">
            <v>0</v>
          </cell>
          <cell r="AC58">
            <v>0</v>
          </cell>
          <cell r="AD58">
            <v>5273794</v>
          </cell>
          <cell r="AE58">
            <v>814739</v>
          </cell>
          <cell r="AF58">
            <v>0</v>
          </cell>
          <cell r="AG58">
            <v>0</v>
          </cell>
          <cell r="AH58">
            <v>0</v>
          </cell>
          <cell r="AI58">
            <v>660442</v>
          </cell>
          <cell r="AJ58">
            <v>76001195</v>
          </cell>
          <cell r="AK58">
            <v>20530862.018149998</v>
          </cell>
          <cell r="AL58">
            <v>5716.0943073520002</v>
          </cell>
          <cell r="AM58">
            <v>9266.5203000000092</v>
          </cell>
          <cell r="AN58">
            <v>1.4197212042285903</v>
          </cell>
          <cell r="AO58">
            <v>3675.4138951217324</v>
          </cell>
          <cell r="AP58">
            <v>11790.674188639703</v>
          </cell>
          <cell r="AQ58">
            <v>5586</v>
          </cell>
          <cell r="AR58">
            <v>6527</v>
          </cell>
          <cell r="AS58">
            <v>76957730.429251343</v>
          </cell>
          <cell r="AT58">
            <v>35624399.519999996</v>
          </cell>
          <cell r="AV58">
            <v>41333330.909251347</v>
          </cell>
          <cell r="AW58">
            <v>41333330.909251347</v>
          </cell>
          <cell r="AY58">
            <v>0</v>
          </cell>
        </row>
        <row r="59">
          <cell r="A59" t="str">
            <v>100740840B</v>
          </cell>
          <cell r="E59" t="str">
            <v>010</v>
          </cell>
          <cell r="F59" t="str">
            <v>ST ANTHONY SHAWNEE HOSPITAL</v>
          </cell>
          <cell r="G59" t="str">
            <v>SHAWNEE,OK 74804-1743</v>
          </cell>
          <cell r="H59" t="str">
            <v>74804</v>
          </cell>
          <cell r="I59" t="str">
            <v>Private</v>
          </cell>
          <cell r="J59" t="str">
            <v>Yes</v>
          </cell>
          <cell r="K59">
            <v>370149</v>
          </cell>
          <cell r="L59">
            <v>44196</v>
          </cell>
          <cell r="M59">
            <v>0.86890000000000001</v>
          </cell>
          <cell r="N59">
            <v>0.86890000000000001</v>
          </cell>
          <cell r="O59">
            <v>0.86890000000000001</v>
          </cell>
          <cell r="P59">
            <v>4711</v>
          </cell>
          <cell r="Q59">
            <v>23621011.460000001</v>
          </cell>
          <cell r="R59">
            <v>5489786.5800000001</v>
          </cell>
          <cell r="S59">
            <v>540747.01000000024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381456</v>
          </cell>
          <cell r="AA59">
            <v>1562315</v>
          </cell>
          <cell r="AB59">
            <v>0</v>
          </cell>
          <cell r="AC59">
            <v>0</v>
          </cell>
          <cell r="AD59">
            <v>806636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87118</v>
          </cell>
          <cell r="AJ59">
            <v>12460621</v>
          </cell>
          <cell r="AK59">
            <v>3007350.8712499999</v>
          </cell>
          <cell r="AL59">
            <v>5662.9730340260003</v>
          </cell>
          <cell r="AM59">
            <v>1808.8478000000041</v>
          </cell>
          <cell r="AN59">
            <v>1.094944188861988</v>
          </cell>
          <cell r="AO59">
            <v>2568.1903255764305</v>
          </cell>
          <cell r="AP59">
            <v>8768.8297408653398</v>
          </cell>
          <cell r="AQ59">
            <v>1171</v>
          </cell>
          <cell r="AR59">
            <v>1652</v>
          </cell>
          <cell r="AS59">
            <v>14486106.731909541</v>
          </cell>
          <cell r="AT59">
            <v>6030533.5899999999</v>
          </cell>
          <cell r="AV59">
            <v>8455573.1419095416</v>
          </cell>
          <cell r="AW59">
            <v>8455573.1419095416</v>
          </cell>
          <cell r="AY59">
            <v>0</v>
          </cell>
        </row>
        <row r="60">
          <cell r="A60" t="str">
            <v>200310990A</v>
          </cell>
          <cell r="E60" t="str">
            <v>010</v>
          </cell>
          <cell r="F60" t="str">
            <v>ST JOHN BROKEN ARROW, INC</v>
          </cell>
          <cell r="G60" t="str">
            <v>BROKEN ARROW,OK 74012-4900</v>
          </cell>
          <cell r="H60" t="str">
            <v>74012</v>
          </cell>
          <cell r="I60" t="str">
            <v>Private</v>
          </cell>
          <cell r="J60" t="str">
            <v>Yes</v>
          </cell>
          <cell r="K60">
            <v>370235</v>
          </cell>
          <cell r="L60">
            <v>44012</v>
          </cell>
          <cell r="M60">
            <v>0.84219999999999995</v>
          </cell>
          <cell r="N60">
            <v>0.84219999999999995</v>
          </cell>
          <cell r="O60">
            <v>0.84219999999999995</v>
          </cell>
          <cell r="P60">
            <v>491</v>
          </cell>
          <cell r="Q60">
            <v>3126321.85</v>
          </cell>
          <cell r="R60">
            <v>786280.4</v>
          </cell>
          <cell r="S60">
            <v>18249.38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551588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81481</v>
          </cell>
          <cell r="AJ60">
            <v>6949911</v>
          </cell>
          <cell r="AK60">
            <v>678003.24053632491</v>
          </cell>
          <cell r="AL60">
            <v>5560.934329148</v>
          </cell>
          <cell r="AM60">
            <v>198.35800000000003</v>
          </cell>
          <cell r="AN60">
            <v>1.4168428571428573</v>
          </cell>
          <cell r="AO60">
            <v>950.91618588544873</v>
          </cell>
          <cell r="AP60">
            <v>8829.8862691793001</v>
          </cell>
          <cell r="AQ60">
            <v>713</v>
          </cell>
          <cell r="AR60">
            <v>140</v>
          </cell>
          <cell r="AS60">
            <v>1236184.0776851021</v>
          </cell>
          <cell r="AT60">
            <v>804529.78</v>
          </cell>
          <cell r="AV60">
            <v>431654.29768510209</v>
          </cell>
          <cell r="AW60">
            <v>431654.29768510209</v>
          </cell>
          <cell r="AY60">
            <v>0</v>
          </cell>
        </row>
        <row r="61">
          <cell r="A61" t="str">
            <v>100699400A</v>
          </cell>
          <cell r="E61" t="str">
            <v>010</v>
          </cell>
          <cell r="F61" t="str">
            <v>ST JOHN MED CTR</v>
          </cell>
          <cell r="G61" t="str">
            <v>TULSA,OK 74104-6520</v>
          </cell>
          <cell r="H61" t="str">
            <v>74104</v>
          </cell>
          <cell r="I61" t="str">
            <v>Private</v>
          </cell>
          <cell r="J61" t="str">
            <v>Yes</v>
          </cell>
          <cell r="K61">
            <v>370114</v>
          </cell>
          <cell r="L61">
            <v>44012</v>
          </cell>
          <cell r="M61">
            <v>0.86890000000000001</v>
          </cell>
          <cell r="N61">
            <v>0.86890000000000001</v>
          </cell>
          <cell r="O61">
            <v>0.86890000000000001</v>
          </cell>
          <cell r="P61">
            <v>32185</v>
          </cell>
          <cell r="Q61">
            <v>219823375.12</v>
          </cell>
          <cell r="R61">
            <v>44390608.730000004</v>
          </cell>
          <cell r="S61">
            <v>1040687.6599999991</v>
          </cell>
          <cell r="T61">
            <v>532107</v>
          </cell>
          <cell r="U61">
            <v>0</v>
          </cell>
          <cell r="V61">
            <v>0</v>
          </cell>
          <cell r="X61">
            <v>0</v>
          </cell>
          <cell r="Y61">
            <v>4309668</v>
          </cell>
          <cell r="Z61">
            <v>1479270</v>
          </cell>
          <cell r="AA61">
            <v>8288329</v>
          </cell>
          <cell r="AB61">
            <v>0</v>
          </cell>
          <cell r="AC61">
            <v>0</v>
          </cell>
          <cell r="AD61">
            <v>7926057</v>
          </cell>
          <cell r="AE61">
            <v>1344120</v>
          </cell>
          <cell r="AF61">
            <v>4837243</v>
          </cell>
          <cell r="AG61">
            <v>0</v>
          </cell>
          <cell r="AH61">
            <v>40736</v>
          </cell>
          <cell r="AI61">
            <v>1983280</v>
          </cell>
          <cell r="AJ61">
            <v>113150952</v>
          </cell>
          <cell r="AK61">
            <v>32352869.160232771</v>
          </cell>
          <cell r="AL61">
            <v>5662.9730340260003</v>
          </cell>
          <cell r="AM61">
            <v>9815.5059000000037</v>
          </cell>
          <cell r="AN61">
            <v>1.8412128868880142</v>
          </cell>
          <cell r="AO61">
            <v>3638.8335575562674</v>
          </cell>
          <cell r="AP61">
            <v>14065.572485904255</v>
          </cell>
          <cell r="AQ61">
            <v>8891</v>
          </cell>
          <cell r="AR61">
            <v>5331</v>
          </cell>
          <cell r="AS61">
            <v>74983566.922355577</v>
          </cell>
          <cell r="AT61">
            <v>45963403.390000001</v>
          </cell>
          <cell r="AV61">
            <v>29020163.532355577</v>
          </cell>
          <cell r="AW61">
            <v>29020163.532355577</v>
          </cell>
          <cell r="AY61">
            <v>0</v>
          </cell>
        </row>
        <row r="62">
          <cell r="A62" t="str">
            <v>200106410A</v>
          </cell>
          <cell r="E62" t="str">
            <v>010</v>
          </cell>
          <cell r="F62" t="str">
            <v>ST JOHN OWASSO</v>
          </cell>
          <cell r="G62" t="str">
            <v>OWASSO,OK 74055-4600</v>
          </cell>
          <cell r="H62" t="str">
            <v>74055</v>
          </cell>
          <cell r="I62" t="str">
            <v>Private</v>
          </cell>
          <cell r="J62" t="str">
            <v>Yes</v>
          </cell>
          <cell r="K62">
            <v>370227</v>
          </cell>
          <cell r="L62">
            <v>44012</v>
          </cell>
          <cell r="M62">
            <v>0.84219999999999995</v>
          </cell>
          <cell r="N62">
            <v>0.84219999999999995</v>
          </cell>
          <cell r="O62">
            <v>0.84219999999999995</v>
          </cell>
          <cell r="P62">
            <v>1045</v>
          </cell>
          <cell r="Q62">
            <v>6615196.9900000002</v>
          </cell>
          <cell r="R62">
            <v>1031136.42</v>
          </cell>
          <cell r="S62">
            <v>132928.79000000007</v>
          </cell>
          <cell r="T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59832</v>
          </cell>
          <cell r="AA62">
            <v>580918</v>
          </cell>
          <cell r="AB62">
            <v>0</v>
          </cell>
          <cell r="AC62">
            <v>0</v>
          </cell>
          <cell r="AD62">
            <v>164091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50203</v>
          </cell>
          <cell r="AJ62">
            <v>2718242</v>
          </cell>
          <cell r="AK62">
            <v>915733.67642569984</v>
          </cell>
          <cell r="AL62">
            <v>5560.934329148</v>
          </cell>
          <cell r="AM62">
            <v>478.77839999999929</v>
          </cell>
          <cell r="AN62">
            <v>0.89324328358208827</v>
          </cell>
          <cell r="AO62">
            <v>2916.349287979936</v>
          </cell>
          <cell r="AP62">
            <v>7883.6165279324523</v>
          </cell>
          <cell r="AQ62">
            <v>314</v>
          </cell>
          <cell r="AR62">
            <v>536</v>
          </cell>
          <cell r="AS62">
            <v>4225618.4589717947</v>
          </cell>
          <cell r="AT62">
            <v>1164065.2100000002</v>
          </cell>
          <cell r="AV62">
            <v>3061553.2489717947</v>
          </cell>
          <cell r="AW62">
            <v>3061553.2489717947</v>
          </cell>
          <cell r="AY62">
            <v>0</v>
          </cell>
        </row>
        <row r="63">
          <cell r="A63" t="str">
            <v>100690020A</v>
          </cell>
          <cell r="B63" t="str">
            <v>100690020C</v>
          </cell>
          <cell r="C63" t="str">
            <v>200980810A</v>
          </cell>
          <cell r="E63" t="str">
            <v>010</v>
          </cell>
          <cell r="F63" t="str">
            <v>ST MARY'S REGIONAL CTR</v>
          </cell>
          <cell r="G63" t="str">
            <v>ENID,OK 73701-</v>
          </cell>
          <cell r="H63" t="str">
            <v>73701</v>
          </cell>
          <cell r="I63" t="str">
            <v>Private</v>
          </cell>
          <cell r="J63" t="str">
            <v>Yes</v>
          </cell>
          <cell r="K63">
            <v>370026</v>
          </cell>
          <cell r="L63">
            <v>44196</v>
          </cell>
          <cell r="M63">
            <v>0.86450000000000005</v>
          </cell>
          <cell r="N63">
            <v>0.86450000000000005</v>
          </cell>
          <cell r="O63">
            <v>0.86450000000000005</v>
          </cell>
          <cell r="P63">
            <v>3952</v>
          </cell>
          <cell r="Q63">
            <v>34096168.950000003</v>
          </cell>
          <cell r="R63">
            <v>3414269.71</v>
          </cell>
          <cell r="S63">
            <v>56645.37999999999</v>
          </cell>
          <cell r="T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286669</v>
          </cell>
          <cell r="AA63">
            <v>1272340</v>
          </cell>
          <cell r="AB63">
            <v>0</v>
          </cell>
          <cell r="AC63">
            <v>0</v>
          </cell>
          <cell r="AD63">
            <v>1339810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179743</v>
          </cell>
          <cell r="AJ63">
            <v>18267217</v>
          </cell>
          <cell r="AK63">
            <v>3262813.9356999998</v>
          </cell>
          <cell r="AL63">
            <v>5646.1576669300002</v>
          </cell>
          <cell r="AM63">
            <v>1114.2034999999989</v>
          </cell>
          <cell r="AN63">
            <v>1.0641867239732559</v>
          </cell>
          <cell r="AO63">
            <v>1782.958434808743</v>
          </cell>
          <cell r="AP63">
            <v>7791.5244654154612</v>
          </cell>
          <cell r="AQ63">
            <v>1830</v>
          </cell>
          <cell r="AR63">
            <v>1047</v>
          </cell>
          <cell r="AS63">
            <v>8157726.115289988</v>
          </cell>
          <cell r="AT63">
            <v>3470915.09</v>
          </cell>
          <cell r="AV63">
            <v>4686811.0252899881</v>
          </cell>
          <cell r="AW63">
            <v>4686811.0252899881</v>
          </cell>
          <cell r="AY63">
            <v>0</v>
          </cell>
        </row>
        <row r="64">
          <cell r="A64" t="str">
            <v>200292720A</v>
          </cell>
          <cell r="E64" t="str">
            <v>010</v>
          </cell>
          <cell r="F64" t="str">
            <v>SUMMIT MEDICAL CENTER, LLC</v>
          </cell>
          <cell r="G64" t="str">
            <v>EDMOND,OK 73013-3023</v>
          </cell>
          <cell r="H64" t="str">
            <v>73013</v>
          </cell>
          <cell r="I64" t="str">
            <v>Private</v>
          </cell>
          <cell r="J64" t="str">
            <v>Yes</v>
          </cell>
          <cell r="K64">
            <v>370225</v>
          </cell>
          <cell r="L64">
            <v>44196</v>
          </cell>
          <cell r="M64">
            <v>0.88280000000000003</v>
          </cell>
          <cell r="N64">
            <v>0.88280000000000003</v>
          </cell>
          <cell r="O64">
            <v>0.88280000000000003</v>
          </cell>
          <cell r="P64">
            <v>2</v>
          </cell>
          <cell r="Q64">
            <v>57973.87</v>
          </cell>
          <cell r="R64">
            <v>7940.09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11808</v>
          </cell>
          <cell r="AA64">
            <v>24316</v>
          </cell>
          <cell r="AB64">
            <v>0</v>
          </cell>
          <cell r="AC64">
            <v>0</v>
          </cell>
          <cell r="AD64">
            <v>46366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626505</v>
          </cell>
          <cell r="AK64">
            <v>87427.026499999993</v>
          </cell>
          <cell r="AL64">
            <v>5716.0943073520002</v>
          </cell>
          <cell r="AM64">
            <v>1.8998999999999999</v>
          </cell>
          <cell r="AN64">
            <v>1.8998999999999999</v>
          </cell>
          <cell r="AO64">
            <v>1507.3625258620689</v>
          </cell>
          <cell r="AP64">
            <v>12367.370100400134</v>
          </cell>
          <cell r="AQ64">
            <v>58</v>
          </cell>
          <cell r="AR64">
            <v>1</v>
          </cell>
          <cell r="AS64">
            <v>12367.370100400134</v>
          </cell>
          <cell r="AT64">
            <v>7940.09</v>
          </cell>
          <cell r="AV64">
            <v>4427.280100400134</v>
          </cell>
          <cell r="AW64">
            <v>4427.280100400134</v>
          </cell>
          <cell r="AY64">
            <v>0</v>
          </cell>
        </row>
        <row r="65">
          <cell r="A65" t="str">
            <v>100691720C</v>
          </cell>
          <cell r="E65" t="str">
            <v>010</v>
          </cell>
          <cell r="F65" t="str">
            <v>SOUTHWESTERN REGIONAL MEDICAL CENTER</v>
          </cell>
          <cell r="G65" t="str">
            <v>TULSA,OK 74133-</v>
          </cell>
          <cell r="H65" t="str">
            <v>74133</v>
          </cell>
          <cell r="I65" t="str">
            <v>Private</v>
          </cell>
          <cell r="J65" t="str">
            <v>Yes</v>
          </cell>
          <cell r="K65">
            <v>370190</v>
          </cell>
          <cell r="L65">
            <v>44012</v>
          </cell>
          <cell r="M65">
            <v>0.84219999999999995</v>
          </cell>
          <cell r="N65">
            <v>0.84219999999999995</v>
          </cell>
          <cell r="O65">
            <v>0.84219999999999995</v>
          </cell>
          <cell r="P65">
            <v>97</v>
          </cell>
          <cell r="Q65">
            <v>1637209.62</v>
          </cell>
          <cell r="R65">
            <v>190827.44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0</v>
          </cell>
          <cell r="Y65">
            <v>26429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619822</v>
          </cell>
          <cell r="AE65">
            <v>5448</v>
          </cell>
          <cell r="AF65">
            <v>0</v>
          </cell>
          <cell r="AG65">
            <v>0</v>
          </cell>
          <cell r="AH65">
            <v>0</v>
          </cell>
          <cell r="AI65">
            <v>14549</v>
          </cell>
          <cell r="AJ65">
            <v>5977050</v>
          </cell>
          <cell r="AK65">
            <v>713537.23369939986</v>
          </cell>
          <cell r="AL65">
            <v>5560.934329148</v>
          </cell>
          <cell r="AM65">
            <v>36.250300000000003</v>
          </cell>
          <cell r="AN65">
            <v>2.0139055555555556</v>
          </cell>
          <cell r="AO65">
            <v>2279.6716731610218</v>
          </cell>
          <cell r="AP65">
            <v>13478.868212711785</v>
          </cell>
          <cell r="AQ65">
            <v>313</v>
          </cell>
          <cell r="AR65">
            <v>18</v>
          </cell>
          <cell r="AS65">
            <v>242619.62782881211</v>
          </cell>
          <cell r="AT65">
            <v>190827.44</v>
          </cell>
          <cell r="AV65">
            <v>51792.187828812108</v>
          </cell>
          <cell r="AW65">
            <v>51792.187828812108</v>
          </cell>
          <cell r="AY65">
            <v>0</v>
          </cell>
        </row>
        <row r="66">
          <cell r="A66" t="str">
            <v>200019120A</v>
          </cell>
          <cell r="E66" t="str">
            <v>010</v>
          </cell>
          <cell r="F66" t="str">
            <v>WOODWARD HEALTH SYSTEM LLC</v>
          </cell>
          <cell r="G66" t="str">
            <v>WOODWARD,OK 73801-2448</v>
          </cell>
          <cell r="H66" t="str">
            <v>73801</v>
          </cell>
          <cell r="I66" t="str">
            <v>Private</v>
          </cell>
          <cell r="J66" t="str">
            <v>Yes</v>
          </cell>
          <cell r="K66">
            <v>370002</v>
          </cell>
          <cell r="L66">
            <v>43982</v>
          </cell>
          <cell r="M66">
            <v>0.86450000000000005</v>
          </cell>
          <cell r="N66">
            <v>0.86450000000000005</v>
          </cell>
          <cell r="O66">
            <v>0.86450000000000005</v>
          </cell>
          <cell r="P66">
            <v>987</v>
          </cell>
          <cell r="Q66">
            <v>10738611.35</v>
          </cell>
          <cell r="R66">
            <v>1033947.13</v>
          </cell>
          <cell r="S66">
            <v>83060.210000000036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48983</v>
          </cell>
          <cell r="AA66">
            <v>508598</v>
          </cell>
          <cell r="AB66">
            <v>0</v>
          </cell>
          <cell r="AC66">
            <v>3472337</v>
          </cell>
          <cell r="AD66">
            <v>269660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48138</v>
          </cell>
          <cell r="AJ66">
            <v>3764066</v>
          </cell>
          <cell r="AK66">
            <v>939135.62095608748</v>
          </cell>
          <cell r="AL66">
            <v>5646.1576669300002</v>
          </cell>
          <cell r="AM66">
            <v>382.7349999999995</v>
          </cell>
          <cell r="AN66">
            <v>0.86985227272727161</v>
          </cell>
          <cell r="AO66">
            <v>2077.7336746816095</v>
          </cell>
          <cell r="AP66">
            <v>6989.0567534371803</v>
          </cell>
          <cell r="AQ66">
            <v>452</v>
          </cell>
          <cell r="AR66">
            <v>440</v>
          </cell>
          <cell r="AS66">
            <v>3075184.9715123596</v>
          </cell>
          <cell r="AT66">
            <v>1117007.3400000001</v>
          </cell>
          <cell r="AV66">
            <v>1958177.6315123595</v>
          </cell>
          <cell r="AW66">
            <v>1958177.6315123595</v>
          </cell>
          <cell r="AY66">
            <v>0</v>
          </cell>
        </row>
        <row r="67">
          <cell r="A67" t="str">
            <v>200080160A</v>
          </cell>
          <cell r="E67" t="str">
            <v>010</v>
          </cell>
          <cell r="F67" t="str">
            <v>CHG CORNERSTONE HOSPITAL OF OKLAHOMA - SHAWNEE</v>
          </cell>
          <cell r="G67" t="str">
            <v>SHAWNEE,OK 74801-</v>
          </cell>
          <cell r="H67" t="str">
            <v>74801</v>
          </cell>
          <cell r="I67" t="str">
            <v>Private - LTCH</v>
          </cell>
          <cell r="J67" t="str">
            <v>Yes</v>
          </cell>
          <cell r="K67">
            <v>372019</v>
          </cell>
          <cell r="L67">
            <v>44074</v>
          </cell>
          <cell r="M67" t="e">
            <v>#N/A</v>
          </cell>
          <cell r="N67">
            <v>0.86890000000000001</v>
          </cell>
          <cell r="O67">
            <v>0.86890000000000001</v>
          </cell>
          <cell r="P67">
            <v>269</v>
          </cell>
          <cell r="Q67">
            <v>2112827.44</v>
          </cell>
          <cell r="R67">
            <v>126628.88</v>
          </cell>
          <cell r="S67">
            <v>91388.4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5662.9730340260003</v>
          </cell>
          <cell r="AM67">
            <v>38.064100000000003</v>
          </cell>
          <cell r="AN67">
            <v>3.4603727272727274</v>
          </cell>
          <cell r="AO67">
            <v>0</v>
          </cell>
          <cell r="AP67">
            <v>19595.997442224463</v>
          </cell>
          <cell r="AQ67">
            <v>233</v>
          </cell>
          <cell r="AR67">
            <v>11</v>
          </cell>
          <cell r="AS67">
            <v>215555.97186446909</v>
          </cell>
          <cell r="AT67">
            <v>218017.28</v>
          </cell>
          <cell r="AV67">
            <v>-2461.3081355309114</v>
          </cell>
          <cell r="AW67">
            <v>-2461.3081355309114</v>
          </cell>
          <cell r="AY67">
            <v>0</v>
          </cell>
        </row>
        <row r="68">
          <cell r="A68" t="str">
            <v>200119790A</v>
          </cell>
          <cell r="B68" t="str">
            <v>200119790B</v>
          </cell>
          <cell r="E68" t="str">
            <v>010</v>
          </cell>
          <cell r="F68" t="str">
            <v>CORNERSTONE HOSPITAL OF OKLAHOMA - MUSKOGEE</v>
          </cell>
          <cell r="G68" t="str">
            <v>MUSKOGEE,OK 74403-4916</v>
          </cell>
          <cell r="H68" t="str">
            <v>74403</v>
          </cell>
          <cell r="I68" t="str">
            <v>Private - LTCH</v>
          </cell>
          <cell r="J68" t="str">
            <v>Yes</v>
          </cell>
          <cell r="K68">
            <v>372022</v>
          </cell>
          <cell r="L68">
            <v>44012</v>
          </cell>
          <cell r="M68" t="e">
            <v>#N/A</v>
          </cell>
          <cell r="N68">
            <v>0.84219999999999995</v>
          </cell>
          <cell r="O68">
            <v>0.84219999999999995</v>
          </cell>
          <cell r="P68">
            <v>3196</v>
          </cell>
          <cell r="Q68">
            <v>35862942.440000005</v>
          </cell>
          <cell r="R68">
            <v>3569074.43</v>
          </cell>
          <cell r="S68">
            <v>199381.28</v>
          </cell>
          <cell r="T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5560.934329148</v>
          </cell>
          <cell r="AM68">
            <v>584.47829999999999</v>
          </cell>
          <cell r="AN68">
            <v>5.7301794117647056</v>
          </cell>
          <cell r="AO68">
            <v>0</v>
          </cell>
          <cell r="AP68">
            <v>31865.151403059444</v>
          </cell>
          <cell r="AQ68">
            <v>601</v>
          </cell>
          <cell r="AR68">
            <v>102</v>
          </cell>
          <cell r="AS68">
            <v>3250245.4431120632</v>
          </cell>
          <cell r="AT68">
            <v>3768455.71</v>
          </cell>
          <cell r="AV68">
            <v>-518210.26688793674</v>
          </cell>
          <cell r="AW68">
            <v>-518210.26688793674</v>
          </cell>
          <cell r="AY68">
            <v>0</v>
          </cell>
        </row>
        <row r="69">
          <cell r="A69" t="str">
            <v>200347120A</v>
          </cell>
          <cell r="E69" t="str">
            <v>010</v>
          </cell>
          <cell r="F69" t="str">
            <v>LTAC HOSPITAL OF EDMOND, LLC</v>
          </cell>
          <cell r="G69" t="str">
            <v>EDMOND,OK 73034-5705</v>
          </cell>
          <cell r="H69" t="str">
            <v>73034</v>
          </cell>
          <cell r="I69" t="str">
            <v>Private - LTCH</v>
          </cell>
          <cell r="J69" t="str">
            <v>Yes</v>
          </cell>
          <cell r="K69">
            <v>372005</v>
          </cell>
          <cell r="L69">
            <v>43982</v>
          </cell>
          <cell r="M69" t="e">
            <v>#N/A</v>
          </cell>
          <cell r="N69">
            <v>0.88280000000000003</v>
          </cell>
          <cell r="O69">
            <v>0.88280000000000003</v>
          </cell>
          <cell r="P69">
            <v>399</v>
          </cell>
          <cell r="Q69">
            <v>2192235.94</v>
          </cell>
          <cell r="R69">
            <v>1088177.76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5716.0943073520002</v>
          </cell>
          <cell r="AM69">
            <v>205.25670000000002</v>
          </cell>
          <cell r="AN69">
            <v>8.9242043478260875</v>
          </cell>
          <cell r="AO69">
            <v>0</v>
          </cell>
          <cell r="AP69">
            <v>51011.593670254668</v>
          </cell>
          <cell r="AQ69">
            <v>200</v>
          </cell>
          <cell r="AR69">
            <v>23</v>
          </cell>
          <cell r="AS69">
            <v>1173266.6544158573</v>
          </cell>
          <cell r="AT69">
            <v>1088177.76</v>
          </cell>
          <cell r="AV69">
            <v>85088.89441585727</v>
          </cell>
          <cell r="AW69">
            <v>85088.89441585727</v>
          </cell>
          <cell r="AY69">
            <v>0</v>
          </cell>
        </row>
        <row r="70">
          <cell r="A70" t="str">
            <v>100689350A</v>
          </cell>
          <cell r="E70" t="str">
            <v>010</v>
          </cell>
          <cell r="F70" t="str">
            <v>SELECT SPECIALTY HOSPITAL - OK</v>
          </cell>
          <cell r="G70" t="str">
            <v>OKLAHOMA CITY,OK 73112-</v>
          </cell>
          <cell r="H70" t="str">
            <v>73112</v>
          </cell>
          <cell r="I70" t="str">
            <v>Private - LTCH</v>
          </cell>
          <cell r="J70" t="str">
            <v>Yes</v>
          </cell>
          <cell r="K70">
            <v>372009</v>
          </cell>
          <cell r="L70">
            <v>44227</v>
          </cell>
          <cell r="M70" t="e">
            <v>#N/A</v>
          </cell>
          <cell r="N70">
            <v>0.88280000000000003</v>
          </cell>
          <cell r="O70">
            <v>0.88280000000000003</v>
          </cell>
          <cell r="P70">
            <v>289</v>
          </cell>
          <cell r="Q70">
            <v>1470212.37</v>
          </cell>
          <cell r="R70">
            <v>169302.23</v>
          </cell>
          <cell r="S70">
            <v>16953.3</v>
          </cell>
          <cell r="T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5716.0943073520002</v>
          </cell>
          <cell r="AM70">
            <v>21.536200000000001</v>
          </cell>
          <cell r="AN70">
            <v>3.0766</v>
          </cell>
          <cell r="AO70">
            <v>0</v>
          </cell>
          <cell r="AP70">
            <v>17586.135745999163</v>
          </cell>
          <cell r="AQ70">
            <v>485</v>
          </cell>
          <cell r="AR70">
            <v>7</v>
          </cell>
          <cell r="AS70">
            <v>123102.95022199414</v>
          </cell>
          <cell r="AT70">
            <v>186255.53</v>
          </cell>
          <cell r="AV70">
            <v>-63152.579778005864</v>
          </cell>
          <cell r="AW70">
            <v>-63152.579778005864</v>
          </cell>
          <cell r="AY70">
            <v>0</v>
          </cell>
        </row>
        <row r="71">
          <cell r="A71" t="str">
            <v>200224040B</v>
          </cell>
          <cell r="E71" t="str">
            <v>010</v>
          </cell>
          <cell r="F71" t="str">
            <v>SELECT SPECIALTY HOSPITAL-TULSA MIDTOWN</v>
          </cell>
          <cell r="G71" t="str">
            <v>TULSA,OK 74120-5418</v>
          </cell>
          <cell r="H71" t="str">
            <v>74120</v>
          </cell>
          <cell r="I71" t="str">
            <v>Private - LTCH</v>
          </cell>
          <cell r="J71" t="str">
            <v>Yes</v>
          </cell>
          <cell r="K71">
            <v>372007</v>
          </cell>
          <cell r="L71">
            <v>44074</v>
          </cell>
          <cell r="M71" t="e">
            <v>#N/A</v>
          </cell>
          <cell r="N71">
            <v>0.86890000000000001</v>
          </cell>
          <cell r="O71">
            <v>0.86890000000000001</v>
          </cell>
          <cell r="P71">
            <v>580</v>
          </cell>
          <cell r="Q71">
            <v>5529699.7800000003</v>
          </cell>
          <cell r="R71">
            <v>835913.45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5662.9730340260003</v>
          </cell>
          <cell r="AM71">
            <v>82.943999999999988</v>
          </cell>
          <cell r="AN71">
            <v>6.3803076923076913</v>
          </cell>
          <cell r="AO71">
            <v>0</v>
          </cell>
          <cell r="AP71">
            <v>36131.510410327115</v>
          </cell>
          <cell r="AQ71">
            <v>271</v>
          </cell>
          <cell r="AR71">
            <v>13</v>
          </cell>
          <cell r="AS71">
            <v>469709.6353342525</v>
          </cell>
          <cell r="AT71">
            <v>835913.45</v>
          </cell>
          <cell r="AV71">
            <v>-366203.81466574746</v>
          </cell>
          <cell r="AW71">
            <v>-366203.81466574746</v>
          </cell>
          <cell r="AY71">
            <v>0</v>
          </cell>
        </row>
        <row r="72">
          <cell r="A72" t="str">
            <v>100746230B</v>
          </cell>
          <cell r="E72" t="str">
            <v>010</v>
          </cell>
          <cell r="F72" t="str">
            <v>COMMUNITY HOSPITAL</v>
          </cell>
          <cell r="G72" t="str">
            <v>OKLAHOMA CITY,OK 73159-7900</v>
          </cell>
          <cell r="H72" t="str">
            <v>73159</v>
          </cell>
          <cell r="I72" t="str">
            <v>Private - Specialty</v>
          </cell>
          <cell r="J72" t="str">
            <v>Yes</v>
          </cell>
          <cell r="K72">
            <v>370203</v>
          </cell>
          <cell r="L72">
            <v>44196</v>
          </cell>
          <cell r="M72">
            <v>0.88280000000000003</v>
          </cell>
          <cell r="N72">
            <v>0.88280000000000003</v>
          </cell>
          <cell r="O72">
            <v>0.88280000000000003</v>
          </cell>
          <cell r="P72">
            <v>325</v>
          </cell>
          <cell r="Q72">
            <v>4718135.0600000005</v>
          </cell>
          <cell r="R72">
            <v>772375.55</v>
          </cell>
          <cell r="S72">
            <v>22326.35</v>
          </cell>
          <cell r="T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719433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8941844</v>
          </cell>
          <cell r="AK72">
            <v>762491.06504999998</v>
          </cell>
          <cell r="AL72">
            <v>5716.0943073520002</v>
          </cell>
          <cell r="AM72">
            <v>195.0849</v>
          </cell>
          <cell r="AN72">
            <v>2.4385612500000002</v>
          </cell>
          <cell r="AO72">
            <v>1268.7039351913477</v>
          </cell>
          <cell r="AP72">
            <v>15207.750014445528</v>
          </cell>
          <cell r="AQ72">
            <v>601</v>
          </cell>
          <cell r="AR72">
            <v>80</v>
          </cell>
          <cell r="AS72">
            <v>1216620.0011556423</v>
          </cell>
          <cell r="AT72">
            <v>794701.9</v>
          </cell>
          <cell r="AV72">
            <v>421918.1011556423</v>
          </cell>
          <cell r="AW72">
            <v>421918.1011556423</v>
          </cell>
          <cell r="AY72">
            <v>0</v>
          </cell>
        </row>
        <row r="73">
          <cell r="A73" t="str">
            <v>200786710A</v>
          </cell>
          <cell r="E73" t="str">
            <v>010</v>
          </cell>
          <cell r="F73" t="str">
            <v>INSPIRE SPECIALTY HOSPITAL</v>
          </cell>
          <cell r="G73" t="str">
            <v>MIDWEST CITY,OK 73110-</v>
          </cell>
          <cell r="H73" t="str">
            <v>73110</v>
          </cell>
          <cell r="I73" t="str">
            <v>Private - Specialty</v>
          </cell>
          <cell r="J73" t="str">
            <v>Yes</v>
          </cell>
          <cell r="K73">
            <v>372012</v>
          </cell>
          <cell r="L73">
            <v>44196</v>
          </cell>
          <cell r="M73" t="e">
            <v>#N/A</v>
          </cell>
          <cell r="N73">
            <v>0.88280000000000003</v>
          </cell>
          <cell r="O73">
            <v>0.88280000000000003</v>
          </cell>
          <cell r="P73">
            <v>730</v>
          </cell>
          <cell r="Q73">
            <v>2956189.53</v>
          </cell>
          <cell r="R73">
            <v>1356559.53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5716.0943073520002</v>
          </cell>
          <cell r="AM73">
            <v>263.69759999999997</v>
          </cell>
          <cell r="AN73">
            <v>7.5342171428571421</v>
          </cell>
          <cell r="AO73">
            <v>0</v>
          </cell>
          <cell r="AP73">
            <v>43066.295720639559</v>
          </cell>
          <cell r="AQ73">
            <v>143</v>
          </cell>
          <cell r="AR73">
            <v>35</v>
          </cell>
          <cell r="AS73">
            <v>1507320.3502223846</v>
          </cell>
          <cell r="AT73">
            <v>1356559.53</v>
          </cell>
          <cell r="AV73">
            <v>150760.82022238453</v>
          </cell>
          <cell r="AW73">
            <v>150760.82022238453</v>
          </cell>
          <cell r="AY73">
            <v>0</v>
          </cell>
        </row>
        <row r="74">
          <cell r="A74" t="str">
            <v>100745350B</v>
          </cell>
          <cell r="E74" t="str">
            <v>010</v>
          </cell>
          <cell r="F74" t="str">
            <v>LAKESIDE WOMENS CENTER OF</v>
          </cell>
          <cell r="G74" t="str">
            <v>OKLAHOMA CITY,OK 73120-</v>
          </cell>
          <cell r="H74" t="str">
            <v>73120</v>
          </cell>
          <cell r="I74" t="str">
            <v>Private - Specialty</v>
          </cell>
          <cell r="J74" t="str">
            <v>Yes</v>
          </cell>
          <cell r="K74">
            <v>370199</v>
          </cell>
          <cell r="L74">
            <v>44012</v>
          </cell>
          <cell r="M74">
            <v>0.88280000000000003</v>
          </cell>
          <cell r="N74">
            <v>0.88280000000000003</v>
          </cell>
          <cell r="O74">
            <v>0.88280000000000003</v>
          </cell>
          <cell r="P74">
            <v>1601</v>
          </cell>
          <cell r="Q74">
            <v>10149102.91</v>
          </cell>
          <cell r="R74">
            <v>1287197.9200000002</v>
          </cell>
          <cell r="S74">
            <v>214387.35000000018</v>
          </cell>
          <cell r="T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1064</v>
          </cell>
          <cell r="AA74">
            <v>98720</v>
          </cell>
          <cell r="AB74">
            <v>0</v>
          </cell>
          <cell r="AC74">
            <v>0</v>
          </cell>
          <cell r="AD74">
            <v>2821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135259</v>
          </cell>
          <cell r="AK74">
            <v>109887.74129712499</v>
          </cell>
          <cell r="AL74">
            <v>5716.0943073520002</v>
          </cell>
          <cell r="AM74">
            <v>570.15829999999733</v>
          </cell>
          <cell r="AN74">
            <v>0.75417764550264199</v>
          </cell>
          <cell r="AO74">
            <v>18314.623549520831</v>
          </cell>
          <cell r="AP74">
            <v>22625.574095710617</v>
          </cell>
          <cell r="AQ74">
            <v>6</v>
          </cell>
          <cell r="AR74">
            <v>756</v>
          </cell>
          <cell r="AS74">
            <v>17104934.016357228</v>
          </cell>
          <cell r="AT74">
            <v>1501585.2700000003</v>
          </cell>
          <cell r="AV74">
            <v>15603348.746357229</v>
          </cell>
          <cell r="AW74">
            <v>15603348.746357229</v>
          </cell>
          <cell r="AY74">
            <v>0</v>
          </cell>
        </row>
        <row r="75">
          <cell r="A75" t="str">
            <v>200069370A</v>
          </cell>
          <cell r="B75" t="str">
            <v>200069370N</v>
          </cell>
          <cell r="E75" t="str">
            <v>010</v>
          </cell>
          <cell r="F75" t="str">
            <v>MCBRIDE CLINIC ORTHOPEDIC HOSPITAL</v>
          </cell>
          <cell r="G75" t="str">
            <v>OKLAHOMA CITY,OK 73114-7408</v>
          </cell>
          <cell r="H75" t="str">
            <v>73114</v>
          </cell>
          <cell r="I75" t="str">
            <v>Private - Specialty</v>
          </cell>
          <cell r="J75" t="str">
            <v>Yes</v>
          </cell>
          <cell r="K75">
            <v>370222</v>
          </cell>
          <cell r="L75">
            <v>44196</v>
          </cell>
          <cell r="M75">
            <v>0.88280000000000003</v>
          </cell>
          <cell r="N75">
            <v>0.88280000000000003</v>
          </cell>
          <cell r="O75">
            <v>0.88280000000000003</v>
          </cell>
          <cell r="P75">
            <v>198</v>
          </cell>
          <cell r="Q75">
            <v>3087872.7100000004</v>
          </cell>
          <cell r="R75">
            <v>640759.87999999989</v>
          </cell>
          <cell r="S75">
            <v>128294.19</v>
          </cell>
          <cell r="T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1605457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6339</v>
          </cell>
          <cell r="AJ75">
            <v>20422739</v>
          </cell>
          <cell r="AK75">
            <v>1708261.9905999999</v>
          </cell>
          <cell r="AL75">
            <v>5716.0943073520002</v>
          </cell>
          <cell r="AM75">
            <v>185.31659999999999</v>
          </cell>
          <cell r="AN75">
            <v>2.6857478260869563</v>
          </cell>
          <cell r="AO75">
            <v>1077.0882664564942</v>
          </cell>
          <cell r="AP75">
            <v>16429.076126135154</v>
          </cell>
          <cell r="AQ75">
            <v>1586</v>
          </cell>
          <cell r="AR75">
            <v>69</v>
          </cell>
          <cell r="AS75">
            <v>1133606.2527033256</v>
          </cell>
          <cell r="AT75">
            <v>769054.06999999983</v>
          </cell>
          <cell r="AV75">
            <v>364552.18270332576</v>
          </cell>
          <cell r="AW75">
            <v>364552.18270332576</v>
          </cell>
          <cell r="AY75">
            <v>0</v>
          </cell>
        </row>
        <row r="76">
          <cell r="A76" t="str">
            <v>200066700A</v>
          </cell>
          <cell r="E76" t="str">
            <v>010</v>
          </cell>
          <cell r="F76" t="str">
            <v>OKLAHOMA CENTER FOR ORTHOPAEDIC &amp; MULTI SPECIALTY</v>
          </cell>
          <cell r="G76" t="str">
            <v>OKLAHOMA CITY,OK 73139-</v>
          </cell>
          <cell r="H76" t="str">
            <v>73139</v>
          </cell>
          <cell r="I76" t="str">
            <v>Private - Specialty</v>
          </cell>
          <cell r="J76" t="str">
            <v>Yes</v>
          </cell>
          <cell r="K76">
            <v>370212</v>
          </cell>
          <cell r="L76">
            <v>44196</v>
          </cell>
          <cell r="M76">
            <v>0.88280000000000003</v>
          </cell>
          <cell r="N76">
            <v>0.88280000000000003</v>
          </cell>
          <cell r="O76">
            <v>0.88280000000000003</v>
          </cell>
          <cell r="P76">
            <v>77</v>
          </cell>
          <cell r="Q76">
            <v>870137.53</v>
          </cell>
          <cell r="R76">
            <v>240524</v>
          </cell>
          <cell r="S76">
            <v>7940.09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159750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14634</v>
          </cell>
          <cell r="AJ76">
            <v>2030465</v>
          </cell>
          <cell r="AK76">
            <v>184820.8824</v>
          </cell>
          <cell r="AL76">
            <v>5716.0943073520002</v>
          </cell>
          <cell r="AM76">
            <v>63.896999999999991</v>
          </cell>
          <cell r="AN76">
            <v>1.7269459459459457</v>
          </cell>
          <cell r="AO76">
            <v>1021.1098475138122</v>
          </cell>
          <cell r="AP76">
            <v>10892.495738240046</v>
          </cell>
          <cell r="AQ76">
            <v>181</v>
          </cell>
          <cell r="AR76">
            <v>37</v>
          </cell>
          <cell r="AS76">
            <v>403022.34231488174</v>
          </cell>
          <cell r="AT76">
            <v>248464.09</v>
          </cell>
          <cell r="AV76">
            <v>154558.25231488174</v>
          </cell>
          <cell r="AW76">
            <v>154558.25231488174</v>
          </cell>
          <cell r="AY76">
            <v>0</v>
          </cell>
        </row>
        <row r="77">
          <cell r="A77" t="str">
            <v>200009170A</v>
          </cell>
          <cell r="E77" t="str">
            <v>010</v>
          </cell>
          <cell r="F77" t="str">
            <v>OKLAHOMA HEART HOSPITAL LLC</v>
          </cell>
          <cell r="G77" t="str">
            <v>OKLAHOMA CITY,OK 73120-8382</v>
          </cell>
          <cell r="H77" t="str">
            <v>73120</v>
          </cell>
          <cell r="I77" t="str">
            <v>Private - Specialty</v>
          </cell>
          <cell r="J77" t="str">
            <v>Yes</v>
          </cell>
          <cell r="K77">
            <v>370215</v>
          </cell>
          <cell r="L77">
            <v>44196</v>
          </cell>
          <cell r="M77">
            <v>0.88280000000000003</v>
          </cell>
          <cell r="N77">
            <v>0.88280000000000003</v>
          </cell>
          <cell r="O77">
            <v>0.88280000000000003</v>
          </cell>
          <cell r="P77">
            <v>3116</v>
          </cell>
          <cell r="Q77">
            <v>36238292.769999996</v>
          </cell>
          <cell r="R77">
            <v>9009984.6500000004</v>
          </cell>
          <cell r="S77">
            <v>15355.07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4004047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219246</v>
          </cell>
          <cell r="AJ77">
            <v>50332604</v>
          </cell>
          <cell r="AK77">
            <v>4476057.08605</v>
          </cell>
          <cell r="AL77">
            <v>5716.0943073520002</v>
          </cell>
          <cell r="AM77">
            <v>1655.9450999999997</v>
          </cell>
          <cell r="AN77">
            <v>3.1968052123552115</v>
          </cell>
          <cell r="AO77">
            <v>1333.7476418504173</v>
          </cell>
          <cell r="AP77">
            <v>19606.987717907243</v>
          </cell>
          <cell r="AQ77">
            <v>3356</v>
          </cell>
          <cell r="AR77">
            <v>518</v>
          </cell>
          <cell r="AS77">
            <v>10156419.637875952</v>
          </cell>
          <cell r="AT77">
            <v>9025339.7200000007</v>
          </cell>
          <cell r="AV77">
            <v>1131079.9178759512</v>
          </cell>
          <cell r="AW77">
            <v>1131079.9178759512</v>
          </cell>
          <cell r="AY77">
            <v>0</v>
          </cell>
        </row>
        <row r="78">
          <cell r="A78" t="str">
            <v>100747140B</v>
          </cell>
          <cell r="E78" t="str">
            <v>010</v>
          </cell>
          <cell r="F78" t="str">
            <v>OKLAHOMA SPINE HOSPITAL</v>
          </cell>
          <cell r="G78" t="str">
            <v>OKLAHOMA CITY,OK 73134-6012</v>
          </cell>
          <cell r="H78" t="str">
            <v>73134</v>
          </cell>
          <cell r="I78" t="str">
            <v>Private - Specialty</v>
          </cell>
          <cell r="J78" t="str">
            <v>Yes</v>
          </cell>
          <cell r="K78">
            <v>370206</v>
          </cell>
          <cell r="L78">
            <v>44196</v>
          </cell>
          <cell r="M78">
            <v>0.88280000000000003</v>
          </cell>
          <cell r="N78">
            <v>0.88280000000000003</v>
          </cell>
          <cell r="O78">
            <v>0.88280000000000003</v>
          </cell>
          <cell r="P78">
            <v>2</v>
          </cell>
          <cell r="Q78">
            <v>135575.10999999999</v>
          </cell>
          <cell r="R78">
            <v>18880.36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1067711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14413002</v>
          </cell>
          <cell r="AK78">
            <v>1131613.5033499999</v>
          </cell>
          <cell r="AL78">
            <v>5716.0943073520002</v>
          </cell>
          <cell r="AM78">
            <v>4.7910000000000004</v>
          </cell>
          <cell r="AN78">
            <v>4.7910000000000004</v>
          </cell>
          <cell r="AO78">
            <v>1988.775928558875</v>
          </cell>
          <cell r="AP78">
            <v>29374.583755082313</v>
          </cell>
          <cell r="AQ78">
            <v>569</v>
          </cell>
          <cell r="AR78">
            <v>1</v>
          </cell>
          <cell r="AS78">
            <v>29374.583755082313</v>
          </cell>
          <cell r="AT78">
            <v>18880.36</v>
          </cell>
          <cell r="AV78">
            <v>10494.223755082312</v>
          </cell>
          <cell r="AW78">
            <v>10494.223755082312</v>
          </cell>
          <cell r="AY78">
            <v>0</v>
          </cell>
        </row>
        <row r="79">
          <cell r="A79" t="str">
            <v>200108340A</v>
          </cell>
          <cell r="E79" t="str">
            <v>010</v>
          </cell>
          <cell r="F79" t="str">
            <v>ONECORE HEALTH</v>
          </cell>
          <cell r="G79" t="str">
            <v>OKLAHOMA CITY,OK 73109-</v>
          </cell>
          <cell r="H79" t="str">
            <v>73109</v>
          </cell>
          <cell r="I79" t="str">
            <v>Private - Specialty</v>
          </cell>
          <cell r="J79" t="str">
            <v>Yes</v>
          </cell>
          <cell r="K79">
            <v>370220</v>
          </cell>
          <cell r="L79">
            <v>44196</v>
          </cell>
          <cell r="M79">
            <v>0.88280000000000003</v>
          </cell>
          <cell r="N79">
            <v>0.88280000000000003</v>
          </cell>
          <cell r="O79">
            <v>0.88280000000000003</v>
          </cell>
          <cell r="P79">
            <v>29</v>
          </cell>
          <cell r="Q79">
            <v>290516.14</v>
          </cell>
          <cell r="R79">
            <v>29809.72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145162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2059</v>
          </cell>
          <cell r="AJ79">
            <v>1766223</v>
          </cell>
          <cell r="AK79">
            <v>156032.17684999999</v>
          </cell>
          <cell r="AL79">
            <v>5716.0943073520002</v>
          </cell>
          <cell r="AM79">
            <v>20.5062</v>
          </cell>
          <cell r="AN79">
            <v>2.563275</v>
          </cell>
          <cell r="AO79">
            <v>1248.2574147999999</v>
          </cell>
          <cell r="AP79">
            <v>15900.179050477698</v>
          </cell>
          <cell r="AQ79">
            <v>125</v>
          </cell>
          <cell r="AR79">
            <v>8</v>
          </cell>
          <cell r="AS79">
            <v>127201.43240382159</v>
          </cell>
          <cell r="AT79">
            <v>29809.72</v>
          </cell>
          <cell r="AV79">
            <v>97391.712403821584</v>
          </cell>
          <cell r="AW79">
            <v>97391.712403821584</v>
          </cell>
          <cell r="AY79">
            <v>0</v>
          </cell>
        </row>
        <row r="80">
          <cell r="A80" t="str">
            <v>100748450B</v>
          </cell>
          <cell r="E80" t="str">
            <v>010</v>
          </cell>
          <cell r="F80" t="str">
            <v>ORTHOPEDIC HOSPITAL OF OKLAHOMA</v>
          </cell>
          <cell r="G80" t="str">
            <v>TULSA,OK 74137-</v>
          </cell>
          <cell r="H80" t="str">
            <v>74137</v>
          </cell>
          <cell r="I80" t="str">
            <v>Private - Specialty</v>
          </cell>
          <cell r="J80" t="str">
            <v>Yes</v>
          </cell>
          <cell r="K80">
            <v>370210</v>
          </cell>
          <cell r="L80">
            <v>44196</v>
          </cell>
          <cell r="M80">
            <v>0.84219999999999995</v>
          </cell>
          <cell r="N80">
            <v>0.84219999999999995</v>
          </cell>
          <cell r="O80">
            <v>0.84219999999999995</v>
          </cell>
          <cell r="P80">
            <v>545</v>
          </cell>
          <cell r="Q80">
            <v>8800364.8300000001</v>
          </cell>
          <cell r="R80">
            <v>2248085.06</v>
          </cell>
          <cell r="S80">
            <v>188893.19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1282471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67510</v>
          </cell>
          <cell r="AJ80">
            <v>16364596</v>
          </cell>
          <cell r="AK80">
            <v>1430777.3628499999</v>
          </cell>
          <cell r="AL80">
            <v>5560.934329148</v>
          </cell>
          <cell r="AM80">
            <v>541.46460000000002</v>
          </cell>
          <cell r="AN80">
            <v>2.4500660633484164</v>
          </cell>
          <cell r="AO80">
            <v>1067.7443006343283</v>
          </cell>
          <cell r="AP80">
            <v>14692.400780989035</v>
          </cell>
          <cell r="AQ80">
            <v>1340</v>
          </cell>
          <cell r="AR80">
            <v>221</v>
          </cell>
          <cell r="AS80">
            <v>3247020.572598577</v>
          </cell>
          <cell r="AT80">
            <v>2436978.25</v>
          </cell>
          <cell r="AV80">
            <v>810042.32259857701</v>
          </cell>
          <cell r="AW80">
            <v>810042.32259857701</v>
          </cell>
          <cell r="AY80">
            <v>0</v>
          </cell>
        </row>
        <row r="81">
          <cell r="A81" t="str">
            <v>200518600A</v>
          </cell>
          <cell r="E81" t="str">
            <v>010</v>
          </cell>
          <cell r="F81" t="str">
            <v>PAM SPECIALTY HOSPITAL OF TULSA</v>
          </cell>
          <cell r="G81" t="str">
            <v>TULSA,OK 74145-</v>
          </cell>
          <cell r="H81" t="str">
            <v>74145</v>
          </cell>
          <cell r="I81" t="str">
            <v>Private - Specialty</v>
          </cell>
          <cell r="J81" t="str">
            <v>Yes</v>
          </cell>
          <cell r="K81">
            <v>372018</v>
          </cell>
          <cell r="L81">
            <v>44074</v>
          </cell>
          <cell r="M81" t="e">
            <v>#N/A</v>
          </cell>
          <cell r="N81" t="e">
            <v>#N/A</v>
          </cell>
          <cell r="O81">
            <v>0.86890000000000001</v>
          </cell>
          <cell r="P81">
            <v>122</v>
          </cell>
          <cell r="Q81">
            <v>1219796.01</v>
          </cell>
          <cell r="R81">
            <v>157950.41</v>
          </cell>
          <cell r="S81">
            <v>22250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5662.9730340260003</v>
          </cell>
          <cell r="AM81">
            <v>36.185199999999995</v>
          </cell>
          <cell r="AN81">
            <v>3.0154333333333327</v>
          </cell>
          <cell r="AO81">
            <v>0</v>
          </cell>
          <cell r="AP81">
            <v>17076.3176525698</v>
          </cell>
          <cell r="AQ81">
            <v>541</v>
          </cell>
          <cell r="AR81">
            <v>12</v>
          </cell>
          <cell r="AS81">
            <v>204915.8118308376</v>
          </cell>
          <cell r="AT81">
            <v>180200.41</v>
          </cell>
          <cell r="AV81">
            <v>24715.401830837596</v>
          </cell>
          <cell r="AW81">
            <v>24715.401830837596</v>
          </cell>
          <cell r="AY81">
            <v>0</v>
          </cell>
        </row>
        <row r="82">
          <cell r="A82" t="str">
            <v>100700530A</v>
          </cell>
          <cell r="E82" t="str">
            <v>010</v>
          </cell>
          <cell r="F82" t="str">
            <v>SURGICAL HOSPITAL OF OKLAHOMA LLC</v>
          </cell>
          <cell r="G82" t="str">
            <v>OKLAHOMA CITY,OK 73129-0000</v>
          </cell>
          <cell r="H82" t="str">
            <v>73129</v>
          </cell>
          <cell r="I82" t="str">
            <v>Private - Specialty</v>
          </cell>
          <cell r="J82" t="str">
            <v>Yes</v>
          </cell>
          <cell r="K82">
            <v>370201</v>
          </cell>
          <cell r="L82">
            <v>44196</v>
          </cell>
          <cell r="M82">
            <v>0.88280000000000003</v>
          </cell>
          <cell r="N82">
            <v>0.88280000000000003</v>
          </cell>
          <cell r="O82">
            <v>0.88280000000000003</v>
          </cell>
          <cell r="P82">
            <v>68</v>
          </cell>
          <cell r="Q82">
            <v>2609157.98</v>
          </cell>
          <cell r="R82">
            <v>349168.87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144020</v>
          </cell>
          <cell r="Z82">
            <v>6201</v>
          </cell>
          <cell r="AA82">
            <v>54560</v>
          </cell>
          <cell r="AB82">
            <v>0</v>
          </cell>
          <cell r="AC82">
            <v>0</v>
          </cell>
          <cell r="AD82">
            <v>131402</v>
          </cell>
          <cell r="AE82">
            <v>71293</v>
          </cell>
          <cell r="AF82">
            <v>0</v>
          </cell>
          <cell r="AG82">
            <v>0</v>
          </cell>
          <cell r="AH82">
            <v>0</v>
          </cell>
          <cell r="AI82">
            <v>20581</v>
          </cell>
          <cell r="AJ82">
            <v>1262079</v>
          </cell>
          <cell r="AK82">
            <v>453676.21145</v>
          </cell>
          <cell r="AL82">
            <v>5716.0943073520002</v>
          </cell>
          <cell r="AM82">
            <v>84.286000000000001</v>
          </cell>
          <cell r="AN82">
            <v>1.9601395348837209</v>
          </cell>
          <cell r="AO82">
            <v>6389.8057950704224</v>
          </cell>
          <cell r="AP82">
            <v>17594.148232034859</v>
          </cell>
          <cell r="AQ82">
            <v>71</v>
          </cell>
          <cell r="AR82">
            <v>43</v>
          </cell>
          <cell r="AS82">
            <v>756548.37397749897</v>
          </cell>
          <cell r="AT82">
            <v>349168.87</v>
          </cell>
          <cell r="AV82">
            <v>407379.50397749897</v>
          </cell>
          <cell r="AW82">
            <v>407379.50397749897</v>
          </cell>
          <cell r="AY82">
            <v>0</v>
          </cell>
        </row>
        <row r="83">
          <cell r="A83" t="str">
            <v>200006260A</v>
          </cell>
          <cell r="E83" t="str">
            <v>010</v>
          </cell>
          <cell r="F83" t="str">
            <v>TULSA SPINE HOSPITAL</v>
          </cell>
          <cell r="G83" t="str">
            <v>TULSA,OK 74132-</v>
          </cell>
          <cell r="H83" t="str">
            <v>74132</v>
          </cell>
          <cell r="I83" t="str">
            <v>Private - Specialty</v>
          </cell>
          <cell r="J83" t="str">
            <v>Yes</v>
          </cell>
          <cell r="K83">
            <v>370216</v>
          </cell>
          <cell r="L83">
            <v>44196</v>
          </cell>
          <cell r="M83">
            <v>0.84219999999999995</v>
          </cell>
          <cell r="N83">
            <v>0.84219999999999995</v>
          </cell>
          <cell r="O83">
            <v>0.84219999999999995</v>
          </cell>
          <cell r="P83">
            <v>205</v>
          </cell>
          <cell r="Q83">
            <v>7062727.4000000004</v>
          </cell>
          <cell r="R83">
            <v>1089774.46</v>
          </cell>
          <cell r="S83">
            <v>59752.76</v>
          </cell>
          <cell r="T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639871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18740</v>
          </cell>
          <cell r="AJ83">
            <v>8124001</v>
          </cell>
          <cell r="AK83">
            <v>698028.86835</v>
          </cell>
          <cell r="AL83">
            <v>5560.934329148</v>
          </cell>
          <cell r="AM83">
            <v>287.55379999999991</v>
          </cell>
          <cell r="AN83">
            <v>3.594422499999999</v>
          </cell>
          <cell r="AO83">
            <v>1715.0586445945946</v>
          </cell>
          <cell r="AP83">
            <v>21703.406118306568</v>
          </cell>
          <cell r="AQ83">
            <v>407</v>
          </cell>
          <cell r="AR83">
            <v>80</v>
          </cell>
          <cell r="AS83">
            <v>1736272.4894645254</v>
          </cell>
          <cell r="AT83">
            <v>1149527.22</v>
          </cell>
          <cell r="AV83">
            <v>586745.26946452539</v>
          </cell>
          <cell r="AW83">
            <v>586745.26946452539</v>
          </cell>
          <cell r="AY83">
            <v>0</v>
          </cell>
        </row>
        <row r="84">
          <cell r="AV84">
            <v>456330260.30523849</v>
          </cell>
          <cell r="AW84">
            <v>456330260.30523849</v>
          </cell>
          <cell r="AY84">
            <v>516163.15</v>
          </cell>
        </row>
        <row r="85">
          <cell r="AW85">
            <v>478979541.71123821</v>
          </cell>
        </row>
        <row r="86">
          <cell r="A86" t="str">
            <v>200752850A</v>
          </cell>
          <cell r="B86" t="str">
            <v>200752850D</v>
          </cell>
          <cell r="E86" t="str">
            <v>010</v>
          </cell>
          <cell r="F86" t="str">
            <v>OU MEDICINE MI</v>
          </cell>
          <cell r="G86" t="str">
            <v>OKLAHOMA CITY,OK 73104-5047</v>
          </cell>
          <cell r="H86" t="str">
            <v>73104</v>
          </cell>
          <cell r="I86" t="str">
            <v>Public</v>
          </cell>
          <cell r="J86" t="str">
            <v>Yes</v>
          </cell>
          <cell r="K86">
            <v>370093</v>
          </cell>
          <cell r="L86">
            <v>44012</v>
          </cell>
          <cell r="M86">
            <v>0.88280000000000003</v>
          </cell>
          <cell r="N86">
            <v>0.88280000000000003</v>
          </cell>
          <cell r="O86">
            <v>0.88280000000000003</v>
          </cell>
          <cell r="P86">
            <v>98961</v>
          </cell>
          <cell r="Q86">
            <v>1827071098.3</v>
          </cell>
          <cell r="R86">
            <v>145940337.34</v>
          </cell>
          <cell r="S86">
            <v>2577215.5399999986</v>
          </cell>
          <cell r="T86">
            <v>2736695</v>
          </cell>
          <cell r="U86">
            <v>18475458</v>
          </cell>
          <cell r="V86">
            <v>9936.4599999999991</v>
          </cell>
          <cell r="X86">
            <v>9502332</v>
          </cell>
          <cell r="Y86">
            <v>13425404</v>
          </cell>
          <cell r="Z86">
            <v>5051084</v>
          </cell>
          <cell r="AA86">
            <v>21948301</v>
          </cell>
          <cell r="AB86">
            <v>0</v>
          </cell>
          <cell r="AC86">
            <v>0</v>
          </cell>
          <cell r="AD86">
            <v>7443360</v>
          </cell>
          <cell r="AE86">
            <v>5610063</v>
          </cell>
          <cell r="AF86">
            <v>5663701</v>
          </cell>
          <cell r="AG86">
            <v>324812</v>
          </cell>
          <cell r="AH86">
            <v>4797</v>
          </cell>
          <cell r="AI86">
            <v>738912</v>
          </cell>
          <cell r="AJ86">
            <v>110032902</v>
          </cell>
          <cell r="AK86">
            <v>74660868.333073542</v>
          </cell>
          <cell r="AL86">
            <v>5716.0943073520002</v>
          </cell>
          <cell r="AM86">
            <v>26560.789700000038</v>
          </cell>
          <cell r="AN86">
            <v>1.7947692208933061</v>
          </cell>
          <cell r="AO86">
            <v>15929.351041833484</v>
          </cell>
          <cell r="AP86">
            <v>26188.421168392299</v>
          </cell>
          <cell r="AQ86">
            <v>4687</v>
          </cell>
          <cell r="AR86">
            <v>14799</v>
          </cell>
          <cell r="AS86">
            <v>387562444.8710376</v>
          </cell>
          <cell r="AT86">
            <v>169739642.34</v>
          </cell>
          <cell r="AV86">
            <v>1.03759765625E-3</v>
          </cell>
          <cell r="AW86">
            <v>1.03759765625E-3</v>
          </cell>
          <cell r="AY86">
            <v>217822802.53</v>
          </cell>
        </row>
        <row r="87">
          <cell r="A87" t="str">
            <v>200752850A E</v>
          </cell>
          <cell r="E87" t="str">
            <v>010</v>
          </cell>
          <cell r="F87" t="str">
            <v>OU MEDICINE EDMOND</v>
          </cell>
          <cell r="G87" t="str">
            <v>OKLAHOMA CITY,OK 73104-5047</v>
          </cell>
          <cell r="H87" t="str">
            <v>73104</v>
          </cell>
          <cell r="I87" t="str">
            <v>Public</v>
          </cell>
          <cell r="J87" t="str">
            <v>Yes</v>
          </cell>
          <cell r="K87">
            <v>370093</v>
          </cell>
          <cell r="L87">
            <v>44012</v>
          </cell>
          <cell r="M87">
            <v>0.88280000000000003</v>
          </cell>
          <cell r="N87">
            <v>0.88280000000000003</v>
          </cell>
          <cell r="O87">
            <v>0.88280000000000003</v>
          </cell>
          <cell r="P87">
            <v>2497</v>
          </cell>
          <cell r="Q87">
            <v>46598463.030000001</v>
          </cell>
          <cell r="R87">
            <v>3277339.19</v>
          </cell>
          <cell r="S87">
            <v>51122.960000000006</v>
          </cell>
          <cell r="T87">
            <v>0</v>
          </cell>
          <cell r="U87">
            <v>0</v>
          </cell>
          <cell r="V87">
            <v>0</v>
          </cell>
          <cell r="X87">
            <v>729953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1456952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109207</v>
          </cell>
          <cell r="AJ87">
            <v>15332049</v>
          </cell>
          <cell r="AK87">
            <v>2459086.4133835998</v>
          </cell>
          <cell r="AL87">
            <v>5716.0943073520002</v>
          </cell>
          <cell r="AM87">
            <v>749.72760000000017</v>
          </cell>
          <cell r="AN87">
            <v>1.5300563265306126</v>
          </cell>
          <cell r="AO87">
            <v>2624.425201049733</v>
          </cell>
          <cell r="AP87">
            <v>11370.371459059281</v>
          </cell>
          <cell r="AQ87">
            <v>937</v>
          </cell>
          <cell r="AR87">
            <v>490</v>
          </cell>
          <cell r="AS87">
            <v>5571482.0149390474</v>
          </cell>
          <cell r="AT87">
            <v>3328462.15</v>
          </cell>
          <cell r="AV87">
            <v>2243019.8649390475</v>
          </cell>
          <cell r="AW87">
            <v>2243019.8649390475</v>
          </cell>
        </row>
        <row r="93">
          <cell r="R93">
            <v>1</v>
          </cell>
        </row>
        <row r="97">
          <cell r="F97" t="str">
            <v>BOONE HOSPITAL CENTER</v>
          </cell>
          <cell r="G97" t="str">
            <v>COLUMBIA, MO</v>
          </cell>
          <cell r="K97">
            <v>260068</v>
          </cell>
          <cell r="L97">
            <v>44196</v>
          </cell>
          <cell r="M97">
            <v>0.84260000000000002</v>
          </cell>
          <cell r="N97">
            <v>0.84260000000000002</v>
          </cell>
          <cell r="O97">
            <v>0.84260000000000002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4812350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373038</v>
          </cell>
          <cell r="AJ97">
            <v>59127712</v>
          </cell>
          <cell r="AK97">
            <v>5495733.4717999995</v>
          </cell>
          <cell r="AL97">
            <v>5562.4629988840006</v>
          </cell>
          <cell r="AM97">
            <v>18.991099999999999</v>
          </cell>
          <cell r="AN97">
            <v>18.991099999999999</v>
          </cell>
          <cell r="AO97">
            <v>1139.4844436657681</v>
          </cell>
          <cell r="AP97">
            <v>106776.77550177171</v>
          </cell>
          <cell r="AQ97">
            <v>4823</v>
          </cell>
          <cell r="AR97">
            <v>1</v>
          </cell>
          <cell r="AS97">
            <v>106776.77550177171</v>
          </cell>
          <cell r="AT97">
            <v>0</v>
          </cell>
        </row>
      </sheetData>
      <sheetData sheetId="7">
        <row r="1">
          <cell r="O1">
            <v>2.5000000000000001E-2</v>
          </cell>
          <cell r="P1">
            <v>2.5999999999999999E-2</v>
          </cell>
        </row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  <cell r="G2" t="str">
            <v>Ownership Indicator</v>
          </cell>
          <cell r="H2" t="str">
            <v>Billing Full Name</v>
          </cell>
          <cell r="I2" t="str">
            <v>Billing Full Street Addr</v>
          </cell>
          <cell r="J2" t="str">
            <v>Billing City/St/Zip Code</v>
          </cell>
          <cell r="K2" t="str">
            <v>State</v>
          </cell>
          <cell r="L2" t="str">
            <v>CMS_ID</v>
          </cell>
          <cell r="M2" t="str">
            <v>FY_BGN_DT</v>
          </cell>
          <cell r="N2" t="str">
            <v>FY_END_DT</v>
          </cell>
          <cell r="O2" t="str">
            <v>Single Point in Time Midpoint SFY18 = 12/31/2017</v>
          </cell>
          <cell r="P2" t="str">
            <v>Single Point in Time Midpoint SFY19 = 12/31/2018</v>
          </cell>
          <cell r="Q2" t="str">
            <v>Inpatient CCR</v>
          </cell>
          <cell r="S2" t="str">
            <v>Claim Type</v>
          </cell>
          <cell r="T2" t="str">
            <v>Inpt Covered Days</v>
          </cell>
          <cell r="U2" t="str">
            <v>Inpt Billed Amount</v>
          </cell>
          <cell r="V2" t="str">
            <v>Inpt Paid Amount</v>
          </cell>
          <cell r="W2" t="str">
            <v>Inpt TPL  Amount</v>
          </cell>
          <cell r="X2" t="str">
            <v>Paid Count</v>
          </cell>
          <cell r="Y2" t="str">
            <v>ICN Undup Count</v>
          </cell>
          <cell r="Z2" t="str">
            <v xml:space="preserve">Inpt SHOPP Assessment </v>
          </cell>
          <cell r="AA2" t="str">
            <v>Inpt Expenditures</v>
          </cell>
          <cell r="AB2" t="str">
            <v>Inpt Supplementals</v>
          </cell>
          <cell r="AC2" t="str">
            <v>GME</v>
          </cell>
          <cell r="AD2" t="str">
            <v>IME</v>
          </cell>
          <cell r="AF2" t="str">
            <v>Total Inpt Cost</v>
          </cell>
          <cell r="AH2" t="str">
            <v xml:space="preserve">Inflated Inpatient Cost </v>
          </cell>
          <cell r="AI2" t="str">
            <v>Total Inpt Pymts</v>
          </cell>
          <cell r="AJ2" t="str">
            <v>Inpatient (Over) / under cost WITHOUT SHOPP</v>
          </cell>
          <cell r="AK2" t="str">
            <v>Inpt (Over) / Under cost Shopp calc              INCLUDING SHOPP &amp; SUPPLMENTAL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  <cell r="G3" t="str">
            <v>NSGO</v>
          </cell>
          <cell r="H3" t="str">
            <v>ARBUCKLE MEM HSP</v>
          </cell>
          <cell r="I3" t="str">
            <v>2011 W BROADWAY</v>
          </cell>
          <cell r="J3" t="str">
            <v>SULPHUR,OK 73086-8109</v>
          </cell>
          <cell r="K3" t="str">
            <v>OK</v>
          </cell>
          <cell r="L3" t="str">
            <v>371328</v>
          </cell>
          <cell r="M3">
            <v>43831</v>
          </cell>
          <cell r="N3">
            <v>44196</v>
          </cell>
          <cell r="Q3">
            <v>0.6956450682341816</v>
          </cell>
          <cell r="S3" t="str">
            <v>I</v>
          </cell>
          <cell r="T3">
            <v>189</v>
          </cell>
          <cell r="U3">
            <v>624802.67999999993</v>
          </cell>
          <cell r="V3">
            <v>210476.76</v>
          </cell>
          <cell r="W3">
            <v>29281.120000000003</v>
          </cell>
          <cell r="X3">
            <v>46</v>
          </cell>
          <cell r="Y3">
            <v>54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F3">
            <v>438943.84790081833</v>
          </cell>
          <cell r="AH3">
            <v>465168.00693000463</v>
          </cell>
          <cell r="AI3">
            <v>239757.88</v>
          </cell>
          <cell r="AJ3">
            <v>225410.12693000463</v>
          </cell>
          <cell r="AK3">
            <v>225410.12693000463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  <cell r="G4" t="str">
            <v>NSGO</v>
          </cell>
          <cell r="H4" t="str">
            <v>ATOKA COUNTY HEALTHCARE AUTHORITY</v>
          </cell>
          <cell r="I4" t="str">
            <v>1590 W LIBERTY ROAD</v>
          </cell>
          <cell r="J4" t="str">
            <v>ATOKA,OK 74525-</v>
          </cell>
          <cell r="K4" t="str">
            <v>OK</v>
          </cell>
          <cell r="L4" t="str">
            <v>371300</v>
          </cell>
          <cell r="M4">
            <v>43831</v>
          </cell>
          <cell r="N4">
            <v>44196</v>
          </cell>
          <cell r="Q4">
            <v>0.5366902827128911</v>
          </cell>
          <cell r="S4" t="str">
            <v>I</v>
          </cell>
          <cell r="T4">
            <v>342</v>
          </cell>
          <cell r="U4">
            <v>989235.38</v>
          </cell>
          <cell r="V4">
            <v>208245.09999999998</v>
          </cell>
          <cell r="W4">
            <v>0</v>
          </cell>
          <cell r="X4">
            <v>47</v>
          </cell>
          <cell r="Y4">
            <v>53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F4">
            <v>536169.05461783602</v>
          </cell>
          <cell r="AH4">
            <v>568201.81375563727</v>
          </cell>
          <cell r="AI4">
            <v>208245.09999999998</v>
          </cell>
          <cell r="AJ4">
            <v>359956.71375563729</v>
          </cell>
          <cell r="AK4">
            <v>359956.71375563729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  <cell r="G5" t="str">
            <v>NSGO</v>
          </cell>
          <cell r="H5" t="str">
            <v>BEAVER COUNTY MEMORIAL HOSPITAL</v>
          </cell>
          <cell r="I5" t="str">
            <v xml:space="preserve">212 E. 8TH STREET  </v>
          </cell>
          <cell r="J5" t="str">
            <v xml:space="preserve">BEAVER         </v>
          </cell>
          <cell r="K5" t="str">
            <v>OK</v>
          </cell>
          <cell r="L5">
            <v>370041</v>
          </cell>
          <cell r="M5">
            <v>43466</v>
          </cell>
          <cell r="N5">
            <v>43830</v>
          </cell>
          <cell r="Q5">
            <v>0.68913093173668183</v>
          </cell>
          <cell r="S5" t="str">
            <v>I</v>
          </cell>
          <cell r="T5">
            <v>3</v>
          </cell>
          <cell r="U5">
            <v>6903</v>
          </cell>
          <cell r="V5">
            <v>3729.6</v>
          </cell>
          <cell r="W5">
            <v>0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F5">
            <v>4804.1658229139202</v>
          </cell>
          <cell r="AH5">
            <v>5198.3277986669427</v>
          </cell>
          <cell r="AI5">
            <v>3729.6</v>
          </cell>
          <cell r="AJ5">
            <v>1468.7277986669428</v>
          </cell>
          <cell r="AK5">
            <v>1468.7277986669428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  <cell r="G6" t="str">
            <v>NSGO</v>
          </cell>
          <cell r="H6" t="str">
            <v>CARNEGIE TRI-COUNTY MUNICI</v>
          </cell>
          <cell r="I6" t="str">
            <v>MUNICIPAL HOSPITAL  102 N BROADWAY</v>
          </cell>
          <cell r="J6" t="str">
            <v>CARNEGIE,OK 73015-9073</v>
          </cell>
          <cell r="K6" t="str">
            <v>OK</v>
          </cell>
          <cell r="L6" t="str">
            <v>371334</v>
          </cell>
          <cell r="M6">
            <v>43586</v>
          </cell>
          <cell r="N6">
            <v>43951</v>
          </cell>
          <cell r="Q6">
            <v>1.1668478015234798</v>
          </cell>
          <cell r="S6" t="str">
            <v>I</v>
          </cell>
          <cell r="T6">
            <v>58</v>
          </cell>
          <cell r="U6">
            <v>225968.52</v>
          </cell>
          <cell r="V6">
            <v>55416.78</v>
          </cell>
          <cell r="W6">
            <v>0</v>
          </cell>
          <cell r="X6">
            <v>10</v>
          </cell>
          <cell r="Y6">
            <v>18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F6">
            <v>266281.21239619207</v>
          </cell>
          <cell r="AH6">
            <v>286171.90316088841</v>
          </cell>
          <cell r="AI6">
            <v>55416.78</v>
          </cell>
          <cell r="AJ6">
            <v>230755.12316088841</v>
          </cell>
          <cell r="AK6">
            <v>230755.12316088841</v>
          </cell>
        </row>
        <row r="7">
          <cell r="A7" t="str">
            <v>100700740A</v>
          </cell>
          <cell r="E7" t="str">
            <v>014</v>
          </cell>
          <cell r="F7" t="str">
            <v>No</v>
          </cell>
          <cell r="G7" t="str">
            <v>NSGO</v>
          </cell>
          <cell r="H7" t="str">
            <v>CIMARRON MEMORIAL HOSPITAL</v>
          </cell>
          <cell r="I7" t="str">
            <v>100 S ELLIS AVE</v>
          </cell>
          <cell r="J7" t="str">
            <v>BOISE CITY,OK 73933-</v>
          </cell>
          <cell r="K7" t="str">
            <v>OK</v>
          </cell>
          <cell r="L7" t="str">
            <v>371307</v>
          </cell>
          <cell r="M7">
            <v>43831</v>
          </cell>
          <cell r="N7">
            <v>44196</v>
          </cell>
          <cell r="Q7">
            <v>1.0616557751759963</v>
          </cell>
          <cell r="S7" t="str">
            <v>I</v>
          </cell>
          <cell r="T7">
            <v>24</v>
          </cell>
          <cell r="U7">
            <v>53173.48</v>
          </cell>
          <cell r="V7">
            <v>8540.4500000000007</v>
          </cell>
          <cell r="W7">
            <v>2000</v>
          </cell>
          <cell r="X7">
            <v>3</v>
          </cell>
          <cell r="Y7">
            <v>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57010.806256274576</v>
          </cell>
          <cell r="AH7">
            <v>60416.846588760316</v>
          </cell>
          <cell r="AI7">
            <v>10540.45</v>
          </cell>
          <cell r="AJ7">
            <v>49876.396588760312</v>
          </cell>
          <cell r="AK7">
            <v>49876.396588760312</v>
          </cell>
        </row>
        <row r="8">
          <cell r="A8" t="str">
            <v>200234090B</v>
          </cell>
          <cell r="E8" t="str">
            <v>014</v>
          </cell>
          <cell r="F8" t="str">
            <v>No</v>
          </cell>
          <cell r="G8" t="str">
            <v>NSGO</v>
          </cell>
          <cell r="H8" t="str">
            <v>CLEVELAND AREA HOSPITAL</v>
          </cell>
          <cell r="I8" t="str">
            <v>1401 W PAWNEE ST</v>
          </cell>
          <cell r="J8" t="str">
            <v>CLEVELAND,OK 74020-3020</v>
          </cell>
          <cell r="K8" t="str">
            <v>OK</v>
          </cell>
          <cell r="L8" t="str">
            <v>371320</v>
          </cell>
          <cell r="M8">
            <v>43831</v>
          </cell>
          <cell r="N8">
            <v>44196</v>
          </cell>
          <cell r="Q8">
            <v>1.1591698927712155</v>
          </cell>
          <cell r="S8" t="str">
            <v>I</v>
          </cell>
          <cell r="T8">
            <v>13</v>
          </cell>
          <cell r="U8">
            <v>48547.43</v>
          </cell>
          <cell r="V8">
            <v>24448.560000000001</v>
          </cell>
          <cell r="W8">
            <v>0</v>
          </cell>
          <cell r="X8">
            <v>5</v>
          </cell>
          <cell r="Y8">
            <v>9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56831.838947769531</v>
          </cell>
          <cell r="AH8">
            <v>60227.187099053263</v>
          </cell>
          <cell r="AI8">
            <v>24448.560000000001</v>
          </cell>
          <cell r="AJ8">
            <v>35778.627099053265</v>
          </cell>
          <cell r="AK8">
            <v>35778.627099053265</v>
          </cell>
        </row>
        <row r="9">
          <cell r="A9" t="str">
            <v>100819200B</v>
          </cell>
          <cell r="E9" t="str">
            <v>014</v>
          </cell>
          <cell r="F9" t="str">
            <v>No</v>
          </cell>
          <cell r="G9" t="str">
            <v>NSGO</v>
          </cell>
          <cell r="H9" t="str">
            <v>CORDELL MEMORIAL HOSPITAL</v>
          </cell>
          <cell r="I9" t="str">
            <v>1220 N GLENN ENGLISH</v>
          </cell>
          <cell r="J9" t="str">
            <v>CORDELL,OK 73632-</v>
          </cell>
          <cell r="K9" t="str">
            <v>OK</v>
          </cell>
          <cell r="L9" t="str">
            <v>371325</v>
          </cell>
          <cell r="M9">
            <v>43647</v>
          </cell>
          <cell r="N9">
            <v>44012</v>
          </cell>
          <cell r="Q9">
            <v>1.0212444939099901</v>
          </cell>
          <cell r="S9" t="str">
            <v>I</v>
          </cell>
          <cell r="T9">
            <v>38</v>
          </cell>
          <cell r="U9">
            <v>190862.90000000002</v>
          </cell>
          <cell r="V9">
            <v>80689.91</v>
          </cell>
          <cell r="W9">
            <v>8033.92</v>
          </cell>
          <cell r="X9">
            <v>14</v>
          </cell>
          <cell r="Y9">
            <v>14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196847.37080528832</v>
          </cell>
          <cell r="AH9">
            <v>210819.28715043864</v>
          </cell>
          <cell r="AI9">
            <v>88723.83</v>
          </cell>
          <cell r="AJ9">
            <v>122095.45715043864</v>
          </cell>
          <cell r="AK9">
            <v>122095.45715043864</v>
          </cell>
        </row>
        <row r="10">
          <cell r="A10" t="str">
            <v>200910710B</v>
          </cell>
          <cell r="B10" t="str">
            <v>200259440A</v>
          </cell>
          <cell r="E10" t="str">
            <v>014</v>
          </cell>
          <cell r="F10" t="str">
            <v>No</v>
          </cell>
          <cell r="G10" t="str">
            <v>Private</v>
          </cell>
          <cell r="H10" t="str">
            <v>DRUMRIGHT COMMUNITY HOSPITAL LLC</v>
          </cell>
          <cell r="I10" t="str">
            <v xml:space="preserve">610 W BYPASS  </v>
          </cell>
          <cell r="J10" t="str">
            <v>DRUMRIGHT,OK  74030-5957</v>
          </cell>
          <cell r="K10" t="str">
            <v>OK</v>
          </cell>
          <cell r="L10">
            <v>371331</v>
          </cell>
          <cell r="M10">
            <v>43831</v>
          </cell>
          <cell r="N10">
            <v>44196</v>
          </cell>
          <cell r="Q10">
            <v>0.597819478097949</v>
          </cell>
          <cell r="S10" t="str">
            <v>I</v>
          </cell>
          <cell r="T10">
            <v>151</v>
          </cell>
          <cell r="U10">
            <v>426792.55</v>
          </cell>
          <cell r="V10">
            <v>155035.6</v>
          </cell>
          <cell r="W10">
            <v>3005</v>
          </cell>
          <cell r="X10">
            <v>42</v>
          </cell>
          <cell r="Y10">
            <v>57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257670.83400211402</v>
          </cell>
          <cell r="AH10">
            <v>273065.06030319963</v>
          </cell>
          <cell r="AI10">
            <v>158040.6</v>
          </cell>
          <cell r="AJ10">
            <v>115024.46030319962</v>
          </cell>
          <cell r="AK10">
            <v>115024.46030319962</v>
          </cell>
        </row>
        <row r="11">
          <cell r="A11" t="str">
            <v>100700730A</v>
          </cell>
          <cell r="E11" t="str">
            <v>014</v>
          </cell>
          <cell r="F11" t="str">
            <v>No</v>
          </cell>
          <cell r="G11" t="str">
            <v>NSGO</v>
          </cell>
          <cell r="H11" t="str">
            <v>EASTERN OKLAHOMA MEDICAL CENTER</v>
          </cell>
          <cell r="I11" t="str">
            <v>105 WALL STREET</v>
          </cell>
          <cell r="J11" t="str">
            <v>POTEAU,OK 74953-</v>
          </cell>
          <cell r="K11" t="str">
            <v>OK</v>
          </cell>
          <cell r="L11" t="str">
            <v>371337</v>
          </cell>
          <cell r="M11">
            <v>43647</v>
          </cell>
          <cell r="N11">
            <v>44012</v>
          </cell>
          <cell r="Q11">
            <v>0.97878197218169094</v>
          </cell>
          <cell r="S11" t="str">
            <v>I</v>
          </cell>
          <cell r="T11">
            <v>866</v>
          </cell>
          <cell r="U11">
            <v>2326723.94</v>
          </cell>
          <cell r="V11">
            <v>914489.74</v>
          </cell>
          <cell r="W11">
            <v>72910.05</v>
          </cell>
          <cell r="X11">
            <v>360</v>
          </cell>
          <cell r="Y11">
            <v>539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2299901.2656380381</v>
          </cell>
          <cell r="AH11">
            <v>2463144.6351285321</v>
          </cell>
          <cell r="AI11">
            <v>987399.79</v>
          </cell>
          <cell r="AJ11">
            <v>1475744.845128532</v>
          </cell>
          <cell r="AK11">
            <v>1475744.845128532</v>
          </cell>
        </row>
        <row r="12">
          <cell r="A12" t="str">
            <v>100700800A</v>
          </cell>
          <cell r="E12" t="str">
            <v>014</v>
          </cell>
          <cell r="F12" t="str">
            <v>No</v>
          </cell>
          <cell r="G12" t="str">
            <v>NSGO</v>
          </cell>
          <cell r="H12" t="str">
            <v>FAIRVIEW HSP</v>
          </cell>
          <cell r="I12" t="str">
            <v>523 STATE RD</v>
          </cell>
          <cell r="J12" t="str">
            <v>FAIRVIEW,OK 73737-</v>
          </cell>
          <cell r="K12" t="str">
            <v>OK</v>
          </cell>
          <cell r="L12" t="str">
            <v>371329</v>
          </cell>
          <cell r="M12">
            <v>43647</v>
          </cell>
          <cell r="N12">
            <v>44012</v>
          </cell>
          <cell r="Q12">
            <v>1.0253174481732108</v>
          </cell>
          <cell r="S12" t="str">
            <v>I</v>
          </cell>
          <cell r="T12">
            <v>25</v>
          </cell>
          <cell r="U12">
            <v>84178.5</v>
          </cell>
          <cell r="V12">
            <v>17322.48</v>
          </cell>
          <cell r="W12">
            <v>0</v>
          </cell>
          <cell r="X12">
            <v>4</v>
          </cell>
          <cell r="Y12">
            <v>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87164.150690678012</v>
          </cell>
          <cell r="AH12">
            <v>93350.924823164984</v>
          </cell>
          <cell r="AI12">
            <v>17322.48</v>
          </cell>
          <cell r="AJ12">
            <v>76028.444823164988</v>
          </cell>
          <cell r="AK12">
            <v>76028.444823164988</v>
          </cell>
        </row>
        <row r="13">
          <cell r="A13" t="str">
            <v>100699660A</v>
          </cell>
          <cell r="E13" t="str">
            <v>014</v>
          </cell>
          <cell r="F13" t="str">
            <v>No</v>
          </cell>
          <cell r="G13" t="str">
            <v>NSGO</v>
          </cell>
          <cell r="H13" t="str">
            <v>HARPER CO COM HSP</v>
          </cell>
          <cell r="I13" t="str">
            <v>1003 US HWY 64 NORTH</v>
          </cell>
          <cell r="J13" t="str">
            <v>BUFFALO,OK 73834-0064</v>
          </cell>
          <cell r="K13" t="str">
            <v>OK</v>
          </cell>
          <cell r="L13" t="str">
            <v>371324</v>
          </cell>
          <cell r="M13">
            <v>43739</v>
          </cell>
          <cell r="N13">
            <v>44104</v>
          </cell>
          <cell r="Q13">
            <v>0.79872220941938454</v>
          </cell>
          <cell r="S13" t="str">
            <v>I</v>
          </cell>
          <cell r="T13">
            <v>15</v>
          </cell>
          <cell r="U13">
            <v>38038.019999999997</v>
          </cell>
          <cell r="V13">
            <v>23390.65</v>
          </cell>
          <cell r="W13">
            <v>0</v>
          </cell>
          <cell r="X13">
            <v>6</v>
          </cell>
          <cell r="Y13">
            <v>10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30682.591308964489</v>
          </cell>
          <cell r="AH13">
            <v>32688.265642175691</v>
          </cell>
          <cell r="AI13">
            <v>23390.65</v>
          </cell>
          <cell r="AJ13">
            <v>9297.6156421756896</v>
          </cell>
          <cell r="AK13">
            <v>9297.6156421756896</v>
          </cell>
        </row>
        <row r="14">
          <cell r="A14" t="str">
            <v>200539880B</v>
          </cell>
          <cell r="E14" t="str">
            <v>014</v>
          </cell>
          <cell r="F14" t="str">
            <v>No</v>
          </cell>
          <cell r="G14" t="str">
            <v>NSGO</v>
          </cell>
          <cell r="H14" t="str">
            <v>HOLDENVILLE GENERAL HOSPITAL</v>
          </cell>
          <cell r="I14" t="str">
            <v>100 MCDOUGAL DRIVE</v>
          </cell>
          <cell r="J14" t="str">
            <v>HOLDENVILLE,OK 74848-2822</v>
          </cell>
          <cell r="K14" t="str">
            <v>OK</v>
          </cell>
          <cell r="L14" t="str">
            <v>371321</v>
          </cell>
          <cell r="M14">
            <v>43647</v>
          </cell>
          <cell r="N14">
            <v>44012</v>
          </cell>
          <cell r="Q14">
            <v>0.33311264193215739</v>
          </cell>
          <cell r="S14" t="str">
            <v>I</v>
          </cell>
          <cell r="T14">
            <v>105</v>
          </cell>
          <cell r="U14">
            <v>448303.4</v>
          </cell>
          <cell r="V14">
            <v>153134.08000000002</v>
          </cell>
          <cell r="W14">
            <v>1683.91</v>
          </cell>
          <cell r="X14">
            <v>30</v>
          </cell>
          <cell r="Y14">
            <v>40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150813.95170778432</v>
          </cell>
          <cell r="AH14">
            <v>161518.4884680289</v>
          </cell>
          <cell r="AI14">
            <v>154817.99000000002</v>
          </cell>
          <cell r="AJ14">
            <v>6700.4984680288762</v>
          </cell>
          <cell r="AK14">
            <v>6700.4984680288762</v>
          </cell>
        </row>
        <row r="15">
          <cell r="A15" t="str">
            <v>100700780B</v>
          </cell>
          <cell r="E15" t="str">
            <v>014</v>
          </cell>
          <cell r="F15" t="str">
            <v>No</v>
          </cell>
          <cell r="G15" t="str">
            <v>NSGO</v>
          </cell>
          <cell r="H15" t="str">
            <v>HARMON MEM HSP</v>
          </cell>
          <cell r="I15" t="str">
            <v>400 E CHESTNUT</v>
          </cell>
          <cell r="J15" t="str">
            <v>HOLLIS,OK 73550-2032</v>
          </cell>
          <cell r="K15" t="str">
            <v>OK</v>
          </cell>
          <cell r="L15" t="str">
            <v>371338</v>
          </cell>
          <cell r="M15">
            <v>43647</v>
          </cell>
          <cell r="N15">
            <v>44012</v>
          </cell>
          <cell r="Q15">
            <v>0.62970426857796336</v>
          </cell>
          <cell r="S15" t="str">
            <v>I</v>
          </cell>
          <cell r="T15">
            <v>153</v>
          </cell>
          <cell r="U15">
            <v>644610.63</v>
          </cell>
          <cell r="V15">
            <v>177312.64000000001</v>
          </cell>
          <cell r="W15">
            <v>0</v>
          </cell>
          <cell r="X15">
            <v>35</v>
          </cell>
          <cell r="Y15">
            <v>37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409932.61452801927</v>
          </cell>
          <cell r="AH15">
            <v>439028.98586335016</v>
          </cell>
          <cell r="AI15">
            <v>177312.64000000001</v>
          </cell>
          <cell r="AJ15">
            <v>261716.34586335014</v>
          </cell>
          <cell r="AK15">
            <v>261716.34586335014</v>
          </cell>
        </row>
        <row r="16">
          <cell r="A16" t="str">
            <v>100699960A</v>
          </cell>
          <cell r="E16" t="str">
            <v>014</v>
          </cell>
          <cell r="F16" t="str">
            <v>No</v>
          </cell>
          <cell r="G16" t="str">
            <v>NSGO</v>
          </cell>
          <cell r="H16" t="str">
            <v>MERCY HEALTH LOVE COUNTY</v>
          </cell>
          <cell r="I16" t="str">
            <v>300 WANDA ST</v>
          </cell>
          <cell r="J16" t="str">
            <v>MARIETTA,OK 73448-1200</v>
          </cell>
          <cell r="K16" t="str">
            <v>OK</v>
          </cell>
          <cell r="L16" t="str">
            <v>371306</v>
          </cell>
          <cell r="M16">
            <v>43647</v>
          </cell>
          <cell r="N16">
            <v>44012</v>
          </cell>
          <cell r="Q16">
            <v>0.76387411190087573</v>
          </cell>
          <cell r="S16" t="str">
            <v>I</v>
          </cell>
          <cell r="T16">
            <v>27</v>
          </cell>
          <cell r="U16">
            <v>65193.75</v>
          </cell>
          <cell r="V16">
            <v>29846.54</v>
          </cell>
          <cell r="W16">
            <v>0</v>
          </cell>
          <cell r="X16">
            <v>8</v>
          </cell>
          <cell r="Y16">
            <v>10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50292.836079776825</v>
          </cell>
          <cell r="AH16">
            <v>53862.542373502554</v>
          </cell>
          <cell r="AI16">
            <v>29846.54</v>
          </cell>
          <cell r="AJ16">
            <v>24016.002373502553</v>
          </cell>
          <cell r="AK16">
            <v>24016.002373502553</v>
          </cell>
        </row>
        <row r="17">
          <cell r="A17" t="str">
            <v>100700250A</v>
          </cell>
          <cell r="E17" t="str">
            <v>014</v>
          </cell>
          <cell r="F17" t="str">
            <v>No</v>
          </cell>
          <cell r="G17" t="str">
            <v>NSGO</v>
          </cell>
          <cell r="H17" t="str">
            <v>OKEENE MUN HSP</v>
          </cell>
          <cell r="I17" t="str">
            <v>207 EAST F STREET</v>
          </cell>
          <cell r="J17" t="str">
            <v>OKEENE,OK 73763-</v>
          </cell>
          <cell r="K17" t="str">
            <v>OK</v>
          </cell>
          <cell r="L17" t="str">
            <v>371327</v>
          </cell>
          <cell r="M17">
            <v>43647</v>
          </cell>
          <cell r="N17">
            <v>44012</v>
          </cell>
          <cell r="Q17">
            <v>1.794887152321097</v>
          </cell>
          <cell r="S17" t="str">
            <v>I</v>
          </cell>
          <cell r="T17">
            <v>21</v>
          </cell>
          <cell r="U17">
            <v>50552.7</v>
          </cell>
          <cell r="V17">
            <v>28494.71</v>
          </cell>
          <cell r="W17">
            <v>0</v>
          </cell>
          <cell r="X17">
            <v>7</v>
          </cell>
          <cell r="Y17">
            <v>10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91634.68202341962</v>
          </cell>
          <cell r="AH17">
            <v>98138.767428817737</v>
          </cell>
          <cell r="AI17">
            <v>28494.71</v>
          </cell>
          <cell r="AJ17">
            <v>69644.05742881773</v>
          </cell>
          <cell r="AK17">
            <v>69644.05742881773</v>
          </cell>
        </row>
        <row r="18">
          <cell r="A18" t="str">
            <v>100690120A</v>
          </cell>
          <cell r="E18" t="str">
            <v>010</v>
          </cell>
          <cell r="F18" t="str">
            <v>No</v>
          </cell>
          <cell r="G18" t="str">
            <v>NSGO</v>
          </cell>
          <cell r="H18" t="str">
            <v>PAWHUSKA HSP INC</v>
          </cell>
          <cell r="I18" t="str">
            <v>1101 E 15TH ST</v>
          </cell>
          <cell r="J18" t="str">
            <v>PAWHUSKA,OK 74056-</v>
          </cell>
          <cell r="K18" t="str">
            <v>OK</v>
          </cell>
          <cell r="L18" t="str">
            <v>371309</v>
          </cell>
          <cell r="M18">
            <v>43739</v>
          </cell>
          <cell r="N18">
            <v>44104</v>
          </cell>
          <cell r="Q18">
            <v>0.61216215755235426</v>
          </cell>
          <cell r="S18" t="str">
            <v>I</v>
          </cell>
          <cell r="T18">
            <v>99</v>
          </cell>
          <cell r="U18">
            <v>449923.25</v>
          </cell>
          <cell r="V18">
            <v>55147.66</v>
          </cell>
          <cell r="W18">
            <v>0</v>
          </cell>
          <cell r="X18">
            <v>13</v>
          </cell>
          <cell r="Y18">
            <v>13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275425.98745296727</v>
          </cell>
          <cell r="AH18">
            <v>293430.16539775411</v>
          </cell>
          <cell r="AI18">
            <v>55147.66</v>
          </cell>
          <cell r="AJ18">
            <v>238282.50539775411</v>
          </cell>
          <cell r="AK18">
            <v>238282.50539775411</v>
          </cell>
        </row>
        <row r="19">
          <cell r="A19" t="str">
            <v>100699820A</v>
          </cell>
          <cell r="E19" t="str">
            <v>014</v>
          </cell>
          <cell r="F19" t="str">
            <v>No</v>
          </cell>
          <cell r="G19" t="str">
            <v>NSGO</v>
          </cell>
          <cell r="H19" t="str">
            <v>ROGER MILLS MEMORIAL HOSPITAL</v>
          </cell>
          <cell r="I19" t="str">
            <v>501 S LL MALES</v>
          </cell>
          <cell r="J19" t="str">
            <v>CHEYENNE,OK 73628-</v>
          </cell>
          <cell r="K19" t="str">
            <v>OK</v>
          </cell>
          <cell r="L19" t="str">
            <v>371303</v>
          </cell>
          <cell r="M19">
            <v>43952</v>
          </cell>
          <cell r="N19">
            <v>44316</v>
          </cell>
          <cell r="Q19">
            <v>0.67328835406133902</v>
          </cell>
          <cell r="S19" t="str">
            <v>I</v>
          </cell>
          <cell r="T19">
            <v>51</v>
          </cell>
          <cell r="U19">
            <v>362593.25</v>
          </cell>
          <cell r="V19">
            <v>95163.659999999989</v>
          </cell>
          <cell r="W19">
            <v>30030</v>
          </cell>
          <cell r="X19">
            <v>14</v>
          </cell>
          <cell r="Y19">
            <v>26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246546.69762986552</v>
          </cell>
          <cell r="AH19">
            <v>259172.2864684505</v>
          </cell>
          <cell r="AI19">
            <v>125193.65999999999</v>
          </cell>
          <cell r="AJ19">
            <v>133978.62646845053</v>
          </cell>
          <cell r="AK19">
            <v>133978.62646845053</v>
          </cell>
        </row>
        <row r="20">
          <cell r="A20" t="str">
            <v>100700450A</v>
          </cell>
          <cell r="E20" t="str">
            <v>014</v>
          </cell>
          <cell r="F20" t="str">
            <v>No</v>
          </cell>
          <cell r="G20" t="str">
            <v>Private</v>
          </cell>
          <cell r="H20" t="str">
            <v>SEILING MUNICIPAL HOSPITAL</v>
          </cell>
          <cell r="I20" t="str">
            <v xml:space="preserve">809 NE HWY 60  </v>
          </cell>
          <cell r="J20" t="str">
            <v xml:space="preserve">SEILING,OK  73663-    </v>
          </cell>
          <cell r="K20" t="str">
            <v>OK</v>
          </cell>
          <cell r="L20">
            <v>371332</v>
          </cell>
          <cell r="M20">
            <v>43647</v>
          </cell>
          <cell r="N20">
            <v>44012</v>
          </cell>
          <cell r="Q20">
            <v>1.1693073565116787</v>
          </cell>
          <cell r="S20" t="str">
            <v>I</v>
          </cell>
          <cell r="T20">
            <v>2</v>
          </cell>
          <cell r="U20">
            <v>9384</v>
          </cell>
          <cell r="V20">
            <v>7275.3</v>
          </cell>
          <cell r="W20">
            <v>0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11081.410757817299</v>
          </cell>
          <cell r="AH20">
            <v>11867.951840185226</v>
          </cell>
          <cell r="AI20">
            <v>7275.3</v>
          </cell>
          <cell r="AJ20">
            <v>4592.6518401852254</v>
          </cell>
          <cell r="AK20">
            <v>4592.6518401852254</v>
          </cell>
        </row>
        <row r="21">
          <cell r="A21" t="str">
            <v>100699830A</v>
          </cell>
          <cell r="E21" t="str">
            <v>014</v>
          </cell>
          <cell r="F21" t="str">
            <v>No</v>
          </cell>
          <cell r="G21" t="str">
            <v>NSGO</v>
          </cell>
          <cell r="H21" t="str">
            <v>SHARE MEMORIAL HOSPITAL</v>
          </cell>
          <cell r="I21" t="str">
            <v>800 SHARE DRIVE</v>
          </cell>
          <cell r="J21" t="str">
            <v>ALVA,OK 73717-3618</v>
          </cell>
          <cell r="K21" t="str">
            <v>OK</v>
          </cell>
          <cell r="L21" t="str">
            <v>371341</v>
          </cell>
          <cell r="M21">
            <v>43647</v>
          </cell>
          <cell r="N21">
            <v>44012</v>
          </cell>
          <cell r="Q21">
            <v>0.79806975995465612</v>
          </cell>
          <cell r="S21" t="str">
            <v>I</v>
          </cell>
          <cell r="T21">
            <v>55</v>
          </cell>
          <cell r="U21">
            <v>142197.32999999999</v>
          </cell>
          <cell r="V21">
            <v>60546.98</v>
          </cell>
          <cell r="W21">
            <v>0</v>
          </cell>
          <cell r="X21">
            <v>9</v>
          </cell>
          <cell r="Y21">
            <v>11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114606.87457058401</v>
          </cell>
          <cell r="AH21">
            <v>122741.4900217766</v>
          </cell>
          <cell r="AI21">
            <v>60546.98</v>
          </cell>
          <cell r="AJ21">
            <v>62194.510021776594</v>
          </cell>
          <cell r="AK21">
            <v>62194.510021776594</v>
          </cell>
        </row>
        <row r="22">
          <cell r="A22" t="str">
            <v>100699870E</v>
          </cell>
          <cell r="E22" t="str">
            <v>014</v>
          </cell>
          <cell r="F22" t="str">
            <v>No</v>
          </cell>
          <cell r="G22" t="str">
            <v>NSGO</v>
          </cell>
          <cell r="H22" t="str">
            <v>WEATHERFORD HOSPITAL AUTHORITY</v>
          </cell>
          <cell r="I22" t="str">
            <v>3701 E MAIN ST</v>
          </cell>
          <cell r="J22" t="str">
            <v>WEATHERFORD,OK 73096-</v>
          </cell>
          <cell r="K22" t="str">
            <v>OK</v>
          </cell>
          <cell r="L22" t="str">
            <v>371323</v>
          </cell>
          <cell r="M22">
            <v>43739</v>
          </cell>
          <cell r="N22">
            <v>44104</v>
          </cell>
          <cell r="Q22">
            <v>0.64200690926665116</v>
          </cell>
          <cell r="S22" t="str">
            <v>I</v>
          </cell>
          <cell r="T22">
            <v>386</v>
          </cell>
          <cell r="U22">
            <v>1317713.8199999998</v>
          </cell>
          <cell r="V22">
            <v>452374.23</v>
          </cell>
          <cell r="W22">
            <v>48861.219999999994</v>
          </cell>
          <cell r="X22">
            <v>180</v>
          </cell>
          <cell r="Y22">
            <v>200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854356.59250722616</v>
          </cell>
          <cell r="AH22">
            <v>910204.58369370969</v>
          </cell>
          <cell r="AI22">
            <v>501235.44999999995</v>
          </cell>
          <cell r="AJ22">
            <v>408969.13369370974</v>
          </cell>
          <cell r="AK22">
            <v>408969.13369370974</v>
          </cell>
        </row>
        <row r="23">
          <cell r="A23" t="str">
            <v>100699630A</v>
          </cell>
          <cell r="E23" t="str">
            <v>010</v>
          </cell>
          <cell r="F23" t="str">
            <v>No</v>
          </cell>
          <cell r="G23" t="str">
            <v>NSGO</v>
          </cell>
          <cell r="H23" t="str">
            <v>MEMORIAL HOSPITAL OF TEXAS COUNTY</v>
          </cell>
          <cell r="I23" t="str">
            <v>520 MEDICAL DR</v>
          </cell>
          <cell r="J23" t="str">
            <v>GUYMON,OK 73942-0520</v>
          </cell>
          <cell r="K23" t="str">
            <v>OK</v>
          </cell>
          <cell r="L23" t="str">
            <v>371340</v>
          </cell>
          <cell r="M23">
            <v>43647</v>
          </cell>
          <cell r="N23">
            <v>44012</v>
          </cell>
          <cell r="Q23">
            <v>0.53546232782538938</v>
          </cell>
          <cell r="S23" t="str">
            <v>I</v>
          </cell>
          <cell r="T23">
            <v>126</v>
          </cell>
          <cell r="U23">
            <v>838276</v>
          </cell>
          <cell r="V23">
            <v>213487.75</v>
          </cell>
          <cell r="W23">
            <v>4033.02</v>
          </cell>
          <cell r="X23">
            <v>36</v>
          </cell>
          <cell r="Y23">
            <v>48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448865.2183201561</v>
          </cell>
          <cell r="AH23">
            <v>480724.96455380187</v>
          </cell>
          <cell r="AI23">
            <v>217520.77</v>
          </cell>
          <cell r="AJ23">
            <v>263204.19455380191</v>
          </cell>
          <cell r="AK23">
            <v>263204.19455380191</v>
          </cell>
        </row>
        <row r="24">
          <cell r="AJ24">
            <v>4174735.0644898992</v>
          </cell>
          <cell r="AK24">
            <v>4174735.0644898992</v>
          </cell>
          <cell r="AL24" t="str">
            <v xml:space="preserve"> </v>
          </cell>
        </row>
        <row r="26">
          <cell r="A26" t="str">
            <v>100700440A</v>
          </cell>
          <cell r="E26" t="str">
            <v>014</v>
          </cell>
          <cell r="F26" t="str">
            <v>No</v>
          </cell>
          <cell r="G26" t="str">
            <v>Private</v>
          </cell>
          <cell r="H26" t="str">
            <v>ALLIANCE HEALTH MADILL</v>
          </cell>
          <cell r="I26" t="str">
            <v>901 S 5TH AVE.</v>
          </cell>
          <cell r="J26" t="str">
            <v>MADILL,OK 73446-0604</v>
          </cell>
          <cell r="K26" t="str">
            <v>OK</v>
          </cell>
          <cell r="L26" t="str">
            <v>371326</v>
          </cell>
          <cell r="M26">
            <v>43922</v>
          </cell>
          <cell r="N26">
            <v>44286</v>
          </cell>
          <cell r="Q26">
            <v>0.36847988035600837</v>
          </cell>
          <cell r="S26" t="str">
            <v>I</v>
          </cell>
          <cell r="T26">
            <v>63</v>
          </cell>
          <cell r="U26">
            <v>499784.17000000004</v>
          </cell>
          <cell r="V26">
            <v>96981.58</v>
          </cell>
          <cell r="W26">
            <v>0</v>
          </cell>
          <cell r="X26">
            <v>17</v>
          </cell>
          <cell r="Y26">
            <v>35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F26">
            <v>185983.59923596468</v>
          </cell>
          <cell r="AH26">
            <v>195902.91985379066</v>
          </cell>
          <cell r="AI26">
            <v>96981.58</v>
          </cell>
          <cell r="AJ26">
            <v>98921.339853790661</v>
          </cell>
          <cell r="AK26">
            <v>98921.339853790661</v>
          </cell>
        </row>
        <row r="27">
          <cell r="A27" t="str">
            <v>100700120Q</v>
          </cell>
          <cell r="E27" t="str">
            <v>014</v>
          </cell>
          <cell r="F27" t="str">
            <v>No</v>
          </cell>
          <cell r="G27" t="str">
            <v>Private</v>
          </cell>
          <cell r="H27" t="str">
            <v>DUNCAN REGIONAL HOSPITAL INC</v>
          </cell>
          <cell r="I27" t="str">
            <v xml:space="preserve">U.S. HIGHWAYS 70 &amp; 81  </v>
          </cell>
          <cell r="J27" t="str">
            <v>WAURIKA,OK  73573-0090</v>
          </cell>
          <cell r="K27" t="str">
            <v>OK</v>
          </cell>
          <cell r="L27">
            <v>371311</v>
          </cell>
          <cell r="M27">
            <v>43647</v>
          </cell>
          <cell r="N27">
            <v>44012</v>
          </cell>
          <cell r="Q27">
            <v>1.4416796458223471</v>
          </cell>
          <cell r="S27" t="str">
            <v>I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28">
          <cell r="A28" t="str">
            <v>200925590A</v>
          </cell>
          <cell r="B28" t="str">
            <v>200313370A</v>
          </cell>
          <cell r="E28" t="str">
            <v>014</v>
          </cell>
          <cell r="F28" t="str">
            <v>No</v>
          </cell>
          <cell r="G28" t="str">
            <v>Private</v>
          </cell>
          <cell r="H28" t="str">
            <v>HASKELL REGIONAL HOSPITAL INC.</v>
          </cell>
          <cell r="I28" t="str">
            <v>401 NW H ST</v>
          </cell>
          <cell r="J28" t="str">
            <v>STIGLER,OK 74462-1625</v>
          </cell>
          <cell r="K28" t="str">
            <v>OK</v>
          </cell>
          <cell r="L28" t="str">
            <v>371335</v>
          </cell>
          <cell r="M28">
            <v>43966</v>
          </cell>
          <cell r="N28">
            <v>44196</v>
          </cell>
          <cell r="Q28">
            <v>3.6792276403758941</v>
          </cell>
          <cell r="S28" t="str">
            <v>I</v>
          </cell>
          <cell r="T28">
            <v>8</v>
          </cell>
          <cell r="U28">
            <v>31680.18</v>
          </cell>
          <cell r="V28">
            <v>5934.45</v>
          </cell>
          <cell r="W28">
            <v>0</v>
          </cell>
          <cell r="X28">
            <v>2</v>
          </cell>
          <cell r="Y28">
            <v>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117712.52398777363</v>
          </cell>
          <cell r="AH28">
            <v>124182.39130622054</v>
          </cell>
          <cell r="AI28">
            <v>5934.45</v>
          </cell>
          <cell r="AJ28">
            <v>118247.94130622054</v>
          </cell>
          <cell r="AK28">
            <v>118247.94130622054</v>
          </cell>
        </row>
        <row r="29">
          <cell r="A29" t="str">
            <v>100700460A</v>
          </cell>
          <cell r="E29" t="str">
            <v>014</v>
          </cell>
          <cell r="F29" t="str">
            <v>No</v>
          </cell>
          <cell r="G29" t="str">
            <v>Private</v>
          </cell>
          <cell r="H29" t="str">
            <v>JANE PHILLIPS NOWATA</v>
          </cell>
          <cell r="I29" t="str">
            <v>237 S LOCUST STREET</v>
          </cell>
          <cell r="J29" t="str">
            <v>NOWATA,OK 74048-</v>
          </cell>
          <cell r="K29" t="str">
            <v>OK</v>
          </cell>
          <cell r="L29" t="str">
            <v>371305</v>
          </cell>
          <cell r="M29">
            <v>43647</v>
          </cell>
          <cell r="N29">
            <v>44012</v>
          </cell>
          <cell r="Q29">
            <v>1.012671983854379</v>
          </cell>
          <cell r="S29" t="str">
            <v>I</v>
          </cell>
          <cell r="T29">
            <v>5</v>
          </cell>
          <cell r="U29">
            <v>9863.17</v>
          </cell>
          <cell r="V29">
            <v>7162.92</v>
          </cell>
          <cell r="W29">
            <v>0</v>
          </cell>
          <cell r="X29">
            <v>3</v>
          </cell>
          <cell r="Y29">
            <v>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10087.038674709826</v>
          </cell>
          <cell r="AH29">
            <v>10803.000792754814</v>
          </cell>
          <cell r="AI29">
            <v>7162.92</v>
          </cell>
          <cell r="AJ29">
            <v>3640.080792754814</v>
          </cell>
          <cell r="AK29">
            <v>3640.080792754814</v>
          </cell>
        </row>
        <row r="30">
          <cell r="A30" t="str">
            <v>200740630B</v>
          </cell>
          <cell r="E30" t="str">
            <v>014</v>
          </cell>
          <cell r="F30" t="str">
            <v>No</v>
          </cell>
          <cell r="G30" t="str">
            <v>Private</v>
          </cell>
          <cell r="H30" t="str">
            <v>MANGUM REGIONAL MEDICAL CENTER</v>
          </cell>
          <cell r="I30" t="str">
            <v>ONE WICKERSHAM DRIVE</v>
          </cell>
          <cell r="J30" t="str">
            <v>MANGUM,OK 73554-0000</v>
          </cell>
          <cell r="K30" t="str">
            <v>OK</v>
          </cell>
          <cell r="L30" t="str">
            <v>371330</v>
          </cell>
          <cell r="M30">
            <v>43831</v>
          </cell>
          <cell r="N30">
            <v>44196</v>
          </cell>
          <cell r="Q30">
            <v>0.71693544488262395</v>
          </cell>
          <cell r="S30" t="str">
            <v>I</v>
          </cell>
          <cell r="T30">
            <v>76</v>
          </cell>
          <cell r="U30">
            <v>389506.85</v>
          </cell>
          <cell r="V30">
            <v>88240.89</v>
          </cell>
          <cell r="W30">
            <v>18858</v>
          </cell>
          <cell r="X30">
            <v>20</v>
          </cell>
          <cell r="Y30">
            <v>46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F30">
            <v>282015.85433079634</v>
          </cell>
          <cell r="AH30">
            <v>298864.54385701043</v>
          </cell>
          <cell r="AI30">
            <v>107098.89</v>
          </cell>
          <cell r="AJ30">
            <v>191765.65385701042</v>
          </cell>
          <cell r="AK30">
            <v>191765.65385701042</v>
          </cell>
        </row>
        <row r="31">
          <cell r="A31" t="str">
            <v>100774650D</v>
          </cell>
          <cell r="E31" t="str">
            <v>014</v>
          </cell>
          <cell r="F31" t="str">
            <v>No</v>
          </cell>
          <cell r="G31" t="str">
            <v>Private</v>
          </cell>
          <cell r="H31" t="str">
            <v>MARY HURLEY HOSPITAL</v>
          </cell>
          <cell r="I31" t="str">
            <v>6 N COVINGTON</v>
          </cell>
          <cell r="J31" t="str">
            <v>COALGATE,OK 74538-2002</v>
          </cell>
          <cell r="K31" t="str">
            <v>OK</v>
          </cell>
          <cell r="L31" t="str">
            <v>371319</v>
          </cell>
          <cell r="M31">
            <v>43647</v>
          </cell>
          <cell r="N31">
            <v>44012</v>
          </cell>
          <cell r="Q31">
            <v>0.85422109102263633</v>
          </cell>
          <cell r="S31" t="str">
            <v>I</v>
          </cell>
          <cell r="T31">
            <v>62</v>
          </cell>
          <cell r="U31">
            <v>112837.98</v>
          </cell>
          <cell r="V31">
            <v>78839.47</v>
          </cell>
          <cell r="W31">
            <v>0</v>
          </cell>
          <cell r="X31">
            <v>24</v>
          </cell>
          <cell r="Y31">
            <v>28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97342.829349995867</v>
          </cell>
          <cell r="AH31">
            <v>104252.07006230233</v>
          </cell>
          <cell r="AI31">
            <v>78839.47</v>
          </cell>
          <cell r="AJ31">
            <v>25412.600062302328</v>
          </cell>
          <cell r="AK31">
            <v>25412.600062302328</v>
          </cell>
        </row>
        <row r="32">
          <cell r="A32" t="str">
            <v>100700920A</v>
          </cell>
          <cell r="E32" t="str">
            <v>014</v>
          </cell>
          <cell r="F32" t="str">
            <v>No</v>
          </cell>
          <cell r="G32" t="str">
            <v>Private</v>
          </cell>
          <cell r="H32" t="str">
            <v>MCCURTAIN MEM HSP</v>
          </cell>
          <cell r="I32" t="str">
            <v>1301 E LINCOLN RD</v>
          </cell>
          <cell r="J32" t="str">
            <v>IDABEL,OK 74745-7300</v>
          </cell>
          <cell r="K32" t="str">
            <v>OK</v>
          </cell>
          <cell r="L32" t="str">
            <v>371342</v>
          </cell>
          <cell r="M32">
            <v>43647</v>
          </cell>
          <cell r="N32">
            <v>44012</v>
          </cell>
          <cell r="Q32">
            <v>0.66885091946541031</v>
          </cell>
          <cell r="S32" t="str">
            <v>I</v>
          </cell>
          <cell r="T32">
            <v>1273</v>
          </cell>
          <cell r="U32">
            <v>3149248.65</v>
          </cell>
          <cell r="V32">
            <v>1564666.56</v>
          </cell>
          <cell r="W32">
            <v>73918.45</v>
          </cell>
          <cell r="X32">
            <v>558</v>
          </cell>
          <cell r="Y32">
            <v>856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2127230.9959439612</v>
          </cell>
          <cell r="AH32">
            <v>2278218.5016472447</v>
          </cell>
          <cell r="AI32">
            <v>1638585.01</v>
          </cell>
          <cell r="AJ32">
            <v>639633.49164724466</v>
          </cell>
          <cell r="AK32">
            <v>639633.49164724466</v>
          </cell>
        </row>
        <row r="33">
          <cell r="A33" t="str">
            <v>200226190A</v>
          </cell>
          <cell r="E33" t="str">
            <v>010</v>
          </cell>
          <cell r="F33" t="str">
            <v>No</v>
          </cell>
          <cell r="G33" t="str">
            <v>Private</v>
          </cell>
          <cell r="H33" t="str">
            <v>MERCY HOSPITAL HEALDTON INC</v>
          </cell>
          <cell r="I33" t="str">
            <v>3462 HOSPITAL ROAD</v>
          </cell>
          <cell r="J33" t="str">
            <v>HEALDTON,OK 73438-6124</v>
          </cell>
          <cell r="K33" t="str">
            <v>OK</v>
          </cell>
          <cell r="L33" t="str">
            <v>371310</v>
          </cell>
          <cell r="M33">
            <v>43647</v>
          </cell>
          <cell r="N33">
            <v>44012</v>
          </cell>
          <cell r="Q33">
            <v>0.74919634095446497</v>
          </cell>
          <cell r="S33" t="str">
            <v>I</v>
          </cell>
          <cell r="T33">
            <v>11</v>
          </cell>
          <cell r="U33">
            <v>47220.06</v>
          </cell>
          <cell r="V33">
            <v>18841.79</v>
          </cell>
          <cell r="W33">
            <v>0</v>
          </cell>
          <cell r="X33">
            <v>4</v>
          </cell>
          <cell r="Y33">
            <v>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35377.096171650293</v>
          </cell>
          <cell r="AH33">
            <v>37888.106738987553</v>
          </cell>
          <cell r="AI33">
            <v>18841.79</v>
          </cell>
          <cell r="AJ33">
            <v>19046.316738987553</v>
          </cell>
          <cell r="AK33">
            <v>19046.316738987553</v>
          </cell>
        </row>
        <row r="34">
          <cell r="A34" t="str">
            <v>200521810B</v>
          </cell>
          <cell r="E34" t="str">
            <v>014</v>
          </cell>
          <cell r="F34" t="str">
            <v>No</v>
          </cell>
          <cell r="G34" t="str">
            <v>Private</v>
          </cell>
          <cell r="H34" t="str">
            <v>MERCY HOSPITAL KINGFISHER, INC</v>
          </cell>
          <cell r="I34" t="str">
            <v>1000 KINGFISHER REGIONAL DR</v>
          </cell>
          <cell r="J34" t="str">
            <v>KINGFISHER,OK 73750-0059</v>
          </cell>
          <cell r="K34" t="str">
            <v>OK</v>
          </cell>
          <cell r="L34" t="str">
            <v>371313</v>
          </cell>
          <cell r="M34">
            <v>43647</v>
          </cell>
          <cell r="N34">
            <v>44012</v>
          </cell>
          <cell r="Q34">
            <v>0.62651519558312274</v>
          </cell>
          <cell r="S34" t="str">
            <v>I</v>
          </cell>
          <cell r="T34">
            <v>27</v>
          </cell>
          <cell r="U34">
            <v>114095.52</v>
          </cell>
          <cell r="V34">
            <v>48458.8</v>
          </cell>
          <cell r="W34">
            <v>5966.78</v>
          </cell>
          <cell r="X34">
            <v>7</v>
          </cell>
          <cell r="Y34">
            <v>7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72190.254540534879</v>
          </cell>
          <cell r="AH34">
            <v>77314.205108171125</v>
          </cell>
          <cell r="AI34">
            <v>54425.58</v>
          </cell>
          <cell r="AJ34">
            <v>22888.625108171123</v>
          </cell>
          <cell r="AK34">
            <v>22888.625108171123</v>
          </cell>
        </row>
        <row r="35">
          <cell r="A35" t="str">
            <v>200425410C</v>
          </cell>
          <cell r="E35" t="str">
            <v>014</v>
          </cell>
          <cell r="F35" t="str">
            <v>No</v>
          </cell>
          <cell r="G35" t="str">
            <v>Private</v>
          </cell>
          <cell r="H35" t="str">
            <v>MERCY HOSPITAL LOGAN COUNTY</v>
          </cell>
          <cell r="I35" t="str">
            <v>200 S ACADEMY RD</v>
          </cell>
          <cell r="J35" t="str">
            <v>GUTHRIE,OK 73044-8727</v>
          </cell>
          <cell r="K35" t="str">
            <v>OK</v>
          </cell>
          <cell r="L35" t="str">
            <v>371317</v>
          </cell>
          <cell r="M35">
            <v>43647</v>
          </cell>
          <cell r="N35">
            <v>44012</v>
          </cell>
          <cell r="Q35">
            <v>0.49906170537083566</v>
          </cell>
          <cell r="S35" t="str">
            <v>I</v>
          </cell>
          <cell r="T35">
            <v>203</v>
          </cell>
          <cell r="U35">
            <v>933134.23</v>
          </cell>
          <cell r="V35">
            <v>267129.3</v>
          </cell>
          <cell r="W35">
            <v>0</v>
          </cell>
          <cell r="X35">
            <v>52</v>
          </cell>
          <cell r="Y35">
            <v>62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470301.90660932224</v>
          </cell>
          <cell r="AH35">
            <v>503683.19521494897</v>
          </cell>
          <cell r="AI35">
            <v>267129.3</v>
          </cell>
          <cell r="AJ35">
            <v>236553.89521494898</v>
          </cell>
          <cell r="AK35">
            <v>236553.89521494898</v>
          </cell>
        </row>
        <row r="36">
          <cell r="A36" t="str">
            <v>200318440B</v>
          </cell>
          <cell r="E36" t="str">
            <v>014</v>
          </cell>
          <cell r="F36" t="str">
            <v>No</v>
          </cell>
          <cell r="G36" t="str">
            <v>Private</v>
          </cell>
          <cell r="H36" t="str">
            <v>MERCY HOSPITAL TISHOMINGO</v>
          </cell>
          <cell r="I36" t="str">
            <v>1000 S BYRD ST</v>
          </cell>
          <cell r="J36" t="str">
            <v>TISHOMINGO,OK 73460-3265</v>
          </cell>
          <cell r="K36" t="str">
            <v>OK</v>
          </cell>
          <cell r="L36" t="str">
            <v>371304</v>
          </cell>
          <cell r="M36">
            <v>43647</v>
          </cell>
          <cell r="N36">
            <v>44012</v>
          </cell>
          <cell r="Q36">
            <v>0.859390987554283</v>
          </cell>
          <cell r="S36" t="str">
            <v>I</v>
          </cell>
          <cell r="T36">
            <v>86</v>
          </cell>
          <cell r="U36">
            <v>367869.4</v>
          </cell>
          <cell r="V36">
            <v>186094.55</v>
          </cell>
          <cell r="W36">
            <v>0</v>
          </cell>
          <cell r="X36">
            <v>30</v>
          </cell>
          <cell r="Y36">
            <v>62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319273.46906187589</v>
          </cell>
          <cell r="AH36">
            <v>341934.99704017403</v>
          </cell>
          <cell r="AI36">
            <v>186094.55</v>
          </cell>
          <cell r="AJ36">
            <v>155840.44704017404</v>
          </cell>
          <cell r="AK36">
            <v>155840.44704017404</v>
          </cell>
        </row>
        <row r="37">
          <cell r="A37" t="str">
            <v>200490030A</v>
          </cell>
          <cell r="E37" t="str">
            <v>014</v>
          </cell>
          <cell r="F37" t="str">
            <v>No</v>
          </cell>
          <cell r="G37" t="str">
            <v>Private</v>
          </cell>
          <cell r="H37" t="str">
            <v>MERCY HOSPITAL WATONGA INC</v>
          </cell>
          <cell r="I37" t="str">
            <v>500 N CLARENCE NASH BLVD</v>
          </cell>
          <cell r="J37" t="str">
            <v>WATONGA,OK 73772-</v>
          </cell>
          <cell r="K37" t="str">
            <v>OK</v>
          </cell>
          <cell r="L37" t="str">
            <v>371302</v>
          </cell>
          <cell r="M37">
            <v>43647</v>
          </cell>
          <cell r="N37">
            <v>44012</v>
          </cell>
          <cell r="Q37">
            <v>1.1568064218796483</v>
          </cell>
          <cell r="S37" t="str">
            <v>I</v>
          </cell>
          <cell r="T37">
            <v>107</v>
          </cell>
          <cell r="U37">
            <v>371902.52999999997</v>
          </cell>
          <cell r="V37">
            <v>130020.45999999999</v>
          </cell>
          <cell r="W37">
            <v>0</v>
          </cell>
          <cell r="X37">
            <v>23</v>
          </cell>
          <cell r="Y37">
            <v>31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434478.40544395969</v>
          </cell>
          <cell r="AH37">
            <v>465316.99835888331</v>
          </cell>
          <cell r="AI37">
            <v>130020.45999999999</v>
          </cell>
          <cell r="AJ37">
            <v>335296.53835888335</v>
          </cell>
          <cell r="AK37">
            <v>335296.53835888335</v>
          </cell>
        </row>
        <row r="38">
          <cell r="A38" t="str">
            <v>200231400B</v>
          </cell>
          <cell r="E38" t="str">
            <v>014</v>
          </cell>
          <cell r="F38" t="str">
            <v>No</v>
          </cell>
          <cell r="G38" t="str">
            <v>Private</v>
          </cell>
          <cell r="H38" t="str">
            <v>PRAGUE HEALTHCARE AUTHORITY</v>
          </cell>
          <cell r="I38" t="str">
            <v xml:space="preserve">1322 KLABZUBA AVE  </v>
          </cell>
          <cell r="J38" t="str">
            <v>PRAGUE,OK  74864-1090</v>
          </cell>
          <cell r="K38" t="str">
            <v>OK</v>
          </cell>
          <cell r="L38">
            <v>371301</v>
          </cell>
          <cell r="M38">
            <v>43739</v>
          </cell>
          <cell r="N38">
            <v>44104</v>
          </cell>
          <cell r="Q38">
            <v>0.99145439605587515</v>
          </cell>
          <cell r="S38" t="str">
            <v>I</v>
          </cell>
          <cell r="T38">
            <v>28</v>
          </cell>
          <cell r="U38">
            <v>144873.12</v>
          </cell>
          <cell r="V38">
            <v>24035.47</v>
          </cell>
          <cell r="W38">
            <v>0</v>
          </cell>
          <cell r="X38">
            <v>7</v>
          </cell>
          <cell r="Y38">
            <v>7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F38">
            <v>145057.07910210421</v>
          </cell>
          <cell r="AH38">
            <v>154539.23976695896</v>
          </cell>
          <cell r="AI38">
            <v>24035.47</v>
          </cell>
          <cell r="AJ38">
            <v>130503.76976695895</v>
          </cell>
          <cell r="AK38">
            <v>130503.76976695895</v>
          </cell>
        </row>
        <row r="39">
          <cell r="A39" t="str">
            <v>100699550A</v>
          </cell>
          <cell r="E39" t="str">
            <v>014</v>
          </cell>
          <cell r="F39" t="str">
            <v>No</v>
          </cell>
          <cell r="G39" t="str">
            <v>Private</v>
          </cell>
          <cell r="H39" t="str">
            <v>ST JOHN SAPULPA INC</v>
          </cell>
          <cell r="I39" t="str">
            <v>1004 E BRYAN</v>
          </cell>
          <cell r="J39" t="str">
            <v>SAPULPA,OK 74066-4513</v>
          </cell>
          <cell r="K39" t="str">
            <v>OK</v>
          </cell>
          <cell r="L39" t="str">
            <v>371312</v>
          </cell>
          <cell r="M39">
            <v>43647</v>
          </cell>
          <cell r="N39">
            <v>44012</v>
          </cell>
          <cell r="Q39">
            <v>0.53608459506424888</v>
          </cell>
          <cell r="S39" t="str">
            <v>I</v>
          </cell>
          <cell r="T39">
            <v>92</v>
          </cell>
          <cell r="U39">
            <v>502406.08999999997</v>
          </cell>
          <cell r="V39">
            <v>260310.31</v>
          </cell>
          <cell r="W39">
            <v>4149</v>
          </cell>
          <cell r="X39">
            <v>42</v>
          </cell>
          <cell r="Y39">
            <v>58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F39">
            <v>271998.55375208566</v>
          </cell>
          <cell r="AH39">
            <v>291304.58269968652</v>
          </cell>
          <cell r="AI39">
            <v>264459.31</v>
          </cell>
          <cell r="AJ39">
            <v>26845.272699686524</v>
          </cell>
          <cell r="AK39">
            <v>26845.272699686524</v>
          </cell>
        </row>
        <row r="40">
          <cell r="A40" t="str">
            <v>200125010B</v>
          </cell>
          <cell r="E40" t="str">
            <v>014</v>
          </cell>
          <cell r="F40" t="str">
            <v>No</v>
          </cell>
          <cell r="G40" t="str">
            <v>Private</v>
          </cell>
          <cell r="H40" t="str">
            <v>STROUD REGIONAL MEDICAL CENTER</v>
          </cell>
          <cell r="I40" t="str">
            <v>2308 W HIGHWAY 66</v>
          </cell>
          <cell r="J40" t="str">
            <v>STROUD,OK 74079-</v>
          </cell>
          <cell r="K40" t="str">
            <v>OK</v>
          </cell>
          <cell r="L40" t="str">
            <v>371316</v>
          </cell>
          <cell r="M40">
            <v>43739</v>
          </cell>
          <cell r="N40">
            <v>44104</v>
          </cell>
          <cell r="Q40">
            <v>1.1632019358200134</v>
          </cell>
          <cell r="S40" t="str">
            <v>I</v>
          </cell>
          <cell r="T40">
            <v>24</v>
          </cell>
          <cell r="U40">
            <v>93250.25</v>
          </cell>
          <cell r="V40">
            <v>20605.919999999998</v>
          </cell>
          <cell r="W40">
            <v>0</v>
          </cell>
          <cell r="X40">
            <v>5</v>
          </cell>
          <cell r="Y40">
            <v>12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109542.71314172565</v>
          </cell>
          <cell r="AH40">
            <v>116703.35371234411</v>
          </cell>
          <cell r="AI40">
            <v>20605.919999999998</v>
          </cell>
          <cell r="AJ40">
            <v>96097.433712344107</v>
          </cell>
          <cell r="AK40">
            <v>96097.433712344107</v>
          </cell>
        </row>
        <row r="41">
          <cell r="A41" t="str">
            <v>200125200B</v>
          </cell>
          <cell r="E41" t="str">
            <v>014</v>
          </cell>
          <cell r="F41" t="str">
            <v>No</v>
          </cell>
          <cell r="G41" t="str">
            <v>Private</v>
          </cell>
          <cell r="H41" t="str">
            <v>THE PHYSICIANS HOSPITAL IN ANADARKO</v>
          </cell>
          <cell r="I41" t="str">
            <v>1002 E CENTRAL BLVD</v>
          </cell>
          <cell r="J41" t="str">
            <v>ANADARKO,OK 73005-</v>
          </cell>
          <cell r="K41" t="str">
            <v>OK</v>
          </cell>
          <cell r="L41" t="str">
            <v>371314</v>
          </cell>
          <cell r="M41">
            <v>43739</v>
          </cell>
          <cell r="N41">
            <v>44104</v>
          </cell>
          <cell r="Q41">
            <v>1.1395276349651631</v>
          </cell>
          <cell r="S41" t="str">
            <v>I</v>
          </cell>
          <cell r="T41">
            <v>148</v>
          </cell>
          <cell r="U41">
            <v>501072.57</v>
          </cell>
          <cell r="V41">
            <v>192577.05</v>
          </cell>
          <cell r="W41">
            <v>0</v>
          </cell>
          <cell r="X41">
            <v>20</v>
          </cell>
          <cell r="Y41">
            <v>38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F41">
            <v>570986.04063801607</v>
          </cell>
          <cell r="AH41">
            <v>608310.52978554647</v>
          </cell>
          <cell r="AI41">
            <v>192577.05</v>
          </cell>
          <cell r="AJ41">
            <v>415733.47978554649</v>
          </cell>
          <cell r="AK41">
            <v>415733.47978554649</v>
          </cell>
        </row>
        <row r="42">
          <cell r="A42" t="str">
            <v>100699360I</v>
          </cell>
          <cell r="B42" t="str">
            <v>100699360A</v>
          </cell>
          <cell r="E42" t="str">
            <v>014</v>
          </cell>
          <cell r="F42" t="str">
            <v>No</v>
          </cell>
          <cell r="G42" t="str">
            <v>Private</v>
          </cell>
          <cell r="H42" t="str">
            <v>NEWMAN MEMORIAL HOSPITAL, INC</v>
          </cell>
          <cell r="I42" t="str">
            <v>905 S MAIN</v>
          </cell>
          <cell r="J42" t="str">
            <v>SHATTUCK,OK 73858-</v>
          </cell>
          <cell r="K42" t="str">
            <v>OK</v>
          </cell>
          <cell r="L42" t="str">
            <v>371336</v>
          </cell>
          <cell r="M42">
            <v>43466</v>
          </cell>
          <cell r="N42">
            <v>43830</v>
          </cell>
          <cell r="Q42">
            <v>0.48022281805024003</v>
          </cell>
          <cell r="S42" t="str">
            <v>I</v>
          </cell>
          <cell r="T42">
            <v>52</v>
          </cell>
          <cell r="U42">
            <v>254140.86000000002</v>
          </cell>
          <cell r="V42">
            <v>78541.34</v>
          </cell>
          <cell r="W42">
            <v>0</v>
          </cell>
          <cell r="X42">
            <v>13</v>
          </cell>
          <cell r="Y42">
            <v>15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122044.23997091153</v>
          </cell>
          <cell r="AH42">
            <v>132057.46610202634</v>
          </cell>
          <cell r="AI42">
            <v>78541.34</v>
          </cell>
          <cell r="AJ42">
            <v>53516.126102026348</v>
          </cell>
          <cell r="AK42">
            <v>53516.126102026348</v>
          </cell>
        </row>
        <row r="43">
          <cell r="A43" t="str">
            <v>200085660H</v>
          </cell>
          <cell r="B43" t="str">
            <v>200085660G</v>
          </cell>
          <cell r="C43" t="str">
            <v>200085660I</v>
          </cell>
          <cell r="E43" t="str">
            <v>634</v>
          </cell>
          <cell r="F43" t="str">
            <v>No</v>
          </cell>
          <cell r="G43" t="str">
            <v>Private - Psychiatric Hospital</v>
          </cell>
          <cell r="H43" t="str">
            <v>CEDAR RIDGE PSYCHIATRIC HOSPITAL</v>
          </cell>
          <cell r="I43" t="str">
            <v>6501 NE 50TH</v>
          </cell>
          <cell r="J43" t="str">
            <v>OKLAHOMA CITY,OK 73141-0001</v>
          </cell>
          <cell r="K43" t="str">
            <v>OK</v>
          </cell>
          <cell r="L43" t="str">
            <v>374023</v>
          </cell>
          <cell r="M43">
            <v>43831</v>
          </cell>
          <cell r="N43">
            <v>44196</v>
          </cell>
          <cell r="Q43">
            <v>0.40197605061000002</v>
          </cell>
          <cell r="S43" t="str">
            <v>I</v>
          </cell>
          <cell r="T43">
            <v>15825</v>
          </cell>
          <cell r="U43">
            <v>23787582.109999999</v>
          </cell>
          <cell r="V43">
            <v>8066138.8900000006</v>
          </cell>
          <cell r="W43">
            <v>733932.19000000006</v>
          </cell>
          <cell r="X43">
            <v>3496</v>
          </cell>
          <cell r="Y43">
            <v>3828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9562038.3101388905</v>
          </cell>
          <cell r="AH43">
            <v>10133310.500163784</v>
          </cell>
          <cell r="AI43">
            <v>8800071.0800000001</v>
          </cell>
          <cell r="AJ43">
            <v>1333239.4201637842</v>
          </cell>
          <cell r="AK43">
            <v>1333239.4201637842</v>
          </cell>
        </row>
        <row r="44">
          <cell r="A44" t="str">
            <v>100700380P</v>
          </cell>
          <cell r="E44" t="str">
            <v>634</v>
          </cell>
          <cell r="F44" t="str">
            <v>No</v>
          </cell>
          <cell r="G44" t="str">
            <v>Private - Psychiatric Hospital</v>
          </cell>
          <cell r="H44" t="str">
            <v>LAUREATE PSYCHIATRIC CLINIC &amp; HOSPITAL INC</v>
          </cell>
          <cell r="I44" t="str">
            <v>6655 SOUTH YALE</v>
          </cell>
          <cell r="J44" t="str">
            <v>TULSA,OK 74136-3326</v>
          </cell>
          <cell r="K44" t="str">
            <v>OK</v>
          </cell>
          <cell r="L44" t="str">
            <v>374020</v>
          </cell>
          <cell r="M44">
            <v>43647</v>
          </cell>
          <cell r="N44">
            <v>44012</v>
          </cell>
          <cell r="Q44">
            <v>0.46090788627000001</v>
          </cell>
          <cell r="S44" t="str">
            <v>I</v>
          </cell>
          <cell r="T44">
            <v>3381</v>
          </cell>
          <cell r="U44">
            <v>5803044.9299999997</v>
          </cell>
          <cell r="V44">
            <v>1872621.67</v>
          </cell>
          <cell r="W44">
            <v>202707.71999999997</v>
          </cell>
          <cell r="X44">
            <v>549</v>
          </cell>
          <cell r="Y44">
            <v>555</v>
          </cell>
          <cell r="Z44">
            <v>0</v>
          </cell>
          <cell r="AA44">
            <v>0</v>
          </cell>
          <cell r="AB44">
            <v>0</v>
          </cell>
          <cell r="AC44">
            <v>282</v>
          </cell>
          <cell r="AD44">
            <v>0</v>
          </cell>
          <cell r="AF44">
            <v>2674669.17261614</v>
          </cell>
          <cell r="AH44">
            <v>2864512.9778844863</v>
          </cell>
          <cell r="AI44">
            <v>2075611.39</v>
          </cell>
          <cell r="AJ44">
            <v>788901.58788448642</v>
          </cell>
          <cell r="AK44">
            <v>788901.58788448642</v>
          </cell>
        </row>
        <row r="45">
          <cell r="A45" t="str">
            <v>200718040B</v>
          </cell>
          <cell r="E45" t="str">
            <v>634</v>
          </cell>
          <cell r="F45" t="str">
            <v>No</v>
          </cell>
          <cell r="G45" t="str">
            <v>Private - Psychiatric Hospital</v>
          </cell>
          <cell r="H45" t="str">
            <v>OAKWOOD SPRINGS, LLC</v>
          </cell>
          <cell r="I45" t="str">
            <v>13101 MEMORIAL SPRINGS</v>
          </cell>
          <cell r="J45" t="str">
            <v>OKLAHOMA CITY,OK 73114-2226</v>
          </cell>
          <cell r="K45" t="str">
            <v>OK</v>
          </cell>
          <cell r="L45" t="str">
            <v>374025</v>
          </cell>
          <cell r="M45">
            <v>43831</v>
          </cell>
          <cell r="N45">
            <v>44196</v>
          </cell>
          <cell r="Q45">
            <v>0.3645421980028215</v>
          </cell>
          <cell r="S45" t="str">
            <v>I</v>
          </cell>
          <cell r="T45">
            <v>3002</v>
          </cell>
          <cell r="U45">
            <v>6638500</v>
          </cell>
          <cell r="V45">
            <v>1667596.99</v>
          </cell>
          <cell r="W45">
            <v>133818.22999999998</v>
          </cell>
          <cell r="X45">
            <v>468</v>
          </cell>
          <cell r="Y45">
            <v>477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2420013.3814417305</v>
          </cell>
          <cell r="AH45">
            <v>2564594.0973378252</v>
          </cell>
          <cell r="AI45">
            <v>1801415.22</v>
          </cell>
          <cell r="AJ45">
            <v>763178.87733782525</v>
          </cell>
          <cell r="AK45">
            <v>763178.87733782525</v>
          </cell>
        </row>
        <row r="46">
          <cell r="A46" t="str">
            <v>100738360L</v>
          </cell>
          <cell r="B46" t="str">
            <v>100738360M</v>
          </cell>
          <cell r="C46" t="str">
            <v>100738360N</v>
          </cell>
          <cell r="E46" t="str">
            <v>634</v>
          </cell>
          <cell r="F46" t="str">
            <v>No</v>
          </cell>
          <cell r="G46" t="str">
            <v>Private - Psychiatric Hospital</v>
          </cell>
          <cell r="H46" t="str">
            <v>PARKSIDE PSYCHIATRIC HOSPITAL &amp; CLINIC</v>
          </cell>
          <cell r="I46" t="str">
            <v>1239 S TRENTON AVE</v>
          </cell>
          <cell r="J46" t="str">
            <v>TULSA,OK 74120-5420</v>
          </cell>
          <cell r="K46" t="str">
            <v>OK</v>
          </cell>
          <cell r="L46" t="str">
            <v>374021</v>
          </cell>
          <cell r="M46">
            <v>43831</v>
          </cell>
          <cell r="N46">
            <v>44196</v>
          </cell>
          <cell r="Q46">
            <v>0.47615091800999998</v>
          </cell>
          <cell r="S46" t="str">
            <v>I</v>
          </cell>
          <cell r="T46">
            <v>10649</v>
          </cell>
          <cell r="U46">
            <v>12324925</v>
          </cell>
          <cell r="V46">
            <v>5089749.57</v>
          </cell>
          <cell r="W46">
            <v>157991.64999999994</v>
          </cell>
          <cell r="X46">
            <v>7089</v>
          </cell>
          <cell r="Y46">
            <v>7241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F46">
            <v>5868524.3531543994</v>
          </cell>
          <cell r="AH46">
            <v>6219132.1054665986</v>
          </cell>
          <cell r="AI46">
            <v>5247741.2200000007</v>
          </cell>
          <cell r="AJ46">
            <v>971390.88546659797</v>
          </cell>
          <cell r="AK46">
            <v>971390.88546659797</v>
          </cell>
        </row>
        <row r="47">
          <cell r="A47" t="str">
            <v>100701680L</v>
          </cell>
          <cell r="E47" t="str">
            <v>634</v>
          </cell>
          <cell r="F47" t="str">
            <v>No</v>
          </cell>
          <cell r="G47" t="str">
            <v>Private - Psychiatric Hospital</v>
          </cell>
          <cell r="H47" t="str">
            <v>ROLLING HILLS HOSPITAL, LLC</v>
          </cell>
          <cell r="I47" t="str">
            <v>1000 ROLLING HILLS LANE</v>
          </cell>
          <cell r="J47" t="str">
            <v>ADA,OK 74820-9415</v>
          </cell>
          <cell r="K47" t="str">
            <v>OK</v>
          </cell>
          <cell r="L47" t="str">
            <v>374016</v>
          </cell>
          <cell r="M47">
            <v>43831</v>
          </cell>
          <cell r="N47">
            <v>44196</v>
          </cell>
          <cell r="Q47">
            <v>0.23412905579000001</v>
          </cell>
          <cell r="S47" t="str">
            <v>I</v>
          </cell>
          <cell r="T47">
            <v>970</v>
          </cell>
          <cell r="U47">
            <v>2020820</v>
          </cell>
          <cell r="V47">
            <v>479952.15</v>
          </cell>
          <cell r="W47">
            <v>259710.11</v>
          </cell>
          <cell r="X47">
            <v>147</v>
          </cell>
          <cell r="Y47">
            <v>163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473132.67852154782</v>
          </cell>
          <cell r="AH47">
            <v>501399.40708555648</v>
          </cell>
          <cell r="AI47">
            <v>739662.26</v>
          </cell>
          <cell r="AJ47">
            <v>-238262.85291444353</v>
          </cell>
          <cell r="AK47">
            <v>-238262.85291444353</v>
          </cell>
        </row>
        <row r="48">
          <cell r="A48" t="str">
            <v>200673510G</v>
          </cell>
          <cell r="E48" t="str">
            <v>634</v>
          </cell>
          <cell r="F48" t="str">
            <v>No</v>
          </cell>
          <cell r="G48" t="str">
            <v>Private - Psychiatric Hospital</v>
          </cell>
          <cell r="H48" t="str">
            <v>WILLOW CREST HOSPITAL</v>
          </cell>
          <cell r="I48" t="str">
            <v>130 A ST SW</v>
          </cell>
          <cell r="J48" t="str">
            <v>MIAMI,OK 74354-0001</v>
          </cell>
          <cell r="K48" t="str">
            <v>OK</v>
          </cell>
          <cell r="L48" t="str">
            <v>374017</v>
          </cell>
          <cell r="M48">
            <v>43831</v>
          </cell>
          <cell r="N48">
            <v>44196</v>
          </cell>
          <cell r="Q48">
            <v>1.712628678733811</v>
          </cell>
          <cell r="S48" t="str">
            <v>I</v>
          </cell>
          <cell r="T48">
            <v>1946</v>
          </cell>
          <cell r="U48">
            <v>1802799.15</v>
          </cell>
          <cell r="V48">
            <v>1083951.3400000001</v>
          </cell>
          <cell r="W48">
            <v>80711.040000000008</v>
          </cell>
          <cell r="X48">
            <v>412</v>
          </cell>
          <cell r="Y48">
            <v>430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3087525.5262869373</v>
          </cell>
          <cell r="AH48">
            <v>3271985.9323166301</v>
          </cell>
          <cell r="AI48">
            <v>1164662.3800000001</v>
          </cell>
          <cell r="AJ48">
            <v>2107323.5523166303</v>
          </cell>
          <cell r="AK48">
            <v>2107323.5523166303</v>
          </cell>
        </row>
        <row r="49">
          <cell r="A49" t="str">
            <v>200707260A</v>
          </cell>
          <cell r="E49" t="str">
            <v>012</v>
          </cell>
          <cell r="F49" t="str">
            <v>No</v>
          </cell>
          <cell r="G49" t="str">
            <v>Private - Rehabilitation</v>
          </cell>
          <cell r="H49" t="str">
            <v>PAM REHABILITATION HOSPITAL OF TULSA</v>
          </cell>
          <cell r="I49" t="str">
            <v>10020 E. 91ST DR.</v>
          </cell>
          <cell r="J49" t="str">
            <v>TULSA,OK 74133-5835</v>
          </cell>
          <cell r="K49" t="str">
            <v>OK</v>
          </cell>
          <cell r="L49" t="str">
            <v>373035</v>
          </cell>
          <cell r="M49">
            <v>43586</v>
          </cell>
          <cell r="N49">
            <v>43951</v>
          </cell>
          <cell r="Q49">
            <v>0.31571927148188783</v>
          </cell>
          <cell r="S49" t="str">
            <v>I</v>
          </cell>
          <cell r="T49">
            <v>253</v>
          </cell>
          <cell r="U49">
            <v>1306873.5900000001</v>
          </cell>
          <cell r="V49">
            <v>128955.3</v>
          </cell>
          <cell r="W49">
            <v>53684.75</v>
          </cell>
          <cell r="X49">
            <v>22</v>
          </cell>
          <cell r="Y49">
            <v>22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F49">
            <v>412605.17775371938</v>
          </cell>
          <cell r="AH49">
            <v>443425.98529308429</v>
          </cell>
          <cell r="AI49">
            <v>182640.05</v>
          </cell>
          <cell r="AJ49">
            <v>260785.9352930843</v>
          </cell>
          <cell r="AK49">
            <v>260785.9352930843</v>
          </cell>
        </row>
        <row r="50">
          <cell r="A50" t="str">
            <v>200682470A</v>
          </cell>
          <cell r="E50" t="str">
            <v>012</v>
          </cell>
          <cell r="F50" t="str">
            <v>No</v>
          </cell>
          <cell r="G50" t="str">
            <v>Private - Rehabilitation</v>
          </cell>
          <cell r="H50" t="str">
            <v>ST. JOHN REHABILITATION HOSPITAL</v>
          </cell>
          <cell r="I50" t="str">
            <v>1200 WEST ALBANY DRIVE</v>
          </cell>
          <cell r="J50" t="str">
            <v>BROKEN ARROW,OK 74012-8146</v>
          </cell>
          <cell r="K50" t="str">
            <v>OK</v>
          </cell>
          <cell r="L50" t="str">
            <v>373034</v>
          </cell>
          <cell r="M50">
            <v>43739</v>
          </cell>
          <cell r="N50">
            <v>44104</v>
          </cell>
          <cell r="Q50">
            <v>0.51679178766416922</v>
          </cell>
          <cell r="S50" t="str">
            <v>I</v>
          </cell>
          <cell r="T50">
            <v>2052</v>
          </cell>
          <cell r="U50">
            <v>4850278.63</v>
          </cell>
          <cell r="V50">
            <v>1200776.1200000001</v>
          </cell>
          <cell r="W50">
            <v>0</v>
          </cell>
          <cell r="X50">
            <v>188</v>
          </cell>
          <cell r="Y50">
            <v>196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F50">
            <v>2506584.1638670177</v>
          </cell>
          <cell r="AH50">
            <v>2670435.7587625533</v>
          </cell>
          <cell r="AI50">
            <v>1200776.1200000001</v>
          </cell>
          <cell r="AJ50">
            <v>1469659.6387625532</v>
          </cell>
          <cell r="AK50">
            <v>1469659.6387625532</v>
          </cell>
        </row>
        <row r="51">
          <cell r="A51" t="str">
            <v>200028650A</v>
          </cell>
          <cell r="E51" t="str">
            <v>012</v>
          </cell>
          <cell r="F51" t="str">
            <v>No</v>
          </cell>
          <cell r="G51" t="str">
            <v>Private - Rehabilitation</v>
          </cell>
          <cell r="H51" t="str">
            <v>VALIR REHABILITATION HOSPITAL OF OKC</v>
          </cell>
          <cell r="I51" t="str">
            <v>700 NW 7TH ST</v>
          </cell>
          <cell r="J51" t="str">
            <v>OKLAHOMA CITY,OK 73102-</v>
          </cell>
          <cell r="K51" t="str">
            <v>OK</v>
          </cell>
          <cell r="L51" t="str">
            <v>373025</v>
          </cell>
          <cell r="M51">
            <v>43831</v>
          </cell>
          <cell r="N51">
            <v>44196</v>
          </cell>
          <cell r="Q51">
            <v>0.48410163377161874</v>
          </cell>
          <cell r="S51" t="str">
            <v>I</v>
          </cell>
          <cell r="T51">
            <v>5651</v>
          </cell>
          <cell r="U51">
            <v>10999976.550000001</v>
          </cell>
          <cell r="V51">
            <v>4475907.17</v>
          </cell>
          <cell r="W51">
            <v>64414.959999999992</v>
          </cell>
          <cell r="X51">
            <v>409</v>
          </cell>
          <cell r="Y51">
            <v>421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F51">
            <v>5325106.6193044949</v>
          </cell>
          <cell r="AH51">
            <v>5643248.5490749003</v>
          </cell>
          <cell r="AI51">
            <v>4540322.13</v>
          </cell>
          <cell r="AJ51">
            <v>1102926.4190749004</v>
          </cell>
          <cell r="AK51">
            <v>1102926.4190749004</v>
          </cell>
        </row>
        <row r="52">
          <cell r="A52" t="str">
            <v>200479750A</v>
          </cell>
          <cell r="E52" t="str">
            <v>012</v>
          </cell>
          <cell r="F52" t="str">
            <v>No</v>
          </cell>
          <cell r="G52" t="str">
            <v>Private - Rehabilitation</v>
          </cell>
          <cell r="H52" t="str">
            <v>MERCY REHABILITATION HOSPITAL, LLC</v>
          </cell>
          <cell r="I52" t="str">
            <v>5401 W. MEMORIAL ROAD</v>
          </cell>
          <cell r="J52" t="str">
            <v>OKLAHOMA CITY,OK 73142-</v>
          </cell>
          <cell r="K52" t="str">
            <v>OK</v>
          </cell>
          <cell r="L52" t="str">
            <v>373033</v>
          </cell>
          <cell r="M52">
            <v>43831</v>
          </cell>
          <cell r="N52">
            <v>44196</v>
          </cell>
          <cell r="Q52">
            <v>0.46153594839291523</v>
          </cell>
          <cell r="S52" t="str">
            <v>I</v>
          </cell>
          <cell r="T52">
            <v>120</v>
          </cell>
          <cell r="U52">
            <v>315059.26</v>
          </cell>
          <cell r="V52">
            <v>64161.08</v>
          </cell>
          <cell r="W52">
            <v>23101.73</v>
          </cell>
          <cell r="X52">
            <v>10</v>
          </cell>
          <cell r="Y52">
            <v>12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F52">
            <v>145411.17436407006</v>
          </cell>
          <cell r="AH52">
            <v>154098.58570240083</v>
          </cell>
          <cell r="AI52">
            <v>87262.81</v>
          </cell>
          <cell r="AJ52">
            <v>66835.775702400832</v>
          </cell>
          <cell r="AK52">
            <v>66835.775702400832</v>
          </cell>
        </row>
        <row r="53">
          <cell r="A53" t="str">
            <v>100738360O</v>
          </cell>
          <cell r="E53" t="str">
            <v>635</v>
          </cell>
          <cell r="F53" t="str">
            <v>No</v>
          </cell>
          <cell r="G53" t="str">
            <v>Private Acute Psych Level II</v>
          </cell>
          <cell r="H53" t="str">
            <v>PARKSIDE PSYCHIATRIC HOSPITAL &amp; CLINIC</v>
          </cell>
          <cell r="I53" t="str">
            <v>1220 S. TRENTON AVE.</v>
          </cell>
          <cell r="J53" t="str">
            <v>TULSA,OK 74120-5421</v>
          </cell>
          <cell r="K53" t="str">
            <v>OK</v>
          </cell>
          <cell r="L53" t="str">
            <v>374021</v>
          </cell>
          <cell r="M53">
            <v>43831</v>
          </cell>
          <cell r="N53">
            <v>44196</v>
          </cell>
          <cell r="Q53">
            <v>0.47615091800999998</v>
          </cell>
          <cell r="S53" t="str">
            <v>I</v>
          </cell>
          <cell r="T53">
            <v>5641</v>
          </cell>
          <cell r="U53">
            <v>4942000</v>
          </cell>
          <cell r="V53">
            <v>1623525.86</v>
          </cell>
          <cell r="W53">
            <v>41189.560000000019</v>
          </cell>
          <cell r="X53">
            <v>4320</v>
          </cell>
          <cell r="Y53">
            <v>4495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2353137.83680542</v>
          </cell>
          <cell r="AH53">
            <v>2493723.15573652</v>
          </cell>
          <cell r="AI53">
            <v>1664715.4200000002</v>
          </cell>
          <cell r="AJ53">
            <v>829007.7357365198</v>
          </cell>
          <cell r="AK53">
            <v>829007.7357365198</v>
          </cell>
        </row>
        <row r="54">
          <cell r="A54" t="str">
            <v>200673510E</v>
          </cell>
          <cell r="E54" t="str">
            <v>635</v>
          </cell>
          <cell r="F54" t="str">
            <v>No</v>
          </cell>
          <cell r="G54" t="str">
            <v>Private Acute Psych Level II</v>
          </cell>
          <cell r="H54" t="str">
            <v>WILLOW CREST HOSPITAL</v>
          </cell>
          <cell r="I54" t="str">
            <v>130 A ST SW</v>
          </cell>
          <cell r="J54" t="str">
            <v>MIAMI,OK 74354-0002</v>
          </cell>
          <cell r="K54" t="str">
            <v>OK</v>
          </cell>
          <cell r="L54" t="str">
            <v>374017</v>
          </cell>
          <cell r="M54">
            <v>43831</v>
          </cell>
          <cell r="N54">
            <v>44196</v>
          </cell>
          <cell r="Q54">
            <v>0.99145439605587515</v>
          </cell>
          <cell r="S54" t="str">
            <v>I</v>
          </cell>
          <cell r="T54">
            <v>13883</v>
          </cell>
          <cell r="U54">
            <v>9989234.25</v>
          </cell>
          <cell r="V54">
            <v>4219789.2699999996</v>
          </cell>
          <cell r="W54">
            <v>156943.06000000003</v>
          </cell>
          <cell r="X54">
            <v>1648</v>
          </cell>
          <cell r="Y54">
            <v>1764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9903870.2103944123</v>
          </cell>
          <cell r="AH54">
            <v>10495564.725863483</v>
          </cell>
          <cell r="AI54">
            <v>4376732.3299999991</v>
          </cell>
          <cell r="AJ54">
            <v>6118832.3958634837</v>
          </cell>
          <cell r="AK54">
            <v>6118832.3958634837</v>
          </cell>
        </row>
        <row r="55">
          <cell r="A55" t="str">
            <v>100677110F</v>
          </cell>
          <cell r="E55" t="str">
            <v>015</v>
          </cell>
          <cell r="F55" t="str">
            <v>No</v>
          </cell>
          <cell r="G55" t="str">
            <v>Private Children's Specialty</v>
          </cell>
          <cell r="H55" t="str">
            <v>THE CHILDRENS CENTER INC</v>
          </cell>
          <cell r="I55" t="str">
            <v>6800 NW 39 EXPRESSWAY</v>
          </cell>
          <cell r="J55" t="str">
            <v>BETHANY,OK 73008-</v>
          </cell>
          <cell r="K55" t="str">
            <v>OK</v>
          </cell>
          <cell r="L55" t="str">
            <v>77777</v>
          </cell>
          <cell r="M55">
            <v>43647</v>
          </cell>
          <cell r="N55">
            <v>44012</v>
          </cell>
          <cell r="Q55">
            <v>1.0889973684172445</v>
          </cell>
          <cell r="S55" t="str">
            <v>I</v>
          </cell>
          <cell r="T55">
            <v>38158</v>
          </cell>
          <cell r="U55">
            <v>44258850.82</v>
          </cell>
          <cell r="V55">
            <v>44544998.240000002</v>
          </cell>
          <cell r="W55">
            <v>548747.44000000006</v>
          </cell>
          <cell r="X55">
            <v>6567</v>
          </cell>
          <cell r="Y55">
            <v>10138</v>
          </cell>
          <cell r="Z55">
            <v>0</v>
          </cell>
          <cell r="AA55">
            <v>0</v>
          </cell>
          <cell r="AB55">
            <v>3296957.6063280329</v>
          </cell>
          <cell r="AC55">
            <v>0</v>
          </cell>
          <cell r="AD55">
            <v>0</v>
          </cell>
          <cell r="AF55">
            <v>48197772.0721514</v>
          </cell>
          <cell r="AH55">
            <v>51618774.022341684</v>
          </cell>
          <cell r="AI55">
            <v>48390703.286328033</v>
          </cell>
          <cell r="AJ55">
            <v>3228070.7360136509</v>
          </cell>
          <cell r="AK55">
            <v>3228070.7360136509</v>
          </cell>
        </row>
        <row r="56">
          <cell r="A56" t="str">
            <v>200285100B</v>
          </cell>
          <cell r="E56" t="str">
            <v>204</v>
          </cell>
          <cell r="F56" t="str">
            <v>No</v>
          </cell>
          <cell r="G56" t="str">
            <v>Private Hospital Based Psych Level II - Combined</v>
          </cell>
          <cell r="H56" t="str">
            <v>MEADOWLAKE CHILD/ADOLESCENT ACUTE LEVEL 2</v>
          </cell>
          <cell r="I56" t="str">
            <v>2216 S VAN BUREN</v>
          </cell>
          <cell r="J56" t="str">
            <v>ENID,OK 73701-8217</v>
          </cell>
          <cell r="K56" t="str">
            <v>OK</v>
          </cell>
          <cell r="L56" t="str">
            <v>370016</v>
          </cell>
          <cell r="M56">
            <v>43647</v>
          </cell>
          <cell r="N56">
            <v>44012</v>
          </cell>
          <cell r="Q56">
            <v>0.19195132357304934</v>
          </cell>
          <cell r="S56" t="str">
            <v>I</v>
          </cell>
          <cell r="T56">
            <v>6150</v>
          </cell>
          <cell r="U56">
            <v>10243042.470000001</v>
          </cell>
          <cell r="V56">
            <v>1779119.04</v>
          </cell>
          <cell r="W56">
            <v>59697.8</v>
          </cell>
          <cell r="X56">
            <v>914</v>
          </cell>
          <cell r="Y56">
            <v>997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F56">
            <v>1966165.5595314566</v>
          </cell>
          <cell r="AH56">
            <v>2105720.8942362429</v>
          </cell>
          <cell r="AI56">
            <v>1838816.84</v>
          </cell>
          <cell r="AJ56">
            <v>266904.05423624278</v>
          </cell>
          <cell r="AK56">
            <v>266904.05423624278</v>
          </cell>
        </row>
        <row r="57">
          <cell r="A57" t="str">
            <v>200285100C</v>
          </cell>
          <cell r="E57" t="str">
            <v>204</v>
          </cell>
          <cell r="F57" t="str">
            <v>No</v>
          </cell>
          <cell r="G57" t="str">
            <v>Private Hospital Based Psych Level II - Combined</v>
          </cell>
          <cell r="H57" t="str">
            <v>MEADOWLAKE CHILD/ADOLESCENT DUAL ACUTE LEVEL 2</v>
          </cell>
          <cell r="I57" t="str">
            <v>2216 S VAN BUREN</v>
          </cell>
          <cell r="J57" t="str">
            <v>ENID,OK 73701-0000</v>
          </cell>
          <cell r="K57" t="str">
            <v>OK</v>
          </cell>
          <cell r="L57" t="str">
            <v>370016</v>
          </cell>
          <cell r="M57">
            <v>43647</v>
          </cell>
          <cell r="N57">
            <v>44012</v>
          </cell>
          <cell r="Q57">
            <v>0.19195132357304934</v>
          </cell>
          <cell r="S57" t="str">
            <v>I</v>
          </cell>
          <cell r="T57">
            <v>1519</v>
          </cell>
          <cell r="U57">
            <v>2807352.36</v>
          </cell>
          <cell r="V57">
            <v>445507.51</v>
          </cell>
          <cell r="W57">
            <v>0</v>
          </cell>
          <cell r="X57">
            <v>107</v>
          </cell>
          <cell r="Y57">
            <v>111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F57">
            <v>538875.00123792363</v>
          </cell>
          <cell r="AH57">
            <v>577123.50009766442</v>
          </cell>
          <cell r="AI57">
            <v>445507.51</v>
          </cell>
          <cell r="AJ57">
            <v>131615.99009766441</v>
          </cell>
          <cell r="AK57">
            <v>131615.99009766441</v>
          </cell>
        </row>
        <row r="58">
          <cell r="A58" t="str">
            <v>100697950M</v>
          </cell>
          <cell r="E58" t="str">
            <v>204</v>
          </cell>
          <cell r="F58" t="str">
            <v>No</v>
          </cell>
          <cell r="G58" t="str">
            <v>Private Hospital Based Psych Level II - Combined</v>
          </cell>
          <cell r="H58" t="str">
            <v>SOUTHWESTERN MEDICAL CENTER LLC</v>
          </cell>
          <cell r="I58" t="str">
            <v>1602 SW 82ND STREET</v>
          </cell>
          <cell r="J58" t="str">
            <v>LAWTON,OK 73505-9635</v>
          </cell>
          <cell r="K58" t="str">
            <v>OK</v>
          </cell>
          <cell r="L58" t="str">
            <v>370097</v>
          </cell>
          <cell r="M58">
            <v>43770</v>
          </cell>
          <cell r="N58">
            <v>44135</v>
          </cell>
          <cell r="Q58">
            <v>0.24073479530287778</v>
          </cell>
          <cell r="S58" t="str">
            <v>I</v>
          </cell>
          <cell r="T58">
            <v>7109</v>
          </cell>
          <cell r="U58">
            <v>12552918.35</v>
          </cell>
          <cell r="V58">
            <v>2072680.43</v>
          </cell>
          <cell r="W58">
            <v>27966.620000000003</v>
          </cell>
          <cell r="X58">
            <v>926</v>
          </cell>
          <cell r="Y58">
            <v>992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F58">
            <v>3021924.229440988</v>
          </cell>
          <cell r="AH58">
            <v>3213750.4537511654</v>
          </cell>
          <cell r="AI58">
            <v>2100647.0499999998</v>
          </cell>
          <cell r="AJ58">
            <v>1113103.4037511656</v>
          </cell>
          <cell r="AK58">
            <v>1113103.4037511656</v>
          </cell>
        </row>
        <row r="59">
          <cell r="A59" t="str">
            <v>100689250A</v>
          </cell>
          <cell r="E59" t="str">
            <v>204</v>
          </cell>
          <cell r="F59" t="str">
            <v>No</v>
          </cell>
          <cell r="G59" t="str">
            <v>Private Hospital Based Psych Level II - Combined</v>
          </cell>
          <cell r="H59" t="str">
            <v>SPENCER ACUTE LEVEL 2</v>
          </cell>
          <cell r="I59" t="str">
            <v>2601 N SPENCER ROAD</v>
          </cell>
          <cell r="J59" t="str">
            <v>SPENCER,OK 73084-3649</v>
          </cell>
          <cell r="K59" t="str">
            <v>OK</v>
          </cell>
          <cell r="L59" t="str">
            <v>370028</v>
          </cell>
          <cell r="M59">
            <v>43647</v>
          </cell>
          <cell r="N59">
            <v>44012</v>
          </cell>
          <cell r="Q59">
            <v>0.18836130945047899</v>
          </cell>
          <cell r="S59" t="str">
            <v>I</v>
          </cell>
          <cell r="T59">
            <v>11615</v>
          </cell>
          <cell r="U59">
            <v>14606229.359999999</v>
          </cell>
          <cell r="V59">
            <v>3555136.86</v>
          </cell>
          <cell r="W59">
            <v>18841.38</v>
          </cell>
          <cell r="X59">
            <v>1426</v>
          </cell>
          <cell r="Y59">
            <v>1740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F59">
            <v>2751248.4883836317</v>
          </cell>
          <cell r="AH59">
            <v>2946527.772872732</v>
          </cell>
          <cell r="AI59">
            <v>3573978.2399999998</v>
          </cell>
          <cell r="AJ59">
            <v>-627450.46712726774</v>
          </cell>
          <cell r="AK59">
            <v>-627450.46712726774</v>
          </cell>
        </row>
        <row r="60">
          <cell r="A60" t="str">
            <v>100689250B</v>
          </cell>
          <cell r="E60" t="str">
            <v>204</v>
          </cell>
          <cell r="F60" t="str">
            <v>No</v>
          </cell>
          <cell r="G60" t="str">
            <v>Private Hospital Based Psych Level II - Combined</v>
          </cell>
          <cell r="H60" t="str">
            <v>SPENCER STAR ACUTE LEVEL 2</v>
          </cell>
          <cell r="I60" t="str">
            <v>2601 N SPENCER ROAD</v>
          </cell>
          <cell r="J60" t="str">
            <v>SPENCER,OK 73084-0001</v>
          </cell>
          <cell r="K60" t="str">
            <v>OK</v>
          </cell>
          <cell r="L60" t="str">
            <v>370028</v>
          </cell>
          <cell r="M60">
            <v>43647</v>
          </cell>
          <cell r="N60">
            <v>44012</v>
          </cell>
          <cell r="Q60">
            <v>0.18836130945047899</v>
          </cell>
          <cell r="S60" t="str">
            <v>I</v>
          </cell>
          <cell r="T60">
            <v>13513</v>
          </cell>
          <cell r="U60">
            <v>15252594.18</v>
          </cell>
          <cell r="V60">
            <v>4042401.32</v>
          </cell>
          <cell r="W60">
            <v>0</v>
          </cell>
          <cell r="X60">
            <v>744</v>
          </cell>
          <cell r="Y60">
            <v>828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F60">
            <v>2872998.6122615547</v>
          </cell>
          <cell r="AH60">
            <v>3076919.5287870653</v>
          </cell>
          <cell r="AI60">
            <v>4042401.32</v>
          </cell>
          <cell r="AJ60">
            <v>-965481.79121293453</v>
          </cell>
          <cell r="AK60">
            <v>-965481.79121293453</v>
          </cell>
        </row>
        <row r="61">
          <cell r="A61" t="str">
            <v>100699540K</v>
          </cell>
          <cell r="E61" t="str">
            <v>204</v>
          </cell>
          <cell r="F61" t="str">
            <v>No</v>
          </cell>
          <cell r="G61" t="str">
            <v>Private Hospital Based Psych Level II - Combined</v>
          </cell>
          <cell r="H61" t="str">
            <v>SSM HEALTH BEHAVIORAL HEALTH-OKC-RTC ACCENTS</v>
          </cell>
          <cell r="I61" t="str">
            <v>1000 N LEE AVE</v>
          </cell>
          <cell r="J61" t="str">
            <v>OKLAHOMA CITY,OK 73102-1036</v>
          </cell>
          <cell r="K61" t="str">
            <v>OK</v>
          </cell>
          <cell r="L61" t="str">
            <v>370037</v>
          </cell>
          <cell r="M61">
            <v>43831</v>
          </cell>
          <cell r="N61">
            <v>44196</v>
          </cell>
          <cell r="Q61">
            <v>0.21414129195268261</v>
          </cell>
          <cell r="S61" t="str">
            <v>I</v>
          </cell>
          <cell r="T61">
            <v>9823</v>
          </cell>
          <cell r="U61">
            <v>14759119.449999999</v>
          </cell>
          <cell r="V61">
            <v>2895646.4</v>
          </cell>
          <cell r="W61">
            <v>0</v>
          </cell>
          <cell r="X61">
            <v>559</v>
          </cell>
          <cell r="Y61">
            <v>608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3160536.9071069662</v>
          </cell>
          <cell r="AH61">
            <v>3349359.2880697208</v>
          </cell>
          <cell r="AI61">
            <v>2895646.4</v>
          </cell>
          <cell r="AJ61">
            <v>453712.88806972094</v>
          </cell>
          <cell r="AK61">
            <v>453712.88806972094</v>
          </cell>
        </row>
        <row r="62">
          <cell r="A62" t="str">
            <v>100699540J</v>
          </cell>
          <cell r="E62" t="str">
            <v>204</v>
          </cell>
          <cell r="F62" t="str">
            <v>No</v>
          </cell>
          <cell r="G62" t="str">
            <v>Private Hospital Based Psych Level II - Combined</v>
          </cell>
          <cell r="H62" t="str">
            <v>SSM HEALTH BEHAVIORAL HEALTH-OKC-RTC-HR</v>
          </cell>
          <cell r="I62" t="str">
            <v>1000 N LEE AVE</v>
          </cell>
          <cell r="J62" t="str">
            <v>OKLAHOMA CITY,OK 73102-1036</v>
          </cell>
          <cell r="K62" t="str">
            <v>OK</v>
          </cell>
          <cell r="L62" t="str">
            <v>370037</v>
          </cell>
          <cell r="M62">
            <v>43831</v>
          </cell>
          <cell r="N62">
            <v>44196</v>
          </cell>
          <cell r="Q62">
            <v>0.21414129195268261</v>
          </cell>
          <cell r="S62" t="str">
            <v>I</v>
          </cell>
          <cell r="T62">
            <v>19829</v>
          </cell>
          <cell r="U62">
            <v>29427530.719999999</v>
          </cell>
          <cell r="V62">
            <v>5902249.6799999997</v>
          </cell>
          <cell r="W62">
            <v>38398.17</v>
          </cell>
          <cell r="X62">
            <v>1834</v>
          </cell>
          <cell r="Y62">
            <v>2054</v>
          </cell>
          <cell r="Z62">
            <v>0</v>
          </cell>
          <cell r="AA62">
            <v>169570.18</v>
          </cell>
          <cell r="AB62">
            <v>0</v>
          </cell>
          <cell r="AC62">
            <v>0</v>
          </cell>
          <cell r="AD62">
            <v>0</v>
          </cell>
          <cell r="AF62">
            <v>6337961.424779905</v>
          </cell>
          <cell r="AH62">
            <v>6716615.1161783366</v>
          </cell>
          <cell r="AI62">
            <v>5940647.8499999996</v>
          </cell>
          <cell r="AJ62">
            <v>775967.26617833693</v>
          </cell>
          <cell r="AK62">
            <v>775967.26617833693</v>
          </cell>
        </row>
        <row r="63">
          <cell r="A63" t="str">
            <v>100699540L</v>
          </cell>
          <cell r="E63" t="str">
            <v>204</v>
          </cell>
          <cell r="F63" t="str">
            <v>No</v>
          </cell>
          <cell r="G63" t="str">
            <v>Private Hospital Based Psych Level II - Combined</v>
          </cell>
          <cell r="H63" t="str">
            <v>SSM HEALTH ST. ANTHONY SOUTH-JSOP</v>
          </cell>
          <cell r="I63" t="str">
            <v>2129 SW 59TH ST</v>
          </cell>
          <cell r="J63" t="str">
            <v>OKLAHOMA CITY,OK 73119-7024</v>
          </cell>
          <cell r="K63" t="str">
            <v>OK</v>
          </cell>
          <cell r="L63" t="str">
            <v>370037</v>
          </cell>
          <cell r="M63">
            <v>43831</v>
          </cell>
          <cell r="N63">
            <v>44196</v>
          </cell>
          <cell r="Q63">
            <v>0.21414129195268261</v>
          </cell>
          <cell r="S63" t="str">
            <v>I</v>
          </cell>
          <cell r="T63">
            <v>8573</v>
          </cell>
          <cell r="U63">
            <v>11648504.130000001</v>
          </cell>
          <cell r="V63">
            <v>2514375.17</v>
          </cell>
          <cell r="W63">
            <v>0</v>
          </cell>
          <cell r="X63">
            <v>447</v>
          </cell>
          <cell r="Y63">
            <v>485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2494425.7237143591</v>
          </cell>
          <cell r="AH63">
            <v>2643452.1132582882</v>
          </cell>
          <cell r="AI63">
            <v>2514375.17</v>
          </cell>
          <cell r="AJ63">
            <v>129076.94325828832</v>
          </cell>
          <cell r="AK63">
            <v>129076.94325828832</v>
          </cell>
        </row>
        <row r="64">
          <cell r="AJ64">
            <v>22649281.405999742</v>
          </cell>
          <cell r="AK64">
            <v>22649281.405999742</v>
          </cell>
          <cell r="AL64" t="str">
            <v xml:space="preserve"> </v>
          </cell>
        </row>
        <row r="66">
          <cell r="A66" t="str">
            <v>100700640C</v>
          </cell>
          <cell r="E66" t="str">
            <v>634</v>
          </cell>
          <cell r="F66" t="str">
            <v>No</v>
          </cell>
          <cell r="G66" t="str">
            <v>Public - Psychiatric Hospital</v>
          </cell>
          <cell r="H66" t="str">
            <v>CARL ALBERT COMM MHC</v>
          </cell>
          <cell r="I66" t="str">
            <v>1101 E MONROE</v>
          </cell>
          <cell r="J66" t="str">
            <v>MCALESTER,OK 74501-0000</v>
          </cell>
          <cell r="K66" t="str">
            <v>OK</v>
          </cell>
          <cell r="L66" t="str">
            <v>374006</v>
          </cell>
          <cell r="M66">
            <v>43647</v>
          </cell>
          <cell r="N66">
            <v>44012</v>
          </cell>
          <cell r="Q66">
            <v>2.1163765125715028</v>
          </cell>
          <cell r="S66" t="str">
            <v>I</v>
          </cell>
          <cell r="T66">
            <v>1246</v>
          </cell>
          <cell r="U66">
            <v>744410.24</v>
          </cell>
          <cell r="V66">
            <v>743519.71</v>
          </cell>
          <cell r="W66">
            <v>0</v>
          </cell>
          <cell r="X66">
            <v>141</v>
          </cell>
          <cell r="Y66">
            <v>141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1575452.3476537154</v>
          </cell>
          <cell r="AH66">
            <v>1687275.4739527283</v>
          </cell>
          <cell r="AI66">
            <v>743519.71</v>
          </cell>
          <cell r="AJ66">
            <v>943755.76395272836</v>
          </cell>
          <cell r="AK66">
            <v>943755.76395272836</v>
          </cell>
        </row>
        <row r="67">
          <cell r="A67" t="str">
            <v>100690030B</v>
          </cell>
          <cell r="E67" t="str">
            <v>634</v>
          </cell>
          <cell r="F67" t="str">
            <v>No</v>
          </cell>
          <cell r="G67" t="str">
            <v>Public - Psychiatric Hospital</v>
          </cell>
          <cell r="H67" t="str">
            <v>GRIFFIN MEMORIAL HOSPITAL</v>
          </cell>
          <cell r="I67" t="str">
            <v>900 E MAIN</v>
          </cell>
          <cell r="J67" t="str">
            <v>NORMAN,OK 73071-5305</v>
          </cell>
          <cell r="K67" t="str">
            <v>OK</v>
          </cell>
          <cell r="L67" t="str">
            <v>374000</v>
          </cell>
          <cell r="M67">
            <v>43647</v>
          </cell>
          <cell r="N67">
            <v>44012</v>
          </cell>
          <cell r="Q67">
            <v>0.86453795753720564</v>
          </cell>
          <cell r="S67" t="str">
            <v>I</v>
          </cell>
          <cell r="T67">
            <v>1777</v>
          </cell>
          <cell r="U67">
            <v>1394316.96</v>
          </cell>
          <cell r="V67">
            <v>1054955.29</v>
          </cell>
          <cell r="W67">
            <v>6515.66</v>
          </cell>
          <cell r="X67">
            <v>237</v>
          </cell>
          <cell r="Y67">
            <v>243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F67">
            <v>1205439.9367578856</v>
          </cell>
          <cell r="AH67">
            <v>1291000.1649010598</v>
          </cell>
          <cell r="AI67">
            <v>1061470.95</v>
          </cell>
          <cell r="AJ67">
            <v>229529.21490105987</v>
          </cell>
          <cell r="AK67">
            <v>229529.21490105987</v>
          </cell>
        </row>
        <row r="68">
          <cell r="A68" t="str">
            <v>100700660B</v>
          </cell>
          <cell r="E68" t="str">
            <v>634</v>
          </cell>
          <cell r="F68" t="str">
            <v>No</v>
          </cell>
          <cell r="G68" t="str">
            <v>Public - Psychiatric Hospital</v>
          </cell>
          <cell r="H68" t="str">
            <v>JIM TALIAFERRO MHC</v>
          </cell>
          <cell r="I68" t="str">
            <v>602 SW 38TH STREET</v>
          </cell>
          <cell r="J68" t="str">
            <v>LAWTON,OK 73505-6912</v>
          </cell>
          <cell r="K68" t="str">
            <v>OK</v>
          </cell>
          <cell r="L68" t="str">
            <v>374008</v>
          </cell>
          <cell r="M68">
            <v>43647</v>
          </cell>
          <cell r="N68">
            <v>44012</v>
          </cell>
          <cell r="Q68">
            <v>1.899474186976406</v>
          </cell>
          <cell r="S68" t="str">
            <v>I</v>
          </cell>
          <cell r="T68">
            <v>1224</v>
          </cell>
          <cell r="U68">
            <v>731266.56000000006</v>
          </cell>
          <cell r="V68">
            <v>730191.04</v>
          </cell>
          <cell r="W68">
            <v>0</v>
          </cell>
          <cell r="X68">
            <v>214</v>
          </cell>
          <cell r="Y68">
            <v>214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F68">
            <v>1389021.9545190334</v>
          </cell>
          <cell r="AH68">
            <v>1487612.5451412159</v>
          </cell>
          <cell r="AI68">
            <v>730191.04</v>
          </cell>
          <cell r="AJ68">
            <v>757421.50514121586</v>
          </cell>
          <cell r="AK68">
            <v>757421.50514121586</v>
          </cell>
        </row>
        <row r="69">
          <cell r="A69" t="str">
            <v>100704080B</v>
          </cell>
          <cell r="E69" t="str">
            <v>634</v>
          </cell>
          <cell r="F69" t="str">
            <v>No</v>
          </cell>
          <cell r="G69" t="str">
            <v>Public - Psychiatric Hospital</v>
          </cell>
          <cell r="H69" t="str">
            <v>NORTHWEST CENTER FOR BEHAVIORAL HEALTH</v>
          </cell>
          <cell r="I69" t="str">
            <v>193461 E. COUNTY RD. 304  PO BOX 1</v>
          </cell>
          <cell r="J69" t="str">
            <v>FORT SUPPLY,OK 73841-0000</v>
          </cell>
          <cell r="K69" t="str">
            <v>OK</v>
          </cell>
          <cell r="L69" t="str">
            <v>374001</v>
          </cell>
          <cell r="M69">
            <v>43647</v>
          </cell>
          <cell r="N69">
            <v>44012</v>
          </cell>
          <cell r="Q69">
            <v>1.6796174965233472</v>
          </cell>
          <cell r="S69" t="str">
            <v>I</v>
          </cell>
          <cell r="T69">
            <v>1228</v>
          </cell>
          <cell r="U69">
            <v>915278.08</v>
          </cell>
          <cell r="V69">
            <v>732198.08</v>
          </cell>
          <cell r="W69">
            <v>0</v>
          </cell>
          <cell r="X69">
            <v>120</v>
          </cell>
          <cell r="Y69">
            <v>120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1537317.0773522959</v>
          </cell>
          <cell r="AH69">
            <v>1646433.4222283647</v>
          </cell>
          <cell r="AI69">
            <v>732198.08</v>
          </cell>
          <cell r="AJ69">
            <v>914235.34222836478</v>
          </cell>
          <cell r="AK69">
            <v>914235.34222836478</v>
          </cell>
        </row>
        <row r="70">
          <cell r="A70" t="str">
            <v>100700670A</v>
          </cell>
          <cell r="E70" t="str">
            <v>012</v>
          </cell>
          <cell r="F70" t="str">
            <v>No</v>
          </cell>
          <cell r="G70" t="str">
            <v>Public - Rehabilitation</v>
          </cell>
          <cell r="H70" t="str">
            <v>J D MCCARTY C P CTR</v>
          </cell>
          <cell r="I70" t="str">
            <v>2002 EAST ROBINSON</v>
          </cell>
          <cell r="J70" t="str">
            <v>NORMAN,OK 73071-</v>
          </cell>
          <cell r="K70" t="str">
            <v>OK</v>
          </cell>
          <cell r="L70" t="str">
            <v>373300</v>
          </cell>
          <cell r="M70">
            <v>43647</v>
          </cell>
          <cell r="N70">
            <v>44012</v>
          </cell>
          <cell r="Q70">
            <v>1.0816204538876122</v>
          </cell>
          <cell r="S70" t="str">
            <v>I</v>
          </cell>
          <cell r="T70">
            <v>10679</v>
          </cell>
          <cell r="U70">
            <v>16789009.43</v>
          </cell>
          <cell r="V70">
            <v>10705357.85</v>
          </cell>
          <cell r="W70">
            <v>100744.62</v>
          </cell>
          <cell r="X70">
            <v>452</v>
          </cell>
          <cell r="Y70">
            <v>459</v>
          </cell>
          <cell r="Z70">
            <v>0</v>
          </cell>
          <cell r="AA70">
            <v>0</v>
          </cell>
          <cell r="AB70">
            <v>9183818.2599999998</v>
          </cell>
          <cell r="AC70">
            <v>0</v>
          </cell>
          <cell r="AD70">
            <v>0</v>
          </cell>
          <cell r="AF70">
            <v>18159336</v>
          </cell>
          <cell r="AH70">
            <v>19448257.068325799</v>
          </cell>
          <cell r="AI70">
            <v>19989920.729999997</v>
          </cell>
          <cell r="AJ70">
            <v>-541663.66167419776</v>
          </cell>
          <cell r="AK70">
            <v>-541663.66167419776</v>
          </cell>
        </row>
        <row r="71">
          <cell r="AJ71">
            <v>2303278.164549171</v>
          </cell>
          <cell r="AK71">
            <v>2303278.164549171</v>
          </cell>
          <cell r="AL71" t="str">
            <v xml:space="preserve"> </v>
          </cell>
        </row>
      </sheetData>
      <sheetData sheetId="8"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  <cell r="G2" t="str">
            <v>Ownership Indicator</v>
          </cell>
          <cell r="H2" t="str">
            <v>Billing Full Name</v>
          </cell>
          <cell r="I2" t="str">
            <v>Billing Full Street Addr</v>
          </cell>
          <cell r="J2" t="str">
            <v>Billing City/St/Zip Code</v>
          </cell>
          <cell r="K2" t="str">
            <v>State</v>
          </cell>
          <cell r="L2" t="str">
            <v>CMS_ID</v>
          </cell>
          <cell r="M2" t="str">
            <v>FY_BGN_DT</v>
          </cell>
          <cell r="N2" t="str">
            <v>FY_END_DT</v>
          </cell>
          <cell r="Q2" t="str">
            <v>Outpatient CCR</v>
          </cell>
          <cell r="S2" t="str">
            <v xml:space="preserve">Outpt Billed Amt APC </v>
          </cell>
          <cell r="T2" t="str">
            <v xml:space="preserve">Outpt Billed Amt No APC </v>
          </cell>
          <cell r="U2" t="str">
            <v>Total Outpt Cost</v>
          </cell>
          <cell r="W2" t="str">
            <v>Inflated Total Outpt Cost</v>
          </cell>
          <cell r="X2" t="str">
            <v>Outpt Pymts APC</v>
          </cell>
          <cell r="Y2" t="str">
            <v>Outpt Pymts No APC</v>
          </cell>
          <cell r="Z2" t="str">
            <v>Outpt TPL APC</v>
          </cell>
          <cell r="AA2" t="str">
            <v>Outpt TPL No APC</v>
          </cell>
          <cell r="AB2" t="str">
            <v>Outpt Supplemental</v>
          </cell>
          <cell r="AC2" t="str">
            <v xml:space="preserve">Outpt SHOPP Assessment </v>
          </cell>
          <cell r="AD2" t="str">
            <v>Outpatient Expenditures</v>
          </cell>
          <cell r="AE2" t="str">
            <v>Outpt Payments w/o supplementals</v>
          </cell>
          <cell r="AF2" t="str">
            <v>Total Outpt Payments</v>
          </cell>
          <cell r="AG2" t="str">
            <v>Outpatient (Over) / under cost         WITHOUT SHOPP</v>
          </cell>
          <cell r="AH2" t="str">
            <v>Outpatient (Over) / under cost with SHOPP Payments       INCLUDING SHOPP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  <cell r="G3" t="str">
            <v>NSGO</v>
          </cell>
          <cell r="H3" t="str">
            <v>ARBUCKLE MEM HSP</v>
          </cell>
          <cell r="I3" t="str">
            <v>2011 W BROADWAY</v>
          </cell>
          <cell r="J3" t="str">
            <v>SULPHUR,OK 73086-8109</v>
          </cell>
          <cell r="K3" t="str">
            <v>OK</v>
          </cell>
          <cell r="L3" t="str">
            <v>371328</v>
          </cell>
          <cell r="M3">
            <v>43831</v>
          </cell>
          <cell r="N3">
            <v>44196</v>
          </cell>
          <cell r="Q3">
            <v>0.52171474872925672</v>
          </cell>
          <cell r="S3">
            <v>2653710.21</v>
          </cell>
          <cell r="T3">
            <v>55759.95</v>
          </cell>
          <cell r="U3">
            <v>1427564.8920965858</v>
          </cell>
          <cell r="W3">
            <v>1512852.9965633855</v>
          </cell>
          <cell r="X3">
            <v>765649.17999999993</v>
          </cell>
          <cell r="Y3">
            <v>12615.63</v>
          </cell>
          <cell r="Z3">
            <v>43111.49</v>
          </cell>
          <cell r="AA3">
            <v>3697.779825064903</v>
          </cell>
          <cell r="AB3">
            <v>0</v>
          </cell>
          <cell r="AC3">
            <v>0</v>
          </cell>
          <cell r="AD3">
            <v>0</v>
          </cell>
          <cell r="AE3">
            <v>825074.07982506487</v>
          </cell>
          <cell r="AF3">
            <v>825074.07982506487</v>
          </cell>
          <cell r="AG3">
            <v>687778.91673832061</v>
          </cell>
          <cell r="AH3">
            <v>687778.91673832061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  <cell r="G4" t="str">
            <v>NSGO</v>
          </cell>
          <cell r="H4" t="str">
            <v>ATOKA COUNTY HEALTHCARE AUTHORITY</v>
          </cell>
          <cell r="I4" t="str">
            <v>1590 W LIBERTY ROAD</v>
          </cell>
          <cell r="J4" t="str">
            <v>ATOKA,OK 74525-</v>
          </cell>
          <cell r="K4" t="str">
            <v>OK</v>
          </cell>
          <cell r="L4" t="str">
            <v>371300</v>
          </cell>
          <cell r="M4">
            <v>43831</v>
          </cell>
          <cell r="N4">
            <v>44196</v>
          </cell>
          <cell r="Q4">
            <v>0.50177896122069754</v>
          </cell>
          <cell r="S4">
            <v>1766884.6600000001</v>
          </cell>
          <cell r="T4">
            <v>162374.70000000001</v>
          </cell>
          <cell r="U4">
            <v>977645.56898621027</v>
          </cell>
          <cell r="W4">
            <v>1036053.7981888364</v>
          </cell>
          <cell r="X4">
            <v>330318.39</v>
          </cell>
          <cell r="Y4">
            <v>11329.51</v>
          </cell>
          <cell r="Z4">
            <v>8686.99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350334.89</v>
          </cell>
          <cell r="AF4">
            <v>350334.89</v>
          </cell>
          <cell r="AG4">
            <v>685718.90818883642</v>
          </cell>
          <cell r="AH4">
            <v>685718.90818883642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  <cell r="G5" t="str">
            <v>NSGO</v>
          </cell>
          <cell r="H5" t="str">
            <v>BEAVER COUNTY MEMORIAL HOSPITAL</v>
          </cell>
          <cell r="I5" t="str">
            <v xml:space="preserve">212 E. 8TH STREET  </v>
          </cell>
          <cell r="J5" t="str">
            <v xml:space="preserve">BEAVER         </v>
          </cell>
          <cell r="K5" t="str">
            <v>OK</v>
          </cell>
          <cell r="L5">
            <v>370041</v>
          </cell>
          <cell r="M5">
            <v>43466</v>
          </cell>
          <cell r="N5">
            <v>43830</v>
          </cell>
          <cell r="Q5">
            <v>0.84841165854658196</v>
          </cell>
          <cell r="S5">
            <v>186178.45</v>
          </cell>
          <cell r="T5">
            <v>18903.150000000001</v>
          </cell>
          <cell r="U5">
            <v>175716.15723528125</v>
          </cell>
          <cell r="W5">
            <v>190132.94263790871</v>
          </cell>
          <cell r="X5">
            <v>50291.89</v>
          </cell>
          <cell r="Y5">
            <v>1721.79</v>
          </cell>
          <cell r="Z5">
            <v>693.28</v>
          </cell>
          <cell r="AA5">
            <v>811.53203011372079</v>
          </cell>
          <cell r="AB5">
            <v>0</v>
          </cell>
          <cell r="AC5">
            <v>0</v>
          </cell>
          <cell r="AD5">
            <v>0</v>
          </cell>
          <cell r="AE5">
            <v>53518.492030113717</v>
          </cell>
          <cell r="AF5">
            <v>53518.492030113717</v>
          </cell>
          <cell r="AG5">
            <v>136614.45060779498</v>
          </cell>
          <cell r="AH5">
            <v>136614.45060779498</v>
          </cell>
        </row>
        <row r="6">
          <cell r="A6" t="str">
            <v>200668710A</v>
          </cell>
          <cell r="E6" t="str">
            <v>010</v>
          </cell>
          <cell r="F6" t="str">
            <v>Yes</v>
          </cell>
          <cell r="G6" t="str">
            <v>NSGO</v>
          </cell>
          <cell r="H6" t="str">
            <v>BLACKWELL REGIONAL HOSPITAL</v>
          </cell>
          <cell r="I6" t="str">
            <v>710 S 13TH ST</v>
          </cell>
          <cell r="J6" t="str">
            <v>BLACKWELL,OK 74631-0000</v>
          </cell>
          <cell r="K6" t="str">
            <v>OK</v>
          </cell>
          <cell r="L6" t="str">
            <v>370030</v>
          </cell>
          <cell r="M6">
            <v>43831</v>
          </cell>
          <cell r="N6">
            <v>44196</v>
          </cell>
          <cell r="Q6">
            <v>0.15987967481661097</v>
          </cell>
          <cell r="S6">
            <v>5226470.1999999993</v>
          </cell>
          <cell r="T6">
            <v>584308</v>
          </cell>
          <cell r="U6">
            <v>929025.32904745196</v>
          </cell>
          <cell r="W6">
            <v>984528.80195769866</v>
          </cell>
          <cell r="X6">
            <v>547697.38</v>
          </cell>
          <cell r="Y6">
            <v>22979.93</v>
          </cell>
          <cell r="Z6">
            <v>39368.6</v>
          </cell>
          <cell r="AA6">
            <v>5700.8054658327519</v>
          </cell>
          <cell r="AB6">
            <v>0</v>
          </cell>
          <cell r="AC6">
            <v>0</v>
          </cell>
          <cell r="AD6">
            <v>0</v>
          </cell>
          <cell r="AE6">
            <v>615746.71546583273</v>
          </cell>
          <cell r="AF6">
            <v>615746.71546583273</v>
          </cell>
          <cell r="AG6">
            <v>368782.08649186592</v>
          </cell>
          <cell r="AH6">
            <v>368782.08649186592</v>
          </cell>
        </row>
        <row r="7">
          <cell r="A7" t="str">
            <v>100699690A</v>
          </cell>
          <cell r="E7" t="str">
            <v>014</v>
          </cell>
          <cell r="F7" t="str">
            <v>No</v>
          </cell>
          <cell r="G7" t="str">
            <v>NSGO</v>
          </cell>
          <cell r="H7" t="str">
            <v>CARNEGIE TRI-COUNTY MUNICI</v>
          </cell>
          <cell r="I7" t="str">
            <v>MUNICIPAL HOSPITAL  102 N BROADWAY</v>
          </cell>
          <cell r="J7" t="str">
            <v>CARNEGIE,OK 73015-9073</v>
          </cell>
          <cell r="K7" t="str">
            <v>OK</v>
          </cell>
          <cell r="L7" t="str">
            <v>371334</v>
          </cell>
          <cell r="M7">
            <v>43586</v>
          </cell>
          <cell r="N7">
            <v>43951</v>
          </cell>
          <cell r="Q7">
            <v>0.66900056259644092</v>
          </cell>
          <cell r="S7">
            <v>619740.26</v>
          </cell>
          <cell r="T7">
            <v>29092.3</v>
          </cell>
          <cell r="U7">
            <v>438366.63421283086</v>
          </cell>
          <cell r="W7">
            <v>471111.77264833864</v>
          </cell>
          <cell r="X7">
            <v>134789.11000000002</v>
          </cell>
          <cell r="Y7">
            <v>4060.6</v>
          </cell>
          <cell r="Z7">
            <v>10285.379999999999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149135.09000000003</v>
          </cell>
          <cell r="AF7">
            <v>149135.09000000003</v>
          </cell>
          <cell r="AG7">
            <v>321976.68264833861</v>
          </cell>
          <cell r="AH7">
            <v>321976.68264833861</v>
          </cell>
        </row>
        <row r="8">
          <cell r="A8" t="str">
            <v>100700720A</v>
          </cell>
          <cell r="E8" t="str">
            <v>010</v>
          </cell>
          <cell r="F8" t="str">
            <v>Yes</v>
          </cell>
          <cell r="G8" t="str">
            <v>NSGO</v>
          </cell>
          <cell r="H8" t="str">
            <v>CHOCTAW MEMORIAL HOSPITAL</v>
          </cell>
          <cell r="I8" t="str">
            <v>1405 E KIRK ST</v>
          </cell>
          <cell r="J8" t="str">
            <v>HUGO,OK 74743-3603</v>
          </cell>
          <cell r="K8" t="str">
            <v>OK</v>
          </cell>
          <cell r="L8" t="str">
            <v>370100</v>
          </cell>
          <cell r="M8">
            <v>43647</v>
          </cell>
          <cell r="N8">
            <v>44012</v>
          </cell>
          <cell r="Q8">
            <v>0.19942554964228637</v>
          </cell>
          <cell r="S8">
            <v>6066303.04</v>
          </cell>
          <cell r="T8">
            <v>101918</v>
          </cell>
          <cell r="U8">
            <v>1230100.8712171153</v>
          </cell>
          <cell r="W8">
            <v>1317411.4936472338</v>
          </cell>
          <cell r="X8">
            <v>859182.74</v>
          </cell>
          <cell r="Y8">
            <v>10154.16</v>
          </cell>
          <cell r="Z8">
            <v>22484.45</v>
          </cell>
          <cell r="AA8">
            <v>1085.425179991397</v>
          </cell>
          <cell r="AB8">
            <v>0</v>
          </cell>
          <cell r="AC8">
            <v>0</v>
          </cell>
          <cell r="AD8">
            <v>0</v>
          </cell>
          <cell r="AE8">
            <v>892906.77517999138</v>
          </cell>
          <cell r="AF8">
            <v>892906.77517999138</v>
          </cell>
          <cell r="AG8">
            <v>424504.71846724243</v>
          </cell>
          <cell r="AH8">
            <v>424504.71846724243</v>
          </cell>
        </row>
        <row r="9">
          <cell r="A9" t="str">
            <v>100700740A</v>
          </cell>
          <cell r="E9" t="str">
            <v>014</v>
          </cell>
          <cell r="F9" t="str">
            <v>No</v>
          </cell>
          <cell r="G9" t="str">
            <v>NSGO</v>
          </cell>
          <cell r="H9" t="str">
            <v>CIMARRON MEMORIAL HOSPITAL</v>
          </cell>
          <cell r="I9" t="str">
            <v>100 S ELLIS AVE</v>
          </cell>
          <cell r="J9" t="str">
            <v>BOISE CITY,OK 73933-</v>
          </cell>
          <cell r="K9" t="str">
            <v>OK</v>
          </cell>
          <cell r="L9" t="str">
            <v>371307</v>
          </cell>
          <cell r="M9">
            <v>43831</v>
          </cell>
          <cell r="N9">
            <v>44196</v>
          </cell>
          <cell r="Q9">
            <v>0.99200689086621074</v>
          </cell>
          <cell r="S9">
            <v>125049.32</v>
          </cell>
          <cell r="T9">
            <v>14203.93</v>
          </cell>
          <cell r="U9">
            <v>139507.77139291278</v>
          </cell>
          <cell r="W9">
            <v>147842.49119889981</v>
          </cell>
          <cell r="X9">
            <v>28492.46</v>
          </cell>
          <cell r="Y9">
            <v>1218.99</v>
          </cell>
          <cell r="Z9">
            <v>784.06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30495.510000000002</v>
          </cell>
          <cell r="AF9">
            <v>30495.510000000002</v>
          </cell>
          <cell r="AG9">
            <v>117346.9811988998</v>
          </cell>
          <cell r="AH9">
            <v>117346.9811988998</v>
          </cell>
        </row>
        <row r="10">
          <cell r="A10" t="str">
            <v>200234090B</v>
          </cell>
          <cell r="E10" t="str">
            <v>014</v>
          </cell>
          <cell r="F10" t="str">
            <v>No</v>
          </cell>
          <cell r="G10" t="str">
            <v>NSGO</v>
          </cell>
          <cell r="H10" t="str">
            <v>CLEVELAND AREA HOSPITAL</v>
          </cell>
          <cell r="I10" t="str">
            <v>1401 W PAWNEE ST</v>
          </cell>
          <cell r="J10" t="str">
            <v>CLEVELAND,OK 74020-3020</v>
          </cell>
          <cell r="K10" t="str">
            <v>OK</v>
          </cell>
          <cell r="L10" t="str">
            <v>371320</v>
          </cell>
          <cell r="M10">
            <v>43831</v>
          </cell>
          <cell r="N10">
            <v>44196</v>
          </cell>
          <cell r="Q10">
            <v>0.50800503039348721</v>
          </cell>
          <cell r="S10">
            <v>4469892.63</v>
          </cell>
          <cell r="T10">
            <v>565893.73</v>
          </cell>
          <cell r="U10">
            <v>2583531.0304152905</v>
          </cell>
          <cell r="W10">
            <v>2737880.9066522089</v>
          </cell>
          <cell r="X10">
            <v>835046.97</v>
          </cell>
          <cell r="Y10">
            <v>53118.429999999993</v>
          </cell>
          <cell r="Z10">
            <v>45156.57</v>
          </cell>
          <cell r="AA10">
            <v>22239.900596579599</v>
          </cell>
          <cell r="AB10">
            <v>0</v>
          </cell>
          <cell r="AC10">
            <v>0</v>
          </cell>
          <cell r="AD10">
            <v>0</v>
          </cell>
          <cell r="AE10">
            <v>955561.87059657951</v>
          </cell>
          <cell r="AF10">
            <v>955561.87059657951</v>
          </cell>
          <cell r="AG10">
            <v>1782319.0360556294</v>
          </cell>
          <cell r="AH10">
            <v>1782319.0360556294</v>
          </cell>
        </row>
        <row r="11">
          <cell r="A11" t="str">
            <v>100749570S</v>
          </cell>
          <cell r="E11" t="str">
            <v>010</v>
          </cell>
          <cell r="F11" t="str">
            <v>Yes</v>
          </cell>
          <cell r="G11" t="str">
            <v>NSGO</v>
          </cell>
          <cell r="H11" t="str">
            <v>COMANCHE CO MEM HSP</v>
          </cell>
          <cell r="I11" t="str">
            <v>3401 GORE BLVD</v>
          </cell>
          <cell r="J11" t="str">
            <v>LAWTON,OK 73505-6332</v>
          </cell>
          <cell r="K11" t="str">
            <v>OK</v>
          </cell>
          <cell r="L11" t="str">
            <v>370056</v>
          </cell>
          <cell r="M11">
            <v>43647</v>
          </cell>
          <cell r="N11">
            <v>44012</v>
          </cell>
          <cell r="Q11">
            <v>0.15846450850186433</v>
          </cell>
          <cell r="S11">
            <v>64438542.030000001</v>
          </cell>
          <cell r="T11">
            <v>6269023.8900000006</v>
          </cell>
          <cell r="U11">
            <v>11204639.680875974</v>
          </cell>
          <cell r="W11">
            <v>11999927.358117051</v>
          </cell>
          <cell r="X11">
            <v>10472812.939999999</v>
          </cell>
          <cell r="Y11">
            <v>483617.06</v>
          </cell>
          <cell r="Z11">
            <v>453286.99</v>
          </cell>
          <cell r="AA11">
            <v>72927.812848679227</v>
          </cell>
          <cell r="AB11">
            <v>0</v>
          </cell>
          <cell r="AC11">
            <v>0</v>
          </cell>
          <cell r="AD11">
            <v>0</v>
          </cell>
          <cell r="AE11">
            <v>11482644.80284868</v>
          </cell>
          <cell r="AF11">
            <v>11482644.80284868</v>
          </cell>
          <cell r="AG11">
            <v>517282.55526837148</v>
          </cell>
          <cell r="AH11">
            <v>517282.55526837148</v>
          </cell>
        </row>
        <row r="12">
          <cell r="A12" t="str">
            <v>100819200B</v>
          </cell>
          <cell r="E12" t="str">
            <v>014</v>
          </cell>
          <cell r="F12" t="str">
            <v>No</v>
          </cell>
          <cell r="G12" t="str">
            <v>NSGO</v>
          </cell>
          <cell r="H12" t="str">
            <v>CORDELL MEMORIAL HOSPITAL</v>
          </cell>
          <cell r="I12" t="str">
            <v>1220 N GLENN ENGLISH</v>
          </cell>
          <cell r="J12" t="str">
            <v>CORDELL,OK 73632-</v>
          </cell>
          <cell r="K12" t="str">
            <v>OK</v>
          </cell>
          <cell r="L12" t="str">
            <v>371325</v>
          </cell>
          <cell r="M12">
            <v>43647</v>
          </cell>
          <cell r="N12">
            <v>44012</v>
          </cell>
          <cell r="Q12">
            <v>0.6405869641213906</v>
          </cell>
          <cell r="S12">
            <v>941066.28999999992</v>
          </cell>
          <cell r="T12">
            <v>128255</v>
          </cell>
          <cell r="U12">
            <v>691774.71229190065</v>
          </cell>
          <cell r="W12">
            <v>740875.79182520777</v>
          </cell>
          <cell r="X12">
            <v>188213.58</v>
          </cell>
          <cell r="Y12">
            <v>11331.25</v>
          </cell>
          <cell r="Z12">
            <v>20642.72</v>
          </cell>
          <cell r="AA12">
            <v>257.03309029834509</v>
          </cell>
          <cell r="AB12">
            <v>0</v>
          </cell>
          <cell r="AC12">
            <v>0</v>
          </cell>
          <cell r="AD12">
            <v>0</v>
          </cell>
          <cell r="AE12">
            <v>220444.58309029834</v>
          </cell>
          <cell r="AF12">
            <v>220444.58309029834</v>
          </cell>
          <cell r="AG12">
            <v>520431.20873490942</v>
          </cell>
          <cell r="AH12">
            <v>520431.20873490942</v>
          </cell>
        </row>
        <row r="13">
          <cell r="A13" t="str">
            <v>200910710B</v>
          </cell>
          <cell r="B13" t="str">
            <v>200259440A</v>
          </cell>
          <cell r="E13" t="str">
            <v>014</v>
          </cell>
          <cell r="F13" t="str">
            <v>No</v>
          </cell>
          <cell r="G13" t="str">
            <v>Private</v>
          </cell>
          <cell r="H13" t="str">
            <v>DRUMRIGHT COMMUNITY HOSPITAL LLC</v>
          </cell>
          <cell r="I13" t="str">
            <v xml:space="preserve">610 W BYPASS  </v>
          </cell>
          <cell r="J13" t="str">
            <v>DRUMRIGHT,OK  74030-5957</v>
          </cell>
          <cell r="K13" t="str">
            <v>OK</v>
          </cell>
          <cell r="L13">
            <v>371331</v>
          </cell>
          <cell r="M13">
            <v>43831</v>
          </cell>
          <cell r="N13">
            <v>44196</v>
          </cell>
          <cell r="Q13">
            <v>0.65695125635898266</v>
          </cell>
          <cell r="S13">
            <v>1067717.5699999998</v>
          </cell>
          <cell r="T13">
            <v>145870.76</v>
          </cell>
          <cell r="U13">
            <v>797268.37809609959</v>
          </cell>
          <cell r="W13">
            <v>844900.19441183424</v>
          </cell>
          <cell r="X13">
            <v>175628.3</v>
          </cell>
          <cell r="Y13">
            <v>9328.33</v>
          </cell>
          <cell r="Z13">
            <v>7373.9</v>
          </cell>
          <cell r="AA13">
            <v>2340.3140094981086</v>
          </cell>
          <cell r="AB13">
            <v>0</v>
          </cell>
          <cell r="AC13">
            <v>0</v>
          </cell>
          <cell r="AD13">
            <v>0</v>
          </cell>
          <cell r="AE13">
            <v>194670.84400949808</v>
          </cell>
          <cell r="AF13">
            <v>194670.84400949808</v>
          </cell>
          <cell r="AG13">
            <v>650229.3504023361</v>
          </cell>
          <cell r="AH13">
            <v>650229.3504023361</v>
          </cell>
        </row>
        <row r="14">
          <cell r="A14" t="str">
            <v>100700730A</v>
          </cell>
          <cell r="E14" t="str">
            <v>014</v>
          </cell>
          <cell r="F14" t="str">
            <v>No</v>
          </cell>
          <cell r="G14" t="str">
            <v>NSGO</v>
          </cell>
          <cell r="H14" t="str">
            <v>EASTERN OKLAHOMA MEDICAL CENTER</v>
          </cell>
          <cell r="I14" t="str">
            <v>105 WALL STREET</v>
          </cell>
          <cell r="J14" t="str">
            <v>POTEAU,OK 74953-</v>
          </cell>
          <cell r="K14" t="str">
            <v>OK</v>
          </cell>
          <cell r="L14" t="str">
            <v>371337</v>
          </cell>
          <cell r="M14">
            <v>43647</v>
          </cell>
          <cell r="N14">
            <v>44012</v>
          </cell>
          <cell r="Q14">
            <v>0.39285387864373505</v>
          </cell>
          <cell r="S14">
            <v>7085766.3799999999</v>
          </cell>
          <cell r="T14">
            <v>1142143.51</v>
          </cell>
          <cell r="U14">
            <v>3264366.7399204825</v>
          </cell>
          <cell r="W14">
            <v>3496066.3497424223</v>
          </cell>
          <cell r="X14">
            <v>1664680.55</v>
          </cell>
          <cell r="Y14">
            <v>104663.28</v>
          </cell>
          <cell r="Z14">
            <v>47244.020000000004</v>
          </cell>
          <cell r="AA14">
            <v>15390.610363905869</v>
          </cell>
          <cell r="AB14">
            <v>0</v>
          </cell>
          <cell r="AC14">
            <v>0</v>
          </cell>
          <cell r="AD14">
            <v>0</v>
          </cell>
          <cell r="AE14">
            <v>1831978.4603639059</v>
          </cell>
          <cell r="AF14">
            <v>1831978.4603639059</v>
          </cell>
          <cell r="AG14">
            <v>1664087.8893785165</v>
          </cell>
          <cell r="AH14">
            <v>1664087.8893785165</v>
          </cell>
        </row>
        <row r="15">
          <cell r="A15" t="str">
            <v>100700880A</v>
          </cell>
          <cell r="E15" t="str">
            <v>010</v>
          </cell>
          <cell r="F15" t="str">
            <v>Yes</v>
          </cell>
          <cell r="G15" t="str">
            <v>NSGO</v>
          </cell>
          <cell r="H15" t="str">
            <v>ELKVIEW GEN HSP</v>
          </cell>
          <cell r="I15" t="str">
            <v>429 W ELM</v>
          </cell>
          <cell r="J15" t="str">
            <v>HOBART,OK 73651-</v>
          </cell>
          <cell r="K15" t="str">
            <v>OK</v>
          </cell>
          <cell r="L15" t="str">
            <v>370153</v>
          </cell>
          <cell r="M15">
            <v>43647</v>
          </cell>
          <cell r="N15">
            <v>44012</v>
          </cell>
          <cell r="Q15">
            <v>0.28154382264684114</v>
          </cell>
          <cell r="S15">
            <v>2318965.9699999997</v>
          </cell>
          <cell r="T15">
            <v>399754</v>
          </cell>
          <cell r="U15">
            <v>765438.8130601052</v>
          </cell>
          <cell r="W15">
            <v>819768.45444498083</v>
          </cell>
          <cell r="X15">
            <v>594496.79999999993</v>
          </cell>
          <cell r="Y15">
            <v>33401.08</v>
          </cell>
          <cell r="Z15">
            <v>15451.04</v>
          </cell>
          <cell r="AA15">
            <v>419.78409975363627</v>
          </cell>
          <cell r="AB15">
            <v>0</v>
          </cell>
          <cell r="AC15">
            <v>0</v>
          </cell>
          <cell r="AD15">
            <v>0</v>
          </cell>
          <cell r="AE15">
            <v>643768.70409975352</v>
          </cell>
          <cell r="AF15">
            <v>643768.70409975352</v>
          </cell>
          <cell r="AG15">
            <v>175999.75034522731</v>
          </cell>
          <cell r="AH15">
            <v>175999.75034522731</v>
          </cell>
        </row>
        <row r="16">
          <cell r="A16" t="str">
            <v>100700800A</v>
          </cell>
          <cell r="E16" t="str">
            <v>014</v>
          </cell>
          <cell r="F16" t="str">
            <v>No</v>
          </cell>
          <cell r="G16" t="str">
            <v>NSGO</v>
          </cell>
          <cell r="H16" t="str">
            <v>FAIRVIEW HSP</v>
          </cell>
          <cell r="I16" t="str">
            <v>523 STATE RD</v>
          </cell>
          <cell r="J16" t="str">
            <v>FAIRVIEW,OK 73737-</v>
          </cell>
          <cell r="K16" t="str">
            <v>OK</v>
          </cell>
          <cell r="L16" t="str">
            <v>371329</v>
          </cell>
          <cell r="M16">
            <v>43647</v>
          </cell>
          <cell r="N16">
            <v>44012</v>
          </cell>
          <cell r="Q16">
            <v>0.56299498893745104</v>
          </cell>
          <cell r="S16">
            <v>619250.19999999995</v>
          </cell>
          <cell r="T16">
            <v>165545.12000000002</v>
          </cell>
          <cell r="U16">
            <v>446210.00724332879</v>
          </cell>
          <cell r="W16">
            <v>477881.29077669879</v>
          </cell>
          <cell r="X16">
            <v>127161.93</v>
          </cell>
          <cell r="Y16">
            <v>9822.86</v>
          </cell>
          <cell r="Z16">
            <v>9396.93</v>
          </cell>
          <cell r="AA16">
            <v>982.88306478876893</v>
          </cell>
          <cell r="AB16">
            <v>0</v>
          </cell>
          <cell r="AC16">
            <v>0</v>
          </cell>
          <cell r="AD16">
            <v>0</v>
          </cell>
          <cell r="AE16">
            <v>147364.60306478874</v>
          </cell>
          <cell r="AF16">
            <v>147364.60306478874</v>
          </cell>
          <cell r="AG16">
            <v>330516.68771191005</v>
          </cell>
          <cell r="AH16">
            <v>330516.68771191005</v>
          </cell>
        </row>
        <row r="17">
          <cell r="A17" t="str">
            <v>100700820A</v>
          </cell>
          <cell r="E17" t="str">
            <v>010</v>
          </cell>
          <cell r="F17" t="str">
            <v>Yes</v>
          </cell>
          <cell r="G17" t="str">
            <v>NSGO</v>
          </cell>
          <cell r="H17" t="str">
            <v>GRADY MEMORIAL HOSPITAL</v>
          </cell>
          <cell r="I17" t="str">
            <v>2220 W IOWA AVENUE</v>
          </cell>
          <cell r="J17" t="str">
            <v>CHICKASHA,OK 73018-2738</v>
          </cell>
          <cell r="K17" t="str">
            <v>OK</v>
          </cell>
          <cell r="L17" t="str">
            <v>370054</v>
          </cell>
          <cell r="M17">
            <v>43831</v>
          </cell>
          <cell r="N17">
            <v>44196</v>
          </cell>
          <cell r="Q17">
            <v>0.32634441312386053</v>
          </cell>
          <cell r="S17">
            <v>10623815.66</v>
          </cell>
          <cell r="T17">
            <v>1163964.49</v>
          </cell>
          <cell r="U17">
            <v>3846876.1950848429</v>
          </cell>
          <cell r="W17">
            <v>4076703.0706361108</v>
          </cell>
          <cell r="X17">
            <v>2024884.22</v>
          </cell>
          <cell r="Y17">
            <v>116775.56</v>
          </cell>
          <cell r="Z17">
            <v>99578.7</v>
          </cell>
          <cell r="AA17">
            <v>20220.446423093417</v>
          </cell>
          <cell r="AB17">
            <v>0</v>
          </cell>
          <cell r="AC17">
            <v>0</v>
          </cell>
          <cell r="AD17">
            <v>0</v>
          </cell>
          <cell r="AE17">
            <v>2261458.9264230933</v>
          </cell>
          <cell r="AF17">
            <v>2261458.9264230933</v>
          </cell>
          <cell r="AG17">
            <v>1815244.1442130175</v>
          </cell>
          <cell r="AH17">
            <v>1815244.1442130175</v>
          </cell>
        </row>
        <row r="18">
          <cell r="A18" t="str">
            <v>100699660A</v>
          </cell>
          <cell r="E18" t="str">
            <v>014</v>
          </cell>
          <cell r="F18" t="str">
            <v>No</v>
          </cell>
          <cell r="G18" t="str">
            <v>NSGO</v>
          </cell>
          <cell r="H18" t="str">
            <v>HARPER CO COM HSP</v>
          </cell>
          <cell r="I18" t="str">
            <v>1003 US HWY 64 NORTH</v>
          </cell>
          <cell r="J18" t="str">
            <v>BUFFALO,OK 73834-0064</v>
          </cell>
          <cell r="K18" t="str">
            <v>OK</v>
          </cell>
          <cell r="L18" t="str">
            <v>371324</v>
          </cell>
          <cell r="M18">
            <v>43739</v>
          </cell>
          <cell r="N18">
            <v>44104</v>
          </cell>
          <cell r="Q18">
            <v>0.42333227796964495</v>
          </cell>
          <cell r="S18">
            <v>187631.84</v>
          </cell>
          <cell r="T18">
            <v>40825.949999999997</v>
          </cell>
          <cell r="U18">
            <v>97671.020871550805</v>
          </cell>
          <cell r="W18">
            <v>104055.62697238461</v>
          </cell>
          <cell r="X18">
            <v>40076</v>
          </cell>
          <cell r="Y18">
            <v>3801.88</v>
          </cell>
          <cell r="Z18">
            <v>3231.09</v>
          </cell>
          <cell r="AA18">
            <v>404.96398533540304</v>
          </cell>
          <cell r="AB18">
            <v>0</v>
          </cell>
          <cell r="AC18">
            <v>0</v>
          </cell>
          <cell r="AD18">
            <v>0</v>
          </cell>
          <cell r="AE18">
            <v>47513.933985335403</v>
          </cell>
          <cell r="AF18">
            <v>47513.933985335403</v>
          </cell>
          <cell r="AG18">
            <v>56541.692987049202</v>
          </cell>
          <cell r="AH18">
            <v>56541.692987049202</v>
          </cell>
        </row>
        <row r="19">
          <cell r="A19" t="str">
            <v>200539880B</v>
          </cell>
          <cell r="E19" t="str">
            <v>014</v>
          </cell>
          <cell r="F19" t="str">
            <v>No</v>
          </cell>
          <cell r="G19" t="str">
            <v>NSGO</v>
          </cell>
          <cell r="H19" t="str">
            <v>HOLDENVILLE GENERAL HOSPITAL</v>
          </cell>
          <cell r="I19" t="str">
            <v>100 MCDOUGAL DRIVE</v>
          </cell>
          <cell r="J19" t="str">
            <v>HOLDENVILLE,OK 74848-2822</v>
          </cell>
          <cell r="K19" t="str">
            <v>OK</v>
          </cell>
          <cell r="L19" t="str">
            <v>371321</v>
          </cell>
          <cell r="M19">
            <v>43647</v>
          </cell>
          <cell r="N19">
            <v>44012</v>
          </cell>
          <cell r="Q19">
            <v>0.66586974955625911</v>
          </cell>
          <cell r="S19">
            <v>2053822.41</v>
          </cell>
          <cell r="T19">
            <v>308631.88</v>
          </cell>
          <cell r="U19">
            <v>1588660.4061999719</v>
          </cell>
          <cell r="W19">
            <v>1701421.0196919059</v>
          </cell>
          <cell r="X19">
            <v>537450.61</v>
          </cell>
          <cell r="Y19">
            <v>39458.51</v>
          </cell>
          <cell r="Z19">
            <v>38314.78</v>
          </cell>
          <cell r="AA19">
            <v>1381.6749083546961</v>
          </cell>
          <cell r="AB19">
            <v>0</v>
          </cell>
          <cell r="AC19">
            <v>0</v>
          </cell>
          <cell r="AD19">
            <v>0</v>
          </cell>
          <cell r="AE19">
            <v>616605.57490835467</v>
          </cell>
          <cell r="AF19">
            <v>616605.57490835467</v>
          </cell>
          <cell r="AG19">
            <v>1084815.4447835512</v>
          </cell>
          <cell r="AH19">
            <v>1084815.4447835512</v>
          </cell>
        </row>
        <row r="20">
          <cell r="A20" t="str">
            <v>100699350A</v>
          </cell>
          <cell r="E20" t="str">
            <v>010</v>
          </cell>
          <cell r="F20" t="str">
            <v>Yes</v>
          </cell>
          <cell r="G20" t="str">
            <v>NSGO</v>
          </cell>
          <cell r="H20" t="str">
            <v>JACKSON CO MEM HSP</v>
          </cell>
          <cell r="I20" t="str">
            <v>1200 E PECAN</v>
          </cell>
          <cell r="J20" t="str">
            <v>ALTUS,OK 73521-</v>
          </cell>
          <cell r="K20" t="str">
            <v>OK</v>
          </cell>
          <cell r="L20" t="str">
            <v>370022</v>
          </cell>
          <cell r="M20">
            <v>43647</v>
          </cell>
          <cell r="N20">
            <v>44012</v>
          </cell>
          <cell r="Q20">
            <v>0.29469435693182222</v>
          </cell>
          <cell r="S20">
            <v>13743891.27</v>
          </cell>
          <cell r="T20">
            <v>1622919.16</v>
          </cell>
          <cell r="U20">
            <v>4528512.3177620685</v>
          </cell>
          <cell r="W20">
            <v>4849938.989669919</v>
          </cell>
          <cell r="X20">
            <v>2354799.88</v>
          </cell>
          <cell r="Y20">
            <v>110752.69</v>
          </cell>
          <cell r="Z20">
            <v>435449.02</v>
          </cell>
          <cell r="AA20">
            <v>40744.822880904525</v>
          </cell>
          <cell r="AB20">
            <v>0</v>
          </cell>
          <cell r="AC20">
            <v>0</v>
          </cell>
          <cell r="AD20">
            <v>0</v>
          </cell>
          <cell r="AE20">
            <v>2941746.4128809045</v>
          </cell>
          <cell r="AF20">
            <v>2941746.4128809045</v>
          </cell>
          <cell r="AG20">
            <v>1908192.5767890145</v>
          </cell>
          <cell r="AH20">
            <v>1908192.5767890145</v>
          </cell>
        </row>
        <row r="21">
          <cell r="A21" t="str">
            <v>100700780B</v>
          </cell>
          <cell r="E21" t="str">
            <v>014</v>
          </cell>
          <cell r="F21" t="str">
            <v>No</v>
          </cell>
          <cell r="G21" t="str">
            <v>NSGO</v>
          </cell>
          <cell r="H21" t="str">
            <v>HARMON MEM HSP</v>
          </cell>
          <cell r="I21" t="str">
            <v>400 E CHESTNUT</v>
          </cell>
          <cell r="J21" t="str">
            <v>HOLLIS,OK 73550-2032</v>
          </cell>
          <cell r="K21" t="str">
            <v>OK</v>
          </cell>
          <cell r="L21" t="str">
            <v>371338</v>
          </cell>
          <cell r="M21">
            <v>43647</v>
          </cell>
          <cell r="N21">
            <v>44012</v>
          </cell>
          <cell r="Q21">
            <v>0.42660911974889199</v>
          </cell>
          <cell r="S21">
            <v>1200530.8600000001</v>
          </cell>
          <cell r="T21">
            <v>117877.85</v>
          </cell>
          <cell r="U21">
            <v>568013.38651687175</v>
          </cell>
          <cell r="W21">
            <v>608330.08207075542</v>
          </cell>
          <cell r="X21">
            <v>198508.2</v>
          </cell>
          <cell r="Y21">
            <v>5805.96</v>
          </cell>
          <cell r="Z21">
            <v>2023.6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206337.76</v>
          </cell>
          <cell r="AF21">
            <v>206337.76</v>
          </cell>
          <cell r="AG21">
            <v>401992.32207075541</v>
          </cell>
          <cell r="AH21">
            <v>401992.32207075541</v>
          </cell>
        </row>
        <row r="22">
          <cell r="A22" t="str">
            <v>100818200B</v>
          </cell>
          <cell r="E22" t="str">
            <v>010</v>
          </cell>
          <cell r="F22" t="str">
            <v>Yes</v>
          </cell>
          <cell r="G22" t="str">
            <v>NSGO</v>
          </cell>
          <cell r="H22" t="str">
            <v>LINDSAY MUNICIPAL HOSPITAL</v>
          </cell>
          <cell r="I22" t="str">
            <v>1305 W CHEROKEE ST</v>
          </cell>
          <cell r="J22" t="str">
            <v>LINDSAY,OK 73052-0888</v>
          </cell>
          <cell r="K22" t="str">
            <v>OK</v>
          </cell>
          <cell r="L22" t="str">
            <v>370214</v>
          </cell>
          <cell r="M22">
            <v>43647</v>
          </cell>
          <cell r="N22">
            <v>44012</v>
          </cell>
          <cell r="Q22">
            <v>0.63375589155015744</v>
          </cell>
          <cell r="S22">
            <v>682524.84</v>
          </cell>
          <cell r="T22">
            <v>21944.76</v>
          </cell>
          <cell r="U22">
            <v>446461.75941798277</v>
          </cell>
          <cell r="W22">
            <v>478150.91192420002</v>
          </cell>
          <cell r="X22">
            <v>203133.97</v>
          </cell>
          <cell r="Y22">
            <v>7329.9800000000005</v>
          </cell>
          <cell r="Z22">
            <v>9340.0400000000009</v>
          </cell>
          <cell r="AA22">
            <v>559.66854443302998</v>
          </cell>
          <cell r="AB22">
            <v>0</v>
          </cell>
          <cell r="AC22">
            <v>0</v>
          </cell>
          <cell r="AD22">
            <v>0</v>
          </cell>
          <cell r="AE22">
            <v>220363.65854443304</v>
          </cell>
          <cell r="AF22">
            <v>220363.65854443304</v>
          </cell>
          <cell r="AG22">
            <v>257787.25337976697</v>
          </cell>
          <cell r="AH22">
            <v>257787.25337976697</v>
          </cell>
        </row>
        <row r="23">
          <cell r="A23" t="str">
            <v>100710530D</v>
          </cell>
          <cell r="E23" t="str">
            <v>010</v>
          </cell>
          <cell r="F23" t="str">
            <v>Yes</v>
          </cell>
          <cell r="G23" t="str">
            <v>NSGO</v>
          </cell>
          <cell r="H23" t="str">
            <v>MCALESTER REGIONAL</v>
          </cell>
          <cell r="I23" t="str">
            <v>ONE CLARK BASS BOULEVARD</v>
          </cell>
          <cell r="J23" t="str">
            <v>MCALESTER,OK 74502-</v>
          </cell>
          <cell r="K23" t="str">
            <v>OK</v>
          </cell>
          <cell r="L23" t="str">
            <v>370034</v>
          </cell>
          <cell r="M23">
            <v>43647</v>
          </cell>
          <cell r="N23">
            <v>44012</v>
          </cell>
          <cell r="Q23">
            <v>0.21672218763192808</v>
          </cell>
          <cell r="S23">
            <v>19980862.530000001</v>
          </cell>
          <cell r="T23">
            <v>3648001.09</v>
          </cell>
          <cell r="U23">
            <v>5120899.0149828792</v>
          </cell>
          <cell r="W23">
            <v>5484372.3616504148</v>
          </cell>
          <cell r="X23">
            <v>4428227.9000000004</v>
          </cell>
          <cell r="Y23">
            <v>255783.28999999998</v>
          </cell>
          <cell r="Z23">
            <v>271805.82</v>
          </cell>
          <cell r="AA23">
            <v>63732.69029331518</v>
          </cell>
          <cell r="AB23">
            <v>0</v>
          </cell>
          <cell r="AC23">
            <v>0</v>
          </cell>
          <cell r="AD23">
            <v>0</v>
          </cell>
          <cell r="AE23">
            <v>5019549.7002933156</v>
          </cell>
          <cell r="AF23">
            <v>5019549.7002933156</v>
          </cell>
          <cell r="AG23">
            <v>464822.66135709919</v>
          </cell>
          <cell r="AH23">
            <v>464822.66135709919</v>
          </cell>
        </row>
        <row r="24">
          <cell r="A24" t="str">
            <v>100699630A</v>
          </cell>
          <cell r="E24" t="str">
            <v>010</v>
          </cell>
          <cell r="F24" t="str">
            <v>No</v>
          </cell>
          <cell r="G24" t="str">
            <v>NSGO</v>
          </cell>
          <cell r="H24" t="str">
            <v>MEMORIAL HOSPITAL OF TEXAS COUNTY</v>
          </cell>
          <cell r="I24" t="str">
            <v>520 MEDICAL DR</v>
          </cell>
          <cell r="J24" t="str">
            <v>GUYMON,OK 73942-0520</v>
          </cell>
          <cell r="K24" t="str">
            <v>OK</v>
          </cell>
          <cell r="L24" t="str">
            <v>371340</v>
          </cell>
          <cell r="M24">
            <v>43647</v>
          </cell>
          <cell r="N24">
            <v>44012</v>
          </cell>
          <cell r="Q24">
            <v>0.32528285458163575</v>
          </cell>
          <cell r="S24">
            <v>2007946.5</v>
          </cell>
          <cell r="T24">
            <v>415445.2</v>
          </cell>
          <cell r="U24">
            <v>796091.81886790309</v>
          </cell>
          <cell r="W24">
            <v>852597.16232653195</v>
          </cell>
          <cell r="X24">
            <v>322336.74</v>
          </cell>
          <cell r="Y24">
            <v>29841.66</v>
          </cell>
          <cell r="Z24">
            <v>23180.31</v>
          </cell>
          <cell r="AA24">
            <v>3699.9025885124552</v>
          </cell>
          <cell r="AB24">
            <v>0</v>
          </cell>
          <cell r="AC24">
            <v>0</v>
          </cell>
          <cell r="AD24">
            <v>0</v>
          </cell>
          <cell r="AE24">
            <v>379058.61258851242</v>
          </cell>
          <cell r="AF24">
            <v>379058.61258851242</v>
          </cell>
          <cell r="AG24">
            <v>473538.54973801953</v>
          </cell>
          <cell r="AH24">
            <v>473538.54973801953</v>
          </cell>
        </row>
        <row r="25">
          <cell r="A25" t="str">
            <v>100699960A</v>
          </cell>
          <cell r="E25" t="str">
            <v>014</v>
          </cell>
          <cell r="F25" t="str">
            <v>No</v>
          </cell>
          <cell r="G25" t="str">
            <v>NSGO</v>
          </cell>
          <cell r="H25" t="str">
            <v>MERCY HEALTH LOVE COUNTY</v>
          </cell>
          <cell r="I25" t="str">
            <v>300 WANDA ST</v>
          </cell>
          <cell r="J25" t="str">
            <v>MARIETTA,OK 73448-1200</v>
          </cell>
          <cell r="K25" t="str">
            <v>OK</v>
          </cell>
          <cell r="L25" t="str">
            <v>371306</v>
          </cell>
          <cell r="M25">
            <v>43647</v>
          </cell>
          <cell r="N25">
            <v>44012</v>
          </cell>
          <cell r="Q25">
            <v>0.7523194149264244</v>
          </cell>
          <cell r="S25">
            <v>1578299.19</v>
          </cell>
          <cell r="T25">
            <v>141078.24</v>
          </cell>
          <cell r="U25">
            <v>1306326.8802948347</v>
          </cell>
          <cell r="W25">
            <v>1399047.9047933253</v>
          </cell>
          <cell r="X25">
            <v>316409.08999999997</v>
          </cell>
          <cell r="Y25">
            <v>9996.69</v>
          </cell>
          <cell r="Z25">
            <v>30637.39</v>
          </cell>
          <cell r="AA25">
            <v>3900.6497560217877</v>
          </cell>
          <cell r="AB25">
            <v>0</v>
          </cell>
          <cell r="AC25">
            <v>0</v>
          </cell>
          <cell r="AD25">
            <v>0</v>
          </cell>
          <cell r="AE25">
            <v>360943.81975602178</v>
          </cell>
          <cell r="AF25">
            <v>360943.81975602178</v>
          </cell>
          <cell r="AG25">
            <v>1038104.0850373036</v>
          </cell>
          <cell r="AH25">
            <v>1038104.0850373036</v>
          </cell>
        </row>
        <row r="26">
          <cell r="A26" t="str">
            <v>100700690A</v>
          </cell>
          <cell r="E26" t="str">
            <v>010</v>
          </cell>
          <cell r="F26" t="str">
            <v>Yes</v>
          </cell>
          <cell r="G26" t="str">
            <v>NSGO</v>
          </cell>
          <cell r="H26" t="str">
            <v>NORMAN REGIONAL HOSPITAL</v>
          </cell>
          <cell r="I26" t="str">
            <v>901 N PORTER</v>
          </cell>
          <cell r="J26" t="str">
            <v>NORMAN,OK 73071-6404</v>
          </cell>
          <cell r="K26" t="str">
            <v>OK</v>
          </cell>
          <cell r="L26" t="str">
            <v>370008</v>
          </cell>
          <cell r="M26">
            <v>43647</v>
          </cell>
          <cell r="N26">
            <v>44012</v>
          </cell>
          <cell r="Q26">
            <v>0.13703243960954822</v>
          </cell>
          <cell r="S26">
            <v>141727140.30000001</v>
          </cell>
          <cell r="T26">
            <v>6854928.75</v>
          </cell>
          <cell r="U26">
            <v>20360563.40415585</v>
          </cell>
          <cell r="W26">
            <v>21805724.126695469</v>
          </cell>
          <cell r="X26">
            <v>13543418.879999999</v>
          </cell>
          <cell r="Y26">
            <v>547248.88</v>
          </cell>
          <cell r="Z26">
            <v>1530207.19</v>
          </cell>
          <cell r="AA26">
            <v>49038.015067060813</v>
          </cell>
          <cell r="AB26">
            <v>0</v>
          </cell>
          <cell r="AC26">
            <v>0</v>
          </cell>
          <cell r="AD26">
            <v>0</v>
          </cell>
          <cell r="AE26">
            <v>15669912.965067061</v>
          </cell>
          <cell r="AF26">
            <v>15669912.965067061</v>
          </cell>
          <cell r="AG26">
            <v>6135811.1616284084</v>
          </cell>
          <cell r="AH26">
            <v>6135811.1616284084</v>
          </cell>
        </row>
        <row r="27">
          <cell r="A27" t="str">
            <v>100700680A</v>
          </cell>
          <cell r="E27" t="str">
            <v>010</v>
          </cell>
          <cell r="F27" t="str">
            <v>Yes</v>
          </cell>
          <cell r="G27" t="str">
            <v>NSGO</v>
          </cell>
          <cell r="H27" t="str">
            <v>NORTHEASTERN HEALTH SYSTEM</v>
          </cell>
          <cell r="I27" t="str">
            <v>1400 E DOWNING</v>
          </cell>
          <cell r="J27" t="str">
            <v>TAHLEQUAH,OK 74464-1008</v>
          </cell>
          <cell r="K27" t="str">
            <v>OK</v>
          </cell>
          <cell r="L27" t="str">
            <v>370089</v>
          </cell>
          <cell r="M27">
            <v>43647</v>
          </cell>
          <cell r="N27">
            <v>44012</v>
          </cell>
          <cell r="Q27">
            <v>0.35454850208862404</v>
          </cell>
          <cell r="S27">
            <v>25491856.649999999</v>
          </cell>
          <cell r="T27">
            <v>4911202.34</v>
          </cell>
          <cell r="U27">
            <v>10779359.023816574</v>
          </cell>
          <cell r="W27">
            <v>11544460.94983661</v>
          </cell>
          <cell r="X27">
            <v>5871133.3300000001</v>
          </cell>
          <cell r="Y27">
            <v>385008.88</v>
          </cell>
          <cell r="Z27">
            <v>174058.23</v>
          </cell>
          <cell r="AA27">
            <v>23728.424171032577</v>
          </cell>
          <cell r="AB27">
            <v>0</v>
          </cell>
          <cell r="AC27">
            <v>0</v>
          </cell>
          <cell r="AD27">
            <v>0</v>
          </cell>
          <cell r="AE27">
            <v>6453928.8641710328</v>
          </cell>
          <cell r="AF27">
            <v>6453928.8641710328</v>
          </cell>
          <cell r="AG27">
            <v>5090532.0856655771</v>
          </cell>
          <cell r="AH27">
            <v>5090532.0856655771</v>
          </cell>
        </row>
        <row r="28">
          <cell r="A28" t="str">
            <v>100700250A</v>
          </cell>
          <cell r="E28" t="str">
            <v>014</v>
          </cell>
          <cell r="F28" t="str">
            <v>No</v>
          </cell>
          <cell r="G28" t="str">
            <v>NSGO</v>
          </cell>
          <cell r="H28" t="str">
            <v>OKEENE MUN HSP</v>
          </cell>
          <cell r="I28" t="str">
            <v>207 EAST F STREET</v>
          </cell>
          <cell r="J28" t="str">
            <v>OKEENE,OK 73763-</v>
          </cell>
          <cell r="K28" t="str">
            <v>OK</v>
          </cell>
          <cell r="L28" t="str">
            <v>371327</v>
          </cell>
          <cell r="M28">
            <v>43647</v>
          </cell>
          <cell r="N28">
            <v>44012</v>
          </cell>
          <cell r="Q28">
            <v>0.76450762317019172</v>
          </cell>
          <cell r="S28">
            <v>393999.69999999995</v>
          </cell>
          <cell r="T28">
            <v>54784</v>
          </cell>
          <cell r="U28">
            <v>346495.23554658913</v>
          </cell>
          <cell r="W28">
            <v>371088.92163568997</v>
          </cell>
          <cell r="X28">
            <v>98407.77</v>
          </cell>
          <cell r="Y28">
            <v>6115.2199999999993</v>
          </cell>
          <cell r="Z28">
            <v>4171.1000000000004</v>
          </cell>
          <cell r="AA28">
            <v>2286.1203381563755</v>
          </cell>
          <cell r="AB28">
            <v>0</v>
          </cell>
          <cell r="AC28">
            <v>0</v>
          </cell>
          <cell r="AD28">
            <v>0</v>
          </cell>
          <cell r="AE28">
            <v>110980.21033815638</v>
          </cell>
          <cell r="AF28">
            <v>110980.21033815638</v>
          </cell>
          <cell r="AG28">
            <v>260108.71129753359</v>
          </cell>
          <cell r="AH28">
            <v>260108.71129753359</v>
          </cell>
        </row>
        <row r="29">
          <cell r="A29" t="str">
            <v>100690120A</v>
          </cell>
          <cell r="E29" t="str">
            <v>010</v>
          </cell>
          <cell r="F29" t="str">
            <v>No</v>
          </cell>
          <cell r="G29" t="str">
            <v>NSGO</v>
          </cell>
          <cell r="H29" t="str">
            <v>PAWHUSKA HSP INC</v>
          </cell>
          <cell r="I29" t="str">
            <v>1101 E 15TH ST</v>
          </cell>
          <cell r="J29" t="str">
            <v>PAWHUSKA,OK 74056-</v>
          </cell>
          <cell r="K29" t="str">
            <v>OK</v>
          </cell>
          <cell r="L29" t="str">
            <v>371309</v>
          </cell>
          <cell r="M29">
            <v>43739</v>
          </cell>
          <cell r="N29">
            <v>44104</v>
          </cell>
          <cell r="Q29">
            <v>0.38701168359599214</v>
          </cell>
          <cell r="S29">
            <v>913120.12000000011</v>
          </cell>
          <cell r="T29">
            <v>48587.360000000001</v>
          </cell>
          <cell r="U29">
            <v>375876.73206817941</v>
          </cell>
          <cell r="W29">
            <v>400447.22242764878</v>
          </cell>
          <cell r="X29">
            <v>146183.35999999999</v>
          </cell>
          <cell r="Y29">
            <v>5853.85</v>
          </cell>
          <cell r="Z29">
            <v>7002.59</v>
          </cell>
          <cell r="AA29">
            <v>4350.6930423317099</v>
          </cell>
          <cell r="AB29">
            <v>0</v>
          </cell>
          <cell r="AC29">
            <v>0</v>
          </cell>
          <cell r="AD29">
            <v>0</v>
          </cell>
          <cell r="AE29">
            <v>163390.49304233171</v>
          </cell>
          <cell r="AF29">
            <v>163390.49304233171</v>
          </cell>
          <cell r="AG29">
            <v>237056.72938531707</v>
          </cell>
          <cell r="AH29">
            <v>237056.72938531707</v>
          </cell>
        </row>
        <row r="30">
          <cell r="A30" t="str">
            <v>200417790W</v>
          </cell>
          <cell r="E30" t="str">
            <v>010</v>
          </cell>
          <cell r="F30" t="str">
            <v>Yes</v>
          </cell>
          <cell r="G30" t="str">
            <v>NSGO</v>
          </cell>
          <cell r="H30" t="str">
            <v>STILLWATER MEDICAL - PERRY</v>
          </cell>
          <cell r="I30" t="str">
            <v>501 N 14TH ST</v>
          </cell>
          <cell r="J30" t="str">
            <v>PERRY,OK 73077-0000</v>
          </cell>
          <cell r="K30" t="str">
            <v>OK</v>
          </cell>
          <cell r="L30" t="str">
            <v>370139</v>
          </cell>
          <cell r="M30">
            <v>43831</v>
          </cell>
          <cell r="N30">
            <v>44196</v>
          </cell>
          <cell r="Q30">
            <v>0.38468284065178976</v>
          </cell>
          <cell r="S30">
            <v>2613417.75</v>
          </cell>
          <cell r="T30">
            <v>399455</v>
          </cell>
          <cell r="U30">
            <v>1159000.4479923695</v>
          </cell>
          <cell r="W30">
            <v>1228243.5008530116</v>
          </cell>
          <cell r="X30">
            <v>268972.20999999996</v>
          </cell>
          <cell r="Y30">
            <v>18447.47</v>
          </cell>
          <cell r="Z30">
            <v>15727.43</v>
          </cell>
          <cell r="AA30">
            <v>1274.4818925390521</v>
          </cell>
          <cell r="AB30">
            <v>0</v>
          </cell>
          <cell r="AC30">
            <v>0</v>
          </cell>
          <cell r="AD30">
            <v>0</v>
          </cell>
          <cell r="AE30">
            <v>304421.591892539</v>
          </cell>
          <cell r="AF30">
            <v>304421.591892539</v>
          </cell>
          <cell r="AG30">
            <v>923821.90896047256</v>
          </cell>
          <cell r="AH30">
            <v>923821.90896047256</v>
          </cell>
        </row>
        <row r="31">
          <cell r="A31" t="str">
            <v>100699900A</v>
          </cell>
          <cell r="E31" t="str">
            <v>010</v>
          </cell>
          <cell r="F31" t="str">
            <v>Yes</v>
          </cell>
          <cell r="G31" t="str">
            <v>NSGO</v>
          </cell>
          <cell r="H31" t="str">
            <v>PURCELL MUNICIPAL HOSPITAL</v>
          </cell>
          <cell r="I31" t="str">
            <v>1500 N GREEN AVENUE</v>
          </cell>
          <cell r="J31" t="str">
            <v>PURCELL,OK 73080-9998</v>
          </cell>
          <cell r="K31" t="str">
            <v>OK</v>
          </cell>
          <cell r="L31" t="str">
            <v>370158</v>
          </cell>
          <cell r="M31">
            <v>43647</v>
          </cell>
          <cell r="N31">
            <v>44012</v>
          </cell>
          <cell r="Q31">
            <v>0.22966701793764097</v>
          </cell>
          <cell r="S31">
            <v>3490104.75</v>
          </cell>
          <cell r="T31">
            <v>280276.39</v>
          </cell>
          <cell r="U31">
            <v>865932.19291212317</v>
          </cell>
          <cell r="W31">
            <v>927394.69612182165</v>
          </cell>
          <cell r="X31">
            <v>745952.54</v>
          </cell>
          <cell r="Y31">
            <v>32548.67</v>
          </cell>
          <cell r="Z31">
            <v>23059.78</v>
          </cell>
          <cell r="AA31">
            <v>1810.5167133321818</v>
          </cell>
          <cell r="AB31">
            <v>0</v>
          </cell>
          <cell r="AC31">
            <v>0</v>
          </cell>
          <cell r="AD31">
            <v>0</v>
          </cell>
          <cell r="AE31">
            <v>803371.50671333226</v>
          </cell>
          <cell r="AF31">
            <v>803371.50671333226</v>
          </cell>
          <cell r="AG31">
            <v>124023.18940848939</v>
          </cell>
          <cell r="AH31">
            <v>124023.18940848939</v>
          </cell>
        </row>
        <row r="32">
          <cell r="A32" t="str">
            <v>100700770A</v>
          </cell>
          <cell r="E32" t="str">
            <v>010</v>
          </cell>
          <cell r="F32" t="str">
            <v>Yes</v>
          </cell>
          <cell r="G32" t="str">
            <v>NSGO</v>
          </cell>
          <cell r="H32" t="str">
            <v>PUSHMATAHA HSP</v>
          </cell>
          <cell r="I32" t="str">
            <v>510 EAST MAIN STREET</v>
          </cell>
          <cell r="J32" t="str">
            <v>ANTLERS,OK 74523-</v>
          </cell>
          <cell r="K32" t="str">
            <v>OK</v>
          </cell>
          <cell r="L32" t="str">
            <v>370083</v>
          </cell>
          <cell r="M32">
            <v>43922</v>
          </cell>
          <cell r="N32">
            <v>44286</v>
          </cell>
          <cell r="Q32">
            <v>0.23500169817362457</v>
          </cell>
          <cell r="S32">
            <v>1885140.53</v>
          </cell>
          <cell r="T32">
            <v>6874.71</v>
          </cell>
          <cell r="U32">
            <v>444626.79437037784</v>
          </cell>
          <cell r="W32">
            <v>468340.69036311167</v>
          </cell>
          <cell r="X32">
            <v>255566.02000000002</v>
          </cell>
          <cell r="Y32">
            <v>1620.27</v>
          </cell>
          <cell r="Z32">
            <v>9274.2899999999991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266460.58</v>
          </cell>
          <cell r="AF32">
            <v>266460.58</v>
          </cell>
          <cell r="AG32">
            <v>201880.11036311166</v>
          </cell>
          <cell r="AH32">
            <v>201880.11036311166</v>
          </cell>
        </row>
        <row r="33">
          <cell r="A33" t="str">
            <v>100699820A</v>
          </cell>
          <cell r="E33" t="str">
            <v>014</v>
          </cell>
          <cell r="F33" t="str">
            <v>No</v>
          </cell>
          <cell r="G33" t="str">
            <v>NSGO</v>
          </cell>
          <cell r="H33" t="str">
            <v>ROGER MILLS MEMORIAL HOSPITAL</v>
          </cell>
          <cell r="I33" t="str">
            <v>501 S LL MALES</v>
          </cell>
          <cell r="J33" t="str">
            <v>CHEYENNE,OK 73628-</v>
          </cell>
          <cell r="K33" t="str">
            <v>OK</v>
          </cell>
          <cell r="L33" t="str">
            <v>371303</v>
          </cell>
          <cell r="M33">
            <v>43952</v>
          </cell>
          <cell r="N33">
            <v>44316</v>
          </cell>
          <cell r="Q33">
            <v>0.57121630269410706</v>
          </cell>
          <cell r="S33">
            <v>299643.5</v>
          </cell>
          <cell r="T33">
            <v>54704.5</v>
          </cell>
          <cell r="U33">
            <v>204413.20703587926</v>
          </cell>
          <cell r="W33">
            <v>214881.1513645683</v>
          </cell>
          <cell r="X33">
            <v>58723.340000000004</v>
          </cell>
          <cell r="Y33">
            <v>4658.79</v>
          </cell>
          <cell r="Z33">
            <v>2798.09</v>
          </cell>
          <cell r="AA33">
            <v>1269.1030627766697</v>
          </cell>
          <cell r="AB33">
            <v>0</v>
          </cell>
          <cell r="AC33">
            <v>0</v>
          </cell>
          <cell r="AD33">
            <v>0</v>
          </cell>
          <cell r="AE33">
            <v>67449.323062776675</v>
          </cell>
          <cell r="AF33">
            <v>67449.323062776675</v>
          </cell>
          <cell r="AG33">
            <v>147431.82830179163</v>
          </cell>
          <cell r="AH33">
            <v>147431.82830179163</v>
          </cell>
        </row>
        <row r="34">
          <cell r="A34" t="str">
            <v>100700450A</v>
          </cell>
          <cell r="E34" t="str">
            <v>014</v>
          </cell>
          <cell r="F34" t="str">
            <v>No</v>
          </cell>
          <cell r="G34" t="str">
            <v>Private</v>
          </cell>
          <cell r="H34" t="str">
            <v>SEILING MUNICIPAL HOSPITAL</v>
          </cell>
          <cell r="I34" t="str">
            <v xml:space="preserve">809 NE HWY 60  </v>
          </cell>
          <cell r="J34" t="str">
            <v xml:space="preserve">SEILING,OK  73663-    </v>
          </cell>
          <cell r="K34" t="str">
            <v>OK</v>
          </cell>
          <cell r="L34">
            <v>371332</v>
          </cell>
          <cell r="M34">
            <v>43647</v>
          </cell>
          <cell r="N34">
            <v>44012</v>
          </cell>
          <cell r="Q34">
            <v>0.51449431492805286</v>
          </cell>
          <cell r="S34">
            <v>360488.94</v>
          </cell>
          <cell r="T34">
            <v>82948</v>
          </cell>
          <cell r="U34">
            <v>230404.4279272171</v>
          </cell>
          <cell r="W34">
            <v>246758.17133451696</v>
          </cell>
          <cell r="X34">
            <v>62171.67</v>
          </cell>
          <cell r="Y34">
            <v>4974.3600000000006</v>
          </cell>
          <cell r="Z34">
            <v>749.38</v>
          </cell>
          <cell r="AA34">
            <v>339.02755274581097</v>
          </cell>
          <cell r="AB34">
            <v>0</v>
          </cell>
          <cell r="AC34">
            <v>0</v>
          </cell>
          <cell r="AD34">
            <v>0</v>
          </cell>
          <cell r="AE34">
            <v>68234.437552745818</v>
          </cell>
          <cell r="AF34">
            <v>68234.437552745818</v>
          </cell>
          <cell r="AG34">
            <v>178523.73378177115</v>
          </cell>
          <cell r="AH34">
            <v>178523.73378177115</v>
          </cell>
        </row>
        <row r="35">
          <cell r="A35" t="str">
            <v>100700190A</v>
          </cell>
          <cell r="E35" t="str">
            <v>010</v>
          </cell>
          <cell r="F35" t="str">
            <v>Yes</v>
          </cell>
          <cell r="G35" t="str">
            <v>NSGO</v>
          </cell>
          <cell r="H35" t="str">
            <v>SEQUOYAH COUNTY CITY OF SALLISAW HOSPITAL AUTHORIT</v>
          </cell>
          <cell r="I35" t="str">
            <v>213 E. REDWOOD  PO BOX 505</v>
          </cell>
          <cell r="J35" t="str">
            <v>SALLISAW,OK 74955-2811</v>
          </cell>
          <cell r="K35" t="str">
            <v>OK</v>
          </cell>
          <cell r="L35" t="str">
            <v>370112</v>
          </cell>
          <cell r="M35">
            <v>43922</v>
          </cell>
          <cell r="N35">
            <v>44286</v>
          </cell>
          <cell r="Q35">
            <v>0.27014211415305917</v>
          </cell>
          <cell r="S35">
            <v>4989050.51</v>
          </cell>
          <cell r="T35">
            <v>1334741.8599999999</v>
          </cell>
          <cell r="U35">
            <v>1708322.6402967842</v>
          </cell>
          <cell r="W35">
            <v>1799434.9752414129</v>
          </cell>
          <cell r="X35">
            <v>1050161.8</v>
          </cell>
          <cell r="Y35">
            <v>105531.93000000001</v>
          </cell>
          <cell r="Z35">
            <v>18018.79</v>
          </cell>
          <cell r="AA35">
            <v>2746.9648725628813</v>
          </cell>
          <cell r="AB35">
            <v>0</v>
          </cell>
          <cell r="AC35">
            <v>0</v>
          </cell>
          <cell r="AD35">
            <v>0</v>
          </cell>
          <cell r="AE35">
            <v>1176459.4848725628</v>
          </cell>
          <cell r="AF35">
            <v>1176459.4848725628</v>
          </cell>
          <cell r="AG35">
            <v>622975.49036885006</v>
          </cell>
          <cell r="AH35">
            <v>622975.49036885006</v>
          </cell>
        </row>
        <row r="36">
          <cell r="A36" t="str">
            <v>100699830A</v>
          </cell>
          <cell r="E36" t="str">
            <v>014</v>
          </cell>
          <cell r="F36" t="str">
            <v>No</v>
          </cell>
          <cell r="G36" t="str">
            <v>NSGO</v>
          </cell>
          <cell r="H36" t="str">
            <v>SHARE MEMORIAL HOSPITAL</v>
          </cell>
          <cell r="I36" t="str">
            <v>800 SHARE DRIVE</v>
          </cell>
          <cell r="J36" t="str">
            <v>ALVA,OK 73717-3618</v>
          </cell>
          <cell r="K36" t="str">
            <v>OK</v>
          </cell>
          <cell r="L36" t="str">
            <v>371341</v>
          </cell>
          <cell r="M36">
            <v>43647</v>
          </cell>
          <cell r="N36">
            <v>44012</v>
          </cell>
          <cell r="Q36">
            <v>0.37244232013641659</v>
          </cell>
          <cell r="S36">
            <v>912972.35</v>
          </cell>
          <cell r="T36">
            <v>205418.4</v>
          </cell>
          <cell r="U36">
            <v>420659.75260202325</v>
          </cell>
          <cell r="W36">
            <v>450517.51930260443</v>
          </cell>
          <cell r="X36">
            <v>206969</v>
          </cell>
          <cell r="Y36">
            <v>16134.64</v>
          </cell>
          <cell r="Z36">
            <v>11667.759999999998</v>
          </cell>
          <cell r="AA36">
            <v>911.8424104392501</v>
          </cell>
          <cell r="AB36">
            <v>0</v>
          </cell>
          <cell r="AC36">
            <v>0</v>
          </cell>
          <cell r="AD36">
            <v>0</v>
          </cell>
          <cell r="AE36">
            <v>235683.24241043927</v>
          </cell>
          <cell r="AF36">
            <v>235683.24241043927</v>
          </cell>
          <cell r="AG36">
            <v>214834.27689216516</v>
          </cell>
          <cell r="AH36">
            <v>214834.27689216516</v>
          </cell>
        </row>
        <row r="37">
          <cell r="A37" t="str">
            <v>100699950A</v>
          </cell>
          <cell r="E37" t="str">
            <v>010</v>
          </cell>
          <cell r="F37" t="str">
            <v>Yes</v>
          </cell>
          <cell r="G37" t="str">
            <v>NSGO</v>
          </cell>
          <cell r="H37" t="str">
            <v>STILLWATER MEDICAL CENTER</v>
          </cell>
          <cell r="I37" t="str">
            <v>1323 WEST 6TH AVENUE</v>
          </cell>
          <cell r="J37" t="str">
            <v>STILLWATER,OK 74074-4399</v>
          </cell>
          <cell r="K37" t="str">
            <v>OK</v>
          </cell>
          <cell r="L37" t="str">
            <v>370049</v>
          </cell>
          <cell r="M37">
            <v>43831</v>
          </cell>
          <cell r="N37">
            <v>44196</v>
          </cell>
          <cell r="Q37">
            <v>0.19758490992200831</v>
          </cell>
          <cell r="S37">
            <v>59407794.400000006</v>
          </cell>
          <cell r="T37">
            <v>4877475.5</v>
          </cell>
          <cell r="U37">
            <v>12701799.262503494</v>
          </cell>
          <cell r="W37">
            <v>13460652.599689249</v>
          </cell>
          <cell r="X37">
            <v>8510772.8399999999</v>
          </cell>
          <cell r="Y37">
            <v>286438.82</v>
          </cell>
          <cell r="Z37">
            <v>1139934.6100000001</v>
          </cell>
          <cell r="AA37">
            <v>86746.702131102458</v>
          </cell>
          <cell r="AB37">
            <v>0</v>
          </cell>
          <cell r="AC37">
            <v>0</v>
          </cell>
          <cell r="AD37">
            <v>0</v>
          </cell>
          <cell r="AE37">
            <v>10023892.972131101</v>
          </cell>
          <cell r="AF37">
            <v>10023892.972131101</v>
          </cell>
          <cell r="AG37">
            <v>3436759.6275581475</v>
          </cell>
          <cell r="AH37">
            <v>3436759.6275581475</v>
          </cell>
        </row>
        <row r="38">
          <cell r="A38" t="str">
            <v>200100890B</v>
          </cell>
          <cell r="E38" t="str">
            <v>010</v>
          </cell>
          <cell r="F38" t="str">
            <v>Yes</v>
          </cell>
          <cell r="G38" t="str">
            <v>NSGO</v>
          </cell>
          <cell r="H38" t="str">
            <v>WAGONER COMMUNITY HOSPITAL</v>
          </cell>
          <cell r="I38" t="str">
            <v>1200 W CHEROKEE ST</v>
          </cell>
          <cell r="J38" t="str">
            <v>WAGONER,OK 74467-4624</v>
          </cell>
          <cell r="K38" t="str">
            <v>OK</v>
          </cell>
          <cell r="L38" t="str">
            <v>370166</v>
          </cell>
          <cell r="M38">
            <v>43739</v>
          </cell>
          <cell r="N38">
            <v>44104</v>
          </cell>
          <cell r="Q38">
            <v>0.36115550776868272</v>
          </cell>
          <cell r="S38">
            <v>5820920.9500000002</v>
          </cell>
          <cell r="T38">
            <v>559709.25</v>
          </cell>
          <cell r="U38">
            <v>2304399.7397651915</v>
          </cell>
          <cell r="W38">
            <v>2455034.846329846</v>
          </cell>
          <cell r="X38">
            <v>1297035.56</v>
          </cell>
          <cell r="Y38">
            <v>60921.380000000005</v>
          </cell>
          <cell r="Z38">
            <v>66656.87</v>
          </cell>
          <cell r="AA38">
            <v>10220.408582817683</v>
          </cell>
          <cell r="AB38">
            <v>0</v>
          </cell>
          <cell r="AC38">
            <v>0</v>
          </cell>
          <cell r="AD38">
            <v>0</v>
          </cell>
          <cell r="AE38">
            <v>1434834.2185828178</v>
          </cell>
          <cell r="AF38">
            <v>1434834.2185828178</v>
          </cell>
          <cell r="AG38">
            <v>1020200.6277470281</v>
          </cell>
          <cell r="AH38">
            <v>1020200.6277470281</v>
          </cell>
        </row>
        <row r="39">
          <cell r="A39" t="str">
            <v>100699870E</v>
          </cell>
          <cell r="E39" t="str">
            <v>014</v>
          </cell>
          <cell r="F39" t="str">
            <v>No</v>
          </cell>
          <cell r="G39" t="str">
            <v>NSGO</v>
          </cell>
          <cell r="H39" t="str">
            <v>WEATHERFORD HOSPITAL AUTHORITY</v>
          </cell>
          <cell r="I39" t="str">
            <v>3701 E MAIN ST</v>
          </cell>
          <cell r="J39" t="str">
            <v>WEATHERFORD,OK 73096-</v>
          </cell>
          <cell r="K39" t="str">
            <v>OK</v>
          </cell>
          <cell r="L39" t="str">
            <v>371323</v>
          </cell>
          <cell r="M39">
            <v>43739</v>
          </cell>
          <cell r="N39">
            <v>44104</v>
          </cell>
          <cell r="Q39">
            <v>0.38421611817444773</v>
          </cell>
          <cell r="S39">
            <v>5270344.38</v>
          </cell>
          <cell r="T39">
            <v>351847.65</v>
          </cell>
          <cell r="U39">
            <v>2181522.1516921576</v>
          </cell>
          <cell r="W39">
            <v>2324124.9371909909</v>
          </cell>
          <cell r="X39">
            <v>1313022.94</v>
          </cell>
          <cell r="Y39">
            <v>53392.9</v>
          </cell>
          <cell r="Z39">
            <v>42479.96</v>
          </cell>
          <cell r="AA39">
            <v>7736.9017560391694</v>
          </cell>
          <cell r="AB39">
            <v>0</v>
          </cell>
          <cell r="AC39">
            <v>0</v>
          </cell>
          <cell r="AD39">
            <v>0</v>
          </cell>
          <cell r="AE39">
            <v>1416632.7017560389</v>
          </cell>
          <cell r="AF39">
            <v>1416632.7017560389</v>
          </cell>
          <cell r="AG39">
            <v>907492.23543495196</v>
          </cell>
          <cell r="AH39">
            <v>907492.23543495196</v>
          </cell>
        </row>
        <row r="40">
          <cell r="S40">
            <v>403220857.13999993</v>
          </cell>
          <cell r="T40">
            <v>37286688.369999997</v>
          </cell>
          <cell r="U40">
            <v>97454044.39877528</v>
          </cell>
          <cell r="V40">
            <v>0</v>
          </cell>
          <cell r="W40">
            <v>104028956.08093481</v>
          </cell>
          <cell r="X40">
            <v>60628780.090000004</v>
          </cell>
          <cell r="Y40">
            <v>2877805.18</v>
          </cell>
          <cell r="Z40">
            <v>4683333.24</v>
          </cell>
          <cell r="AA40">
            <v>452957.90154741355</v>
          </cell>
          <cell r="AB40">
            <v>0</v>
          </cell>
          <cell r="AC40">
            <v>0</v>
          </cell>
          <cell r="AD40">
            <v>0</v>
          </cell>
          <cell r="AE40">
            <v>68642876.411547422</v>
          </cell>
          <cell r="AF40">
            <v>68642876.411547422</v>
          </cell>
          <cell r="AG40">
            <v>35386079.669387385</v>
          </cell>
          <cell r="AH40">
            <v>35386079.669387385</v>
          </cell>
        </row>
        <row r="42">
          <cell r="A42" t="str">
            <v>200439230A</v>
          </cell>
          <cell r="E42" t="str">
            <v>010</v>
          </cell>
          <cell r="F42" t="str">
            <v>Yes</v>
          </cell>
          <cell r="G42" t="str">
            <v>Private</v>
          </cell>
          <cell r="H42" t="str">
            <v>AHS SOUTHCREST HOSPITAL, LLC</v>
          </cell>
          <cell r="I42" t="str">
            <v>8801 SOUTH 101ST E AVE</v>
          </cell>
          <cell r="J42" t="str">
            <v>TULSA,OK 74133-5716</v>
          </cell>
          <cell r="K42" t="str">
            <v>OK</v>
          </cell>
          <cell r="L42" t="str">
            <v>370202</v>
          </cell>
          <cell r="M42">
            <v>43831</v>
          </cell>
          <cell r="N42">
            <v>44196</v>
          </cell>
          <cell r="Q42">
            <v>0.12400152482119124</v>
          </cell>
          <cell r="S42">
            <v>52710764.590000004</v>
          </cell>
          <cell r="T42">
            <v>2043104.04</v>
          </cell>
          <cell r="U42">
            <v>6789563.1999791898</v>
          </cell>
          <cell r="W42">
            <v>7195197.2826675903</v>
          </cell>
          <cell r="X42">
            <v>5108011.25</v>
          </cell>
          <cell r="Y42">
            <v>216277.88999999998</v>
          </cell>
          <cell r="Z42">
            <v>934852.57000000007</v>
          </cell>
          <cell r="AA42">
            <v>24764.197608865707</v>
          </cell>
          <cell r="AB42">
            <v>0</v>
          </cell>
          <cell r="AC42">
            <v>0</v>
          </cell>
          <cell r="AD42">
            <v>0</v>
          </cell>
          <cell r="AE42">
            <v>6283905.9076088658</v>
          </cell>
          <cell r="AF42">
            <v>6283905.9076088658</v>
          </cell>
          <cell r="AG42">
            <v>911291.37505872454</v>
          </cell>
          <cell r="AH42">
            <v>911291.37505872454</v>
          </cell>
        </row>
        <row r="43">
          <cell r="A43" t="str">
            <v>100700440A</v>
          </cell>
          <cell r="E43" t="str">
            <v>014</v>
          </cell>
          <cell r="F43" t="str">
            <v>No</v>
          </cell>
          <cell r="G43" t="str">
            <v>Private</v>
          </cell>
          <cell r="H43" t="str">
            <v>ALLIANCE HEALTH MADILL</v>
          </cell>
          <cell r="I43" t="str">
            <v>901 S 5TH AVE.</v>
          </cell>
          <cell r="J43" t="str">
            <v>MADILL,OK 73446-0604</v>
          </cell>
          <cell r="K43" t="str">
            <v>OK</v>
          </cell>
          <cell r="L43" t="str">
            <v>371326</v>
          </cell>
          <cell r="M43">
            <v>43922</v>
          </cell>
          <cell r="N43">
            <v>44286</v>
          </cell>
          <cell r="Q43">
            <v>0.34517392677212388</v>
          </cell>
          <cell r="S43">
            <v>5970660.8300000001</v>
          </cell>
          <cell r="T43">
            <v>243805.72</v>
          </cell>
          <cell r="U43">
            <v>2166308.0328939026</v>
          </cell>
          <cell r="W43">
            <v>2281846.736432936</v>
          </cell>
          <cell r="X43">
            <v>708612.71</v>
          </cell>
          <cell r="Y43">
            <v>8676.57</v>
          </cell>
          <cell r="Z43">
            <v>40562.520000000004</v>
          </cell>
          <cell r="AA43">
            <v>2972.2916357205704</v>
          </cell>
          <cell r="AB43">
            <v>0</v>
          </cell>
          <cell r="AC43">
            <v>0</v>
          </cell>
          <cell r="AD43">
            <v>0</v>
          </cell>
          <cell r="AE43">
            <v>760824.09163572046</v>
          </cell>
          <cell r="AF43">
            <v>760824.09163572046</v>
          </cell>
          <cell r="AG43">
            <v>1521022.6447972157</v>
          </cell>
          <cell r="AH43">
            <v>1521022.6447972157</v>
          </cell>
        </row>
        <row r="44">
          <cell r="A44" t="str">
            <v>100696610B</v>
          </cell>
          <cell r="E44" t="str">
            <v>010</v>
          </cell>
          <cell r="F44" t="str">
            <v>Yes</v>
          </cell>
          <cell r="G44" t="str">
            <v>Private</v>
          </cell>
          <cell r="H44" t="str">
            <v>ALLIANCEHEALTH DURANT</v>
          </cell>
          <cell r="I44" t="str">
            <v>1800 UNIVERSITY</v>
          </cell>
          <cell r="J44" t="str">
            <v>DURANT,OK 74701-3006</v>
          </cell>
          <cell r="K44" t="str">
            <v>OK</v>
          </cell>
          <cell r="L44" t="str">
            <v>370014</v>
          </cell>
          <cell r="M44">
            <v>43739</v>
          </cell>
          <cell r="N44">
            <v>44104</v>
          </cell>
          <cell r="Q44">
            <v>4.2192881508105136E-2</v>
          </cell>
          <cell r="S44">
            <v>150116062.69999999</v>
          </cell>
          <cell r="T44">
            <v>13240476.280000001</v>
          </cell>
          <cell r="U44">
            <v>6892483.0927572977</v>
          </cell>
          <cell r="W44">
            <v>7343034.2307635751</v>
          </cell>
          <cell r="X44">
            <v>5984342.9299999997</v>
          </cell>
          <cell r="Y44">
            <v>245487.01</v>
          </cell>
          <cell r="Z44">
            <v>681023.53</v>
          </cell>
          <cell r="AA44">
            <v>40756.570001009575</v>
          </cell>
          <cell r="AB44">
            <v>0</v>
          </cell>
          <cell r="AC44">
            <v>0</v>
          </cell>
          <cell r="AD44">
            <v>0</v>
          </cell>
          <cell r="AE44">
            <v>6951610.0400010096</v>
          </cell>
          <cell r="AF44">
            <v>6951610.0400010096</v>
          </cell>
          <cell r="AG44">
            <v>391424.19076256547</v>
          </cell>
          <cell r="AH44">
            <v>391424.19076256547</v>
          </cell>
        </row>
        <row r="45">
          <cell r="A45" t="str">
            <v>200102450A</v>
          </cell>
          <cell r="E45" t="str">
            <v>010</v>
          </cell>
          <cell r="F45" t="str">
            <v>Yes</v>
          </cell>
          <cell r="G45" t="str">
            <v>Private</v>
          </cell>
          <cell r="H45" t="str">
            <v>BAILEY MEDICAL CENTER LLC</v>
          </cell>
          <cell r="I45" t="str">
            <v>10502 N 110TH E AVE</v>
          </cell>
          <cell r="J45" t="str">
            <v>OWASSO,OK 74055-6655</v>
          </cell>
          <cell r="K45" t="str">
            <v>OK</v>
          </cell>
          <cell r="L45" t="str">
            <v>370228</v>
          </cell>
          <cell r="M45">
            <v>43831</v>
          </cell>
          <cell r="N45">
            <v>44196</v>
          </cell>
          <cell r="Q45">
            <v>0.11407854521808102</v>
          </cell>
          <cell r="S45">
            <v>27828776.990000002</v>
          </cell>
          <cell r="T45">
            <v>723021.52</v>
          </cell>
          <cell r="U45">
            <v>3257147.6373805734</v>
          </cell>
          <cell r="W45">
            <v>3451741.9073144048</v>
          </cell>
          <cell r="X45">
            <v>2303676.23</v>
          </cell>
          <cell r="Y45">
            <v>59958.630000000005</v>
          </cell>
          <cell r="Z45">
            <v>352946.58999999997</v>
          </cell>
          <cell r="AA45">
            <v>11959.780029227983</v>
          </cell>
          <cell r="AB45">
            <v>0</v>
          </cell>
          <cell r="AC45">
            <v>0</v>
          </cell>
          <cell r="AD45">
            <v>0</v>
          </cell>
          <cell r="AE45">
            <v>2728541.2300292277</v>
          </cell>
          <cell r="AF45">
            <v>2728541.2300292277</v>
          </cell>
          <cell r="AG45">
            <v>723200.67728517717</v>
          </cell>
          <cell r="AH45">
            <v>723200.67728517717</v>
          </cell>
        </row>
        <row r="46">
          <cell r="A46" t="str">
            <v>200573000A</v>
          </cell>
          <cell r="E46" t="str">
            <v>010</v>
          </cell>
          <cell r="F46" t="str">
            <v>Yes</v>
          </cell>
          <cell r="G46" t="str">
            <v>Private</v>
          </cell>
          <cell r="H46" t="str">
            <v>BRISTOW ENDEAVOR HEALTHCARE, LLC</v>
          </cell>
          <cell r="I46" t="str">
            <v>700 W. 7TH STREET  SUITE 6</v>
          </cell>
          <cell r="J46" t="str">
            <v>BRISTOW,OK 74010-2301</v>
          </cell>
          <cell r="K46" t="str">
            <v>OK</v>
          </cell>
          <cell r="L46" t="str">
            <v>370041</v>
          </cell>
          <cell r="M46">
            <v>43831</v>
          </cell>
          <cell r="N46">
            <v>44196</v>
          </cell>
          <cell r="Q46">
            <v>0.16031321002366905</v>
          </cell>
          <cell r="S46">
            <v>2183815.9900000002</v>
          </cell>
          <cell r="T46">
            <v>234084.8</v>
          </cell>
          <cell r="U46">
            <v>387621.43716366531</v>
          </cell>
          <cell r="W46">
            <v>410779.40203756542</v>
          </cell>
          <cell r="X46">
            <v>365720.69</v>
          </cell>
          <cell r="Y46">
            <v>17882.14</v>
          </cell>
          <cell r="Z46">
            <v>4358</v>
          </cell>
          <cell r="AA46">
            <v>13052.663213857497</v>
          </cell>
          <cell r="AB46">
            <v>0</v>
          </cell>
          <cell r="AC46">
            <v>0</v>
          </cell>
          <cell r="AD46">
            <v>0</v>
          </cell>
          <cell r="AE46">
            <v>401013.49321385752</v>
          </cell>
          <cell r="AF46">
            <v>401013.49321385752</v>
          </cell>
          <cell r="AG46">
            <v>9765.9088237078977</v>
          </cell>
          <cell r="AH46">
            <v>9765.9088237078977</v>
          </cell>
        </row>
        <row r="47">
          <cell r="A47" t="str">
            <v>100700010G</v>
          </cell>
          <cell r="E47" t="str">
            <v>010</v>
          </cell>
          <cell r="F47" t="str">
            <v>Yes</v>
          </cell>
          <cell r="G47" t="str">
            <v>Private</v>
          </cell>
          <cell r="H47" t="str">
            <v>CLINTON HMA LLC</v>
          </cell>
          <cell r="I47" t="str">
            <v>100 N 30TH ST</v>
          </cell>
          <cell r="J47" t="str">
            <v>CLINTON,OK 73601-3117</v>
          </cell>
          <cell r="K47" t="str">
            <v>OK</v>
          </cell>
          <cell r="L47" t="str">
            <v>370029</v>
          </cell>
          <cell r="M47">
            <v>43922</v>
          </cell>
          <cell r="N47">
            <v>44286</v>
          </cell>
          <cell r="Q47">
            <v>0.17529627131109118</v>
          </cell>
          <cell r="S47">
            <v>10324543.08</v>
          </cell>
          <cell r="T47">
            <v>832756.6</v>
          </cell>
          <cell r="U47">
            <v>1955833.0318044308</v>
          </cell>
          <cell r="W47">
            <v>2060146.1809052208</v>
          </cell>
          <cell r="X47">
            <v>1029628.7</v>
          </cell>
          <cell r="Y47">
            <v>41264.58</v>
          </cell>
          <cell r="Z47">
            <v>187870.3</v>
          </cell>
          <cell r="AA47">
            <v>9424.5379265582887</v>
          </cell>
          <cell r="AB47">
            <v>0</v>
          </cell>
          <cell r="AC47">
            <v>0</v>
          </cell>
          <cell r="AD47">
            <v>0</v>
          </cell>
          <cell r="AE47">
            <v>1268188.1179265585</v>
          </cell>
          <cell r="AF47">
            <v>1268188.1179265585</v>
          </cell>
          <cell r="AG47">
            <v>791958.06297866232</v>
          </cell>
          <cell r="AH47">
            <v>791958.06297866232</v>
          </cell>
        </row>
        <row r="48">
          <cell r="A48" t="str">
            <v>100700120A</v>
          </cell>
          <cell r="E48" t="str">
            <v>010</v>
          </cell>
          <cell r="F48" t="str">
            <v>Yes</v>
          </cell>
          <cell r="G48" t="str">
            <v>Private</v>
          </cell>
          <cell r="H48" t="str">
            <v>DUNCAN REGIONAL HOSPITAL</v>
          </cell>
          <cell r="I48" t="str">
            <v>1407 N WHISENANT DR</v>
          </cell>
          <cell r="J48" t="str">
            <v>DUNCAN,OK 73533-</v>
          </cell>
          <cell r="K48" t="str">
            <v>OK</v>
          </cell>
          <cell r="L48" t="str">
            <v>370023</v>
          </cell>
          <cell r="M48">
            <v>43647</v>
          </cell>
          <cell r="N48">
            <v>44012</v>
          </cell>
          <cell r="Q48">
            <v>0.16042306945818391</v>
          </cell>
          <cell r="S48">
            <v>38500040.160000004</v>
          </cell>
          <cell r="T48">
            <v>5612316.9800000004</v>
          </cell>
          <cell r="U48">
            <v>7076639.733434435</v>
          </cell>
          <cell r="W48">
            <v>7578928.4760060301</v>
          </cell>
          <cell r="X48">
            <v>5387321.25</v>
          </cell>
          <cell r="Y48">
            <v>259116.75999999998</v>
          </cell>
          <cell r="Z48">
            <v>532852.1</v>
          </cell>
          <cell r="AA48">
            <v>70977.734246099091</v>
          </cell>
          <cell r="AB48">
            <v>0</v>
          </cell>
          <cell r="AC48">
            <v>0</v>
          </cell>
          <cell r="AD48">
            <v>0</v>
          </cell>
          <cell r="AE48">
            <v>6250267.8442460988</v>
          </cell>
          <cell r="AF48">
            <v>6250267.8442460988</v>
          </cell>
          <cell r="AG48">
            <v>1328660.6317599313</v>
          </cell>
          <cell r="AH48">
            <v>1328660.6317599313</v>
          </cell>
        </row>
        <row r="49">
          <cell r="A49" t="str">
            <v>100700120Q</v>
          </cell>
          <cell r="E49" t="str">
            <v>014</v>
          </cell>
          <cell r="F49" t="str">
            <v>No</v>
          </cell>
          <cell r="G49" t="str">
            <v>Private</v>
          </cell>
          <cell r="H49" t="str">
            <v>DUNCAN REGIONAL HOSPITAL INC</v>
          </cell>
          <cell r="I49" t="str">
            <v xml:space="preserve">U.S. HIGHWAYS 70 &amp; 81  </v>
          </cell>
          <cell r="J49" t="str">
            <v>WAURIKA,OK  73573-0090</v>
          </cell>
          <cell r="K49" t="str">
            <v>OK</v>
          </cell>
          <cell r="L49">
            <v>371311</v>
          </cell>
          <cell r="M49">
            <v>43647</v>
          </cell>
          <cell r="N49">
            <v>44012</v>
          </cell>
          <cell r="Q49">
            <v>2.7645058299509104</v>
          </cell>
          <cell r="S49">
            <v>2565364.58</v>
          </cell>
          <cell r="T49">
            <v>96840.88</v>
          </cell>
          <cell r="U49">
            <v>7432543.3715926465</v>
          </cell>
          <cell r="W49">
            <v>7960093.5938524809</v>
          </cell>
          <cell r="X49">
            <v>377405.7</v>
          </cell>
          <cell r="Y49">
            <v>10354.02</v>
          </cell>
          <cell r="Z49">
            <v>37237.479999999996</v>
          </cell>
          <cell r="AA49">
            <v>1232.2750784473606</v>
          </cell>
          <cell r="AB49">
            <v>0</v>
          </cell>
          <cell r="AC49">
            <v>0</v>
          </cell>
          <cell r="AD49">
            <v>0</v>
          </cell>
          <cell r="AE49">
            <v>426229.47507844737</v>
          </cell>
          <cell r="AF49">
            <v>426229.47507844737</v>
          </cell>
          <cell r="AG49">
            <v>7533864.1187740332</v>
          </cell>
          <cell r="AH49">
            <v>7533864.1187740332</v>
          </cell>
        </row>
        <row r="50">
          <cell r="A50" t="str">
            <v>100699410A</v>
          </cell>
          <cell r="E50" t="str">
            <v>010</v>
          </cell>
          <cell r="F50" t="str">
            <v>Yes</v>
          </cell>
          <cell r="G50" t="str">
            <v>Private</v>
          </cell>
          <cell r="H50" t="str">
            <v>GREAT PLAINS REGIONAL MEDICAL CENTER</v>
          </cell>
          <cell r="I50" t="str">
            <v>1801 WEST THIRD</v>
          </cell>
          <cell r="J50" t="str">
            <v>ELK CITY,OK 73644-5113</v>
          </cell>
          <cell r="K50" t="str">
            <v>OK</v>
          </cell>
          <cell r="L50" t="str">
            <v>370019</v>
          </cell>
          <cell r="M50">
            <v>43647</v>
          </cell>
          <cell r="N50">
            <v>44012</v>
          </cell>
          <cell r="Q50">
            <v>0.23354288273058441</v>
          </cell>
          <cell r="S50">
            <v>18170226.98</v>
          </cell>
          <cell r="T50">
            <v>2194070.34</v>
          </cell>
          <cell r="U50">
            <v>4755936.7008955143</v>
          </cell>
          <cell r="W50">
            <v>5093505.5973247737</v>
          </cell>
          <cell r="X50">
            <v>3249769.09</v>
          </cell>
          <cell r="Y50">
            <v>186405.08000000002</v>
          </cell>
          <cell r="Z50">
            <v>275093.95</v>
          </cell>
          <cell r="AA50">
            <v>22715.338584830883</v>
          </cell>
          <cell r="AB50">
            <v>0</v>
          </cell>
          <cell r="AC50">
            <v>0</v>
          </cell>
          <cell r="AD50">
            <v>0</v>
          </cell>
          <cell r="AE50">
            <v>3733983.4585848311</v>
          </cell>
          <cell r="AF50">
            <v>3733983.4585848311</v>
          </cell>
          <cell r="AG50">
            <v>1359522.1387399426</v>
          </cell>
          <cell r="AH50">
            <v>1359522.1387399426</v>
          </cell>
        </row>
        <row r="51">
          <cell r="A51" t="str">
            <v>200925590A</v>
          </cell>
          <cell r="B51" t="str">
            <v>200313370A</v>
          </cell>
          <cell r="E51" t="str">
            <v>014</v>
          </cell>
          <cell r="F51" t="str">
            <v>No</v>
          </cell>
          <cell r="G51" t="str">
            <v>Private</v>
          </cell>
          <cell r="H51" t="str">
            <v>HASKELL REGIONAL HOSPITAL INC.</v>
          </cell>
          <cell r="I51" t="str">
            <v>401 NW H ST</v>
          </cell>
          <cell r="J51" t="str">
            <v>STIGLER,OK 74462-1625</v>
          </cell>
          <cell r="K51" t="str">
            <v>OK</v>
          </cell>
          <cell r="L51" t="str">
            <v>371335</v>
          </cell>
          <cell r="M51">
            <v>43966</v>
          </cell>
          <cell r="N51">
            <v>44196</v>
          </cell>
          <cell r="Q51">
            <v>0.81179998385088081</v>
          </cell>
          <cell r="S51">
            <v>623000.96</v>
          </cell>
          <cell r="T51">
            <v>189974</v>
          </cell>
          <cell r="U51">
            <v>659973.05939917045</v>
          </cell>
          <cell r="W51">
            <v>696247.34851819079</v>
          </cell>
          <cell r="X51">
            <v>86871.89</v>
          </cell>
          <cell r="Y51">
            <v>3572.09</v>
          </cell>
          <cell r="Z51">
            <v>184.32</v>
          </cell>
          <cell r="AA51">
            <v>128.00655885889805</v>
          </cell>
          <cell r="AB51">
            <v>0</v>
          </cell>
          <cell r="AC51">
            <v>0</v>
          </cell>
          <cell r="AD51">
            <v>0</v>
          </cell>
          <cell r="AE51">
            <v>90756.306558858894</v>
          </cell>
          <cell r="AF51">
            <v>90756.306558858894</v>
          </cell>
          <cell r="AG51">
            <v>605491.04195933184</v>
          </cell>
          <cell r="AH51">
            <v>605491.04195933184</v>
          </cell>
        </row>
        <row r="52">
          <cell r="A52" t="str">
            <v>200045700C</v>
          </cell>
          <cell r="E52" t="str">
            <v>010</v>
          </cell>
          <cell r="F52" t="str">
            <v>Yes</v>
          </cell>
          <cell r="G52" t="str">
            <v>Private</v>
          </cell>
          <cell r="H52" t="str">
            <v>AHS HENRYETTA HOSPITAL, LLC</v>
          </cell>
          <cell r="I52" t="str">
            <v>2401 W. MAIN</v>
          </cell>
          <cell r="J52" t="str">
            <v>HENRYETTA,OK 74437-6908</v>
          </cell>
          <cell r="K52" t="str">
            <v>OK</v>
          </cell>
          <cell r="L52" t="str">
            <v>370183</v>
          </cell>
          <cell r="M52">
            <v>43800</v>
          </cell>
          <cell r="N52">
            <v>44165</v>
          </cell>
          <cell r="Q52">
            <v>0.19824873668746898</v>
          </cell>
          <cell r="S52">
            <v>13298353.289999999</v>
          </cell>
          <cell r="T52">
            <v>1319470.04</v>
          </cell>
          <cell r="U52">
            <v>2897965.0082931104</v>
          </cell>
          <cell r="W52">
            <v>3076621.1931862952</v>
          </cell>
          <cell r="X52">
            <v>1308790.48</v>
          </cell>
          <cell r="Y52">
            <v>62151.350000000006</v>
          </cell>
          <cell r="Z52">
            <v>87572.450000000012</v>
          </cell>
          <cell r="AA52">
            <v>7737.237388042171</v>
          </cell>
          <cell r="AB52">
            <v>0</v>
          </cell>
          <cell r="AC52">
            <v>0</v>
          </cell>
          <cell r="AD52">
            <v>0</v>
          </cell>
          <cell r="AE52">
            <v>1466251.5173880423</v>
          </cell>
          <cell r="AF52">
            <v>1466251.5173880423</v>
          </cell>
          <cell r="AG52">
            <v>1610369.6757982529</v>
          </cell>
          <cell r="AH52">
            <v>1610369.6757982529</v>
          </cell>
        </row>
        <row r="53">
          <cell r="A53" t="str">
            <v>200435950A</v>
          </cell>
          <cell r="E53" t="str">
            <v>010</v>
          </cell>
          <cell r="F53" t="str">
            <v>Yes</v>
          </cell>
          <cell r="G53" t="str">
            <v>Private</v>
          </cell>
          <cell r="H53" t="str">
            <v>AHS CLAREMORE REGIONAL HOSPITAL, LLC</v>
          </cell>
          <cell r="I53" t="str">
            <v>1202 N MUSKOGEE PL</v>
          </cell>
          <cell r="J53" t="str">
            <v>CLAREMORE,OK 74017-3058</v>
          </cell>
          <cell r="K53" t="str">
            <v>OK</v>
          </cell>
          <cell r="L53" t="str">
            <v>370039</v>
          </cell>
          <cell r="M53">
            <v>43770</v>
          </cell>
          <cell r="N53">
            <v>44135</v>
          </cell>
          <cell r="Q53">
            <v>0.11632802822326813</v>
          </cell>
          <cell r="S53">
            <v>42138280.590000004</v>
          </cell>
          <cell r="T53">
            <v>2373342.25</v>
          </cell>
          <cell r="U53">
            <v>5177949.3179949867</v>
          </cell>
          <cell r="W53">
            <v>5506636.0725017916</v>
          </cell>
          <cell r="X53">
            <v>3190986.67</v>
          </cell>
          <cell r="Y53">
            <v>80539.27</v>
          </cell>
          <cell r="Z53">
            <v>404128.25</v>
          </cell>
          <cell r="AA53">
            <v>14799.728043193729</v>
          </cell>
          <cell r="AB53">
            <v>0</v>
          </cell>
          <cell r="AC53">
            <v>0</v>
          </cell>
          <cell r="AD53">
            <v>0</v>
          </cell>
          <cell r="AE53">
            <v>3690453.9180431939</v>
          </cell>
          <cell r="AF53">
            <v>3690453.9180431939</v>
          </cell>
          <cell r="AG53">
            <v>1816182.1544585978</v>
          </cell>
          <cell r="AH53">
            <v>1816182.1544585978</v>
          </cell>
        </row>
        <row r="54">
          <cell r="A54" t="str">
            <v>200044190A</v>
          </cell>
          <cell r="E54" t="str">
            <v>010</v>
          </cell>
          <cell r="F54" t="str">
            <v>Yes</v>
          </cell>
          <cell r="G54" t="str">
            <v>Private</v>
          </cell>
          <cell r="H54" t="str">
            <v>HILLCREST HOSPITAL CUSHING</v>
          </cell>
          <cell r="I54" t="str">
            <v>1027 E CHERRY ST</v>
          </cell>
          <cell r="J54" t="str">
            <v>CUSHING,OK 74023-</v>
          </cell>
          <cell r="K54" t="str">
            <v>OK</v>
          </cell>
          <cell r="L54" t="str">
            <v>370099</v>
          </cell>
          <cell r="M54">
            <v>43800</v>
          </cell>
          <cell r="N54">
            <v>44165</v>
          </cell>
          <cell r="Q54">
            <v>0.16804594699993528</v>
          </cell>
          <cell r="S54">
            <v>15913942.27</v>
          </cell>
          <cell r="T54">
            <v>1008415.55</v>
          </cell>
          <cell r="U54">
            <v>2843733.6453336603</v>
          </cell>
          <cell r="W54">
            <v>3019046.5295382012</v>
          </cell>
          <cell r="X54">
            <v>1565127.67</v>
          </cell>
          <cell r="Y54">
            <v>51779.85</v>
          </cell>
          <cell r="Z54">
            <v>97083.15</v>
          </cell>
          <cell r="AA54">
            <v>5926.8993878544434</v>
          </cell>
          <cell r="AB54">
            <v>0</v>
          </cell>
          <cell r="AC54">
            <v>0</v>
          </cell>
          <cell r="AD54">
            <v>0</v>
          </cell>
          <cell r="AE54">
            <v>1719917.5693878543</v>
          </cell>
          <cell r="AF54">
            <v>1719917.5693878543</v>
          </cell>
          <cell r="AG54">
            <v>1299128.9601503469</v>
          </cell>
          <cell r="AH54">
            <v>1299128.9601503469</v>
          </cell>
        </row>
        <row r="55">
          <cell r="A55" t="str">
            <v>200735850A</v>
          </cell>
          <cell r="E55" t="str">
            <v>010</v>
          </cell>
          <cell r="F55" t="str">
            <v>Yes</v>
          </cell>
          <cell r="G55" t="str">
            <v>Private</v>
          </cell>
          <cell r="H55" t="str">
            <v>HILLCREST HOSPITAL PRYOR</v>
          </cell>
          <cell r="I55" t="str">
            <v>111 N. BAILEY STREET</v>
          </cell>
          <cell r="J55" t="str">
            <v>PRYOR,OK 74361-</v>
          </cell>
          <cell r="K55" t="str">
            <v>OK</v>
          </cell>
          <cell r="L55" t="str">
            <v>370015</v>
          </cell>
          <cell r="M55">
            <v>43922</v>
          </cell>
          <cell r="N55">
            <v>44286</v>
          </cell>
          <cell r="Q55">
            <v>0.20060967814199732</v>
          </cell>
          <cell r="S55">
            <v>17783959.030000001</v>
          </cell>
          <cell r="T55">
            <v>1218629.17</v>
          </cell>
          <cell r="U55">
            <v>3812103.1026669168</v>
          </cell>
          <cell r="W55">
            <v>4015419.2717210865</v>
          </cell>
          <cell r="X55">
            <v>2036636.81</v>
          </cell>
          <cell r="Y55">
            <v>64620.32</v>
          </cell>
          <cell r="Z55">
            <v>127965.17000000001</v>
          </cell>
          <cell r="AA55">
            <v>2591.1705991697959</v>
          </cell>
          <cell r="AB55">
            <v>0</v>
          </cell>
          <cell r="AC55">
            <v>0</v>
          </cell>
          <cell r="AD55">
            <v>0</v>
          </cell>
          <cell r="AE55">
            <v>2231813.4705991694</v>
          </cell>
          <cell r="AF55">
            <v>2231813.4705991694</v>
          </cell>
          <cell r="AG55">
            <v>1783605.8011219171</v>
          </cell>
          <cell r="AH55">
            <v>1783605.8011219171</v>
          </cell>
        </row>
        <row r="56">
          <cell r="A56" t="str">
            <v>200044210A</v>
          </cell>
          <cell r="E56" t="str">
            <v>010</v>
          </cell>
          <cell r="F56" t="str">
            <v>Yes</v>
          </cell>
          <cell r="G56" t="str">
            <v>Private</v>
          </cell>
          <cell r="H56" t="str">
            <v>HILLCREST MEDICAL CENTER</v>
          </cell>
          <cell r="I56" t="str">
            <v>1120 S UTICA AVE</v>
          </cell>
          <cell r="J56" t="str">
            <v>TULSA,OK 74104-4012</v>
          </cell>
          <cell r="K56" t="str">
            <v>OK</v>
          </cell>
          <cell r="L56" t="str">
            <v>370001</v>
          </cell>
          <cell r="M56">
            <v>43647</v>
          </cell>
          <cell r="N56">
            <v>44012</v>
          </cell>
          <cell r="Q56">
            <v>0.11403511346650393</v>
          </cell>
          <cell r="S56">
            <v>175183427.53</v>
          </cell>
          <cell r="T56">
            <v>6997246.9000000004</v>
          </cell>
          <cell r="U56">
            <v>20774993.880029261</v>
          </cell>
          <cell r="W56">
            <v>22249570.225018375</v>
          </cell>
          <cell r="X56">
            <v>14492121.789999999</v>
          </cell>
          <cell r="Y56">
            <v>557676.80000000005</v>
          </cell>
          <cell r="Z56">
            <v>591300.23</v>
          </cell>
          <cell r="AA56">
            <v>27247.695717929859</v>
          </cell>
          <cell r="AB56">
            <v>0</v>
          </cell>
          <cell r="AC56">
            <v>0</v>
          </cell>
          <cell r="AD56">
            <v>0</v>
          </cell>
          <cell r="AE56">
            <v>15668346.515717929</v>
          </cell>
          <cell r="AF56">
            <v>15668346.515717929</v>
          </cell>
          <cell r="AG56">
            <v>6581223.7093004454</v>
          </cell>
          <cell r="AH56">
            <v>6581223.7093004454</v>
          </cell>
        </row>
        <row r="57">
          <cell r="A57" t="str">
            <v>100806400C</v>
          </cell>
          <cell r="B57" t="str">
            <v>100699740B</v>
          </cell>
          <cell r="E57" t="str">
            <v>010</v>
          </cell>
          <cell r="F57" t="str">
            <v>Yes</v>
          </cell>
          <cell r="G57" t="str">
            <v>Private</v>
          </cell>
          <cell r="H57" t="str">
            <v>INTEGRIS BAPTIST MEDICAL C</v>
          </cell>
          <cell r="I57" t="str">
            <v>3300 NW EXPRESSWAY</v>
          </cell>
          <cell r="J57" t="str">
            <v>OKLAHOMA CITY,OK 73112-4481</v>
          </cell>
          <cell r="K57" t="str">
            <v>OK</v>
          </cell>
          <cell r="L57" t="str">
            <v>370028</v>
          </cell>
          <cell r="M57">
            <v>43647</v>
          </cell>
          <cell r="N57">
            <v>44012</v>
          </cell>
          <cell r="Q57">
            <v>0.12704149878003887</v>
          </cell>
          <cell r="S57">
            <v>250663129.68000001</v>
          </cell>
          <cell r="T57">
            <v>10871872.23</v>
          </cell>
          <cell r="U57">
            <v>33225798.626086727</v>
          </cell>
          <cell r="W57">
            <v>35584113.481933519</v>
          </cell>
          <cell r="X57">
            <v>22137124.5</v>
          </cell>
          <cell r="Y57">
            <v>805582.78</v>
          </cell>
          <cell r="Z57">
            <v>2716946.05</v>
          </cell>
          <cell r="AA57">
            <v>129746.12209502433</v>
          </cell>
          <cell r="AB57">
            <v>0</v>
          </cell>
          <cell r="AC57">
            <v>0</v>
          </cell>
          <cell r="AD57">
            <v>0</v>
          </cell>
          <cell r="AE57">
            <v>25789399.452095028</v>
          </cell>
          <cell r="AF57">
            <v>25789399.452095028</v>
          </cell>
          <cell r="AG57">
            <v>9794714.0298384912</v>
          </cell>
          <cell r="AH57">
            <v>9794714.0298384912</v>
          </cell>
        </row>
        <row r="58">
          <cell r="A58" t="str">
            <v>100699500A</v>
          </cell>
          <cell r="E58" t="str">
            <v>010</v>
          </cell>
          <cell r="F58" t="str">
            <v>Yes</v>
          </cell>
          <cell r="G58" t="str">
            <v>Private</v>
          </cell>
          <cell r="H58" t="str">
            <v>INTEGRIS BASS MEM BAP</v>
          </cell>
          <cell r="I58" t="str">
            <v>600 SOUTH MONROE</v>
          </cell>
          <cell r="J58" t="str">
            <v>ENID,OK 73701-</v>
          </cell>
          <cell r="K58" t="str">
            <v>OK</v>
          </cell>
          <cell r="L58" t="str">
            <v>370016</v>
          </cell>
          <cell r="M58">
            <v>43647</v>
          </cell>
          <cell r="N58">
            <v>44012</v>
          </cell>
          <cell r="Q58">
            <v>0.12903729988196294</v>
          </cell>
          <cell r="S58">
            <v>46941313.57</v>
          </cell>
          <cell r="T58">
            <v>3583829.54</v>
          </cell>
          <cell r="U58">
            <v>6519628.043064164</v>
          </cell>
          <cell r="W58">
            <v>6982380.9731466891</v>
          </cell>
          <cell r="X58">
            <v>3988469.7199999997</v>
          </cell>
          <cell r="Y58">
            <v>202127.53999999998</v>
          </cell>
          <cell r="Z58">
            <v>354464.92</v>
          </cell>
          <cell r="AA58">
            <v>4279.3690622653721</v>
          </cell>
          <cell r="AB58">
            <v>0</v>
          </cell>
          <cell r="AC58">
            <v>0</v>
          </cell>
          <cell r="AD58">
            <v>0</v>
          </cell>
          <cell r="AE58">
            <v>4549341.5490622651</v>
          </cell>
          <cell r="AF58">
            <v>4549341.5490622651</v>
          </cell>
          <cell r="AG58">
            <v>2433039.424084424</v>
          </cell>
          <cell r="AH58">
            <v>2433039.424084424</v>
          </cell>
        </row>
        <row r="59">
          <cell r="A59" t="str">
            <v>100700610A</v>
          </cell>
          <cell r="E59" t="str">
            <v>010</v>
          </cell>
          <cell r="F59" t="str">
            <v>Yes</v>
          </cell>
          <cell r="G59" t="str">
            <v>Private</v>
          </cell>
          <cell r="H59" t="str">
            <v>INTEGRIS CANADIAN VALLEY HOSPITAL</v>
          </cell>
          <cell r="I59" t="str">
            <v>1201 HEALTH CENTER PARKWAY</v>
          </cell>
          <cell r="J59" t="str">
            <v>YUKON,OK 73099-</v>
          </cell>
          <cell r="K59" t="str">
            <v>OK</v>
          </cell>
          <cell r="L59" t="str">
            <v>370211</v>
          </cell>
          <cell r="M59">
            <v>43647</v>
          </cell>
          <cell r="N59">
            <v>44012</v>
          </cell>
          <cell r="Q59">
            <v>0.10810733528201875</v>
          </cell>
          <cell r="S59">
            <v>41382402.280000001</v>
          </cell>
          <cell r="T59">
            <v>2022444.85</v>
          </cell>
          <cell r="U59">
            <v>4692382.3615476796</v>
          </cell>
          <cell r="W59">
            <v>5025440.2710681139</v>
          </cell>
          <cell r="X59">
            <v>3202883.92</v>
          </cell>
          <cell r="Y59">
            <v>106218.75</v>
          </cell>
          <cell r="Z59">
            <v>545093.75</v>
          </cell>
          <cell r="AA59">
            <v>14718.77534761272</v>
          </cell>
          <cell r="AB59">
            <v>0</v>
          </cell>
          <cell r="AC59">
            <v>0</v>
          </cell>
          <cell r="AD59">
            <v>0</v>
          </cell>
          <cell r="AE59">
            <v>3868915.1953476127</v>
          </cell>
          <cell r="AF59">
            <v>3868915.1953476127</v>
          </cell>
          <cell r="AG59">
            <v>1156525.0757205011</v>
          </cell>
          <cell r="AH59">
            <v>1156525.0757205011</v>
          </cell>
        </row>
        <row r="60">
          <cell r="A60" t="str">
            <v>200834400A</v>
          </cell>
          <cell r="B60" t="str">
            <v>200834400B</v>
          </cell>
          <cell r="C60" t="str">
            <v>200834400D</v>
          </cell>
          <cell r="E60" t="str">
            <v>010</v>
          </cell>
          <cell r="F60" t="str">
            <v>Yes</v>
          </cell>
          <cell r="G60" t="str">
            <v>Private</v>
          </cell>
          <cell r="H60" t="str">
            <v>INTEGRIS COMMUNITY HOSPITAL COUNCIL CROSSING</v>
          </cell>
          <cell r="I60" t="str">
            <v>9417 N. COUNCIL RD</v>
          </cell>
          <cell r="J60" t="str">
            <v>OKLAHOMA CITY,OK 73162-</v>
          </cell>
          <cell r="K60" t="str">
            <v>OK</v>
          </cell>
          <cell r="L60" t="str">
            <v>370240</v>
          </cell>
          <cell r="M60">
            <v>43616</v>
          </cell>
          <cell r="N60">
            <v>43830</v>
          </cell>
          <cell r="Q60">
            <v>0.13486314577165306</v>
          </cell>
          <cell r="S60">
            <v>37898811.859999999</v>
          </cell>
          <cell r="T60">
            <v>-18861.59</v>
          </cell>
          <cell r="U60">
            <v>5108609.2550859787</v>
          </cell>
          <cell r="W60">
            <v>5504386.2256352808</v>
          </cell>
          <cell r="X60">
            <v>3460283.33</v>
          </cell>
          <cell r="Y60">
            <v>0</v>
          </cell>
          <cell r="Z60">
            <v>82819.209999999992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3543102.54</v>
          </cell>
          <cell r="AF60">
            <v>3543102.54</v>
          </cell>
          <cell r="AG60">
            <v>1961283.6856352808</v>
          </cell>
          <cell r="AH60">
            <v>1961283.6856352808</v>
          </cell>
        </row>
        <row r="61">
          <cell r="A61" t="str">
            <v>100699700A</v>
          </cell>
          <cell r="E61" t="str">
            <v>010</v>
          </cell>
          <cell r="F61" t="str">
            <v>Yes</v>
          </cell>
          <cell r="G61" t="str">
            <v>Private</v>
          </cell>
          <cell r="H61" t="str">
            <v>INTEGRIS GROVE HOSPITAL</v>
          </cell>
          <cell r="I61" t="str">
            <v>1001 E 18TH STREET</v>
          </cell>
          <cell r="J61" t="str">
            <v>GROVE,OK 74344-5304</v>
          </cell>
          <cell r="K61" t="str">
            <v>OK</v>
          </cell>
          <cell r="L61" t="str">
            <v>370113</v>
          </cell>
          <cell r="M61">
            <v>43647</v>
          </cell>
          <cell r="N61">
            <v>44012</v>
          </cell>
          <cell r="Q61">
            <v>0.16126396810268093</v>
          </cell>
          <cell r="S61">
            <v>25752177.07</v>
          </cell>
          <cell r="T61">
            <v>1966208.55</v>
          </cell>
          <cell r="U61">
            <v>4469976.8544814894</v>
          </cell>
          <cell r="W61">
            <v>4787248.7713990388</v>
          </cell>
          <cell r="X61">
            <v>2830748.74</v>
          </cell>
          <cell r="Y61">
            <v>103073.37</v>
          </cell>
          <cell r="Z61">
            <v>280002.24</v>
          </cell>
          <cell r="AA61">
            <v>2234.8819719839253</v>
          </cell>
          <cell r="AB61">
            <v>0</v>
          </cell>
          <cell r="AC61">
            <v>0</v>
          </cell>
          <cell r="AD61">
            <v>0</v>
          </cell>
          <cell r="AE61">
            <v>3216059.2319719843</v>
          </cell>
          <cell r="AF61">
            <v>3216059.2319719843</v>
          </cell>
          <cell r="AG61">
            <v>1571189.5394270546</v>
          </cell>
          <cell r="AH61">
            <v>1571189.5394270546</v>
          </cell>
        </row>
        <row r="62">
          <cell r="A62" t="str">
            <v>200405550A</v>
          </cell>
          <cell r="E62" t="str">
            <v>010</v>
          </cell>
          <cell r="F62" t="str">
            <v>Yes</v>
          </cell>
          <cell r="G62" t="str">
            <v>Private</v>
          </cell>
          <cell r="H62" t="str">
            <v>INTEGRIS HEALTH EDMOND, INC.</v>
          </cell>
          <cell r="I62" t="str">
            <v>4801 INTEGRIS PARKWAY</v>
          </cell>
          <cell r="J62" t="str">
            <v>EDMOND,OK 73034-8864</v>
          </cell>
          <cell r="K62" t="str">
            <v>OK</v>
          </cell>
          <cell r="L62" t="str">
            <v>370236</v>
          </cell>
          <cell r="M62">
            <v>43647</v>
          </cell>
          <cell r="N62">
            <v>44012</v>
          </cell>
          <cell r="Q62">
            <v>0.12472774891660157</v>
          </cell>
          <cell r="S62">
            <v>29742637.18</v>
          </cell>
          <cell r="T62">
            <v>1337293.97</v>
          </cell>
          <cell r="U62">
            <v>3876529.8488224638</v>
          </cell>
          <cell r="W62">
            <v>4151679.8319573696</v>
          </cell>
          <cell r="X62">
            <v>2275079.62</v>
          </cell>
          <cell r="Y62">
            <v>82460.600000000006</v>
          </cell>
          <cell r="Z62">
            <v>574903.98</v>
          </cell>
          <cell r="AA62">
            <v>8619.6967422186808</v>
          </cell>
          <cell r="AB62">
            <v>0</v>
          </cell>
          <cell r="AC62">
            <v>0</v>
          </cell>
          <cell r="AD62">
            <v>0</v>
          </cell>
          <cell r="AE62">
            <v>2941063.8967422186</v>
          </cell>
          <cell r="AF62">
            <v>2941063.8967422186</v>
          </cell>
          <cell r="AG62">
            <v>1210615.9352151509</v>
          </cell>
          <cell r="AH62">
            <v>1210615.9352151509</v>
          </cell>
        </row>
        <row r="63">
          <cell r="A63" t="str">
            <v>100699440A</v>
          </cell>
          <cell r="E63" t="str">
            <v>010</v>
          </cell>
          <cell r="F63" t="str">
            <v>Yes</v>
          </cell>
          <cell r="G63" t="str">
            <v>Private</v>
          </cell>
          <cell r="H63" t="str">
            <v>INTEGRIS MIAMI HOSPITAL</v>
          </cell>
          <cell r="I63" t="str">
            <v>200 SECOND AVE SW</v>
          </cell>
          <cell r="J63" t="str">
            <v>MIAMI,OK 74354-</v>
          </cell>
          <cell r="K63" t="str">
            <v>OK</v>
          </cell>
          <cell r="L63" t="str">
            <v>370004</v>
          </cell>
          <cell r="M63">
            <v>43647</v>
          </cell>
          <cell r="N63">
            <v>44012</v>
          </cell>
          <cell r="Q63">
            <v>0.18440735228941532</v>
          </cell>
          <cell r="S63">
            <v>23399305.979999997</v>
          </cell>
          <cell r="T63">
            <v>2019133.25</v>
          </cell>
          <cell r="U63">
            <v>4687347.0777337039</v>
          </cell>
          <cell r="W63">
            <v>5020047.5907395938</v>
          </cell>
          <cell r="X63">
            <v>2720833.4</v>
          </cell>
          <cell r="Y63">
            <v>101546.27</v>
          </cell>
          <cell r="Z63">
            <v>480877.18</v>
          </cell>
          <cell r="AA63">
            <v>19029.087937011929</v>
          </cell>
          <cell r="AB63">
            <v>0</v>
          </cell>
          <cell r="AC63">
            <v>0</v>
          </cell>
          <cell r="AD63">
            <v>0</v>
          </cell>
          <cell r="AE63">
            <v>3322285.9379370119</v>
          </cell>
          <cell r="AF63">
            <v>3322285.9379370119</v>
          </cell>
          <cell r="AG63">
            <v>1697761.6528025819</v>
          </cell>
          <cell r="AH63">
            <v>1697761.6528025819</v>
          </cell>
        </row>
        <row r="64">
          <cell r="A64" t="str">
            <v>100700200A</v>
          </cell>
          <cell r="E64" t="str">
            <v>010</v>
          </cell>
          <cell r="F64" t="str">
            <v>Yes</v>
          </cell>
          <cell r="G64" t="str">
            <v>Private</v>
          </cell>
          <cell r="H64" t="str">
            <v>INTEGRIS SOUTHWEST MEDICAL CENTER</v>
          </cell>
          <cell r="I64" t="str">
            <v>4401 S WESTERN</v>
          </cell>
          <cell r="J64" t="str">
            <v>OKLAHOMA CITY,OK 73109-3413</v>
          </cell>
          <cell r="K64" t="str">
            <v>OK</v>
          </cell>
          <cell r="L64" t="str">
            <v>370106</v>
          </cell>
          <cell r="M64">
            <v>43647</v>
          </cell>
          <cell r="N64">
            <v>44012</v>
          </cell>
          <cell r="Q64">
            <v>0.1094138915243793</v>
          </cell>
          <cell r="S64">
            <v>132223437.5</v>
          </cell>
          <cell r="T64">
            <v>6291567.4399999995</v>
          </cell>
          <cell r="U64">
            <v>15155465.725004023</v>
          </cell>
          <cell r="W64">
            <v>16231176.812306289</v>
          </cell>
          <cell r="X64">
            <v>12114472.59</v>
          </cell>
          <cell r="Y64">
            <v>541154.64</v>
          </cell>
          <cell r="Z64">
            <v>876909.11</v>
          </cell>
          <cell r="AA64">
            <v>58618.072659009726</v>
          </cell>
          <cell r="AB64">
            <v>0</v>
          </cell>
          <cell r="AC64">
            <v>0</v>
          </cell>
          <cell r="AD64">
            <v>0</v>
          </cell>
          <cell r="AE64">
            <v>13591154.41265901</v>
          </cell>
          <cell r="AF64">
            <v>13591154.41265901</v>
          </cell>
          <cell r="AG64">
            <v>2640022.3996472787</v>
          </cell>
          <cell r="AH64">
            <v>2640022.3996472787</v>
          </cell>
        </row>
        <row r="65">
          <cell r="A65" t="str">
            <v>100699490A</v>
          </cell>
          <cell r="E65" t="str">
            <v>010</v>
          </cell>
          <cell r="F65" t="str">
            <v>Yes</v>
          </cell>
          <cell r="G65" t="str">
            <v>Private</v>
          </cell>
          <cell r="H65" t="str">
            <v>JANE PHILLIPS EP HSP</v>
          </cell>
          <cell r="I65" t="str">
            <v>3500 SE FRANK PHILLIPS BLVD</v>
          </cell>
          <cell r="J65" t="str">
            <v>BARTLESVILLE,OK 74006-</v>
          </cell>
          <cell r="K65" t="str">
            <v>OK</v>
          </cell>
          <cell r="L65" t="str">
            <v>370018</v>
          </cell>
          <cell r="M65">
            <v>43647</v>
          </cell>
          <cell r="N65">
            <v>44012</v>
          </cell>
          <cell r="Q65">
            <v>0.2075946838573953</v>
          </cell>
          <cell r="S65">
            <v>35341843.870000005</v>
          </cell>
          <cell r="T65">
            <v>2578184.81</v>
          </cell>
          <cell r="U65">
            <v>7871996.3656879645</v>
          </cell>
          <cell r="W65">
            <v>8430738.2693302184</v>
          </cell>
          <cell r="X65">
            <v>4829794.6400000006</v>
          </cell>
          <cell r="Y65">
            <v>201557.57</v>
          </cell>
          <cell r="Z65">
            <v>289097.56</v>
          </cell>
          <cell r="AA65">
            <v>24978.771071355815</v>
          </cell>
          <cell r="AB65">
            <v>0</v>
          </cell>
          <cell r="AC65">
            <v>0</v>
          </cell>
          <cell r="AD65">
            <v>0</v>
          </cell>
          <cell r="AE65">
            <v>5345428.5410713563</v>
          </cell>
          <cell r="AF65">
            <v>5345428.5410713563</v>
          </cell>
          <cell r="AG65">
            <v>3085309.7282588622</v>
          </cell>
          <cell r="AH65">
            <v>3085309.7282588622</v>
          </cell>
        </row>
        <row r="66">
          <cell r="A66" t="str">
            <v>100700460A</v>
          </cell>
          <cell r="E66" t="str">
            <v>014</v>
          </cell>
          <cell r="F66" t="str">
            <v>No</v>
          </cell>
          <cell r="G66" t="str">
            <v>Private</v>
          </cell>
          <cell r="H66" t="str">
            <v>JANE PHILLIPS NOWATA</v>
          </cell>
          <cell r="I66" t="str">
            <v>237 S LOCUST STREET</v>
          </cell>
          <cell r="J66" t="str">
            <v>NOWATA,OK 74048-</v>
          </cell>
          <cell r="K66" t="str">
            <v>OK</v>
          </cell>
          <cell r="L66" t="str">
            <v>371305</v>
          </cell>
          <cell r="M66">
            <v>43647</v>
          </cell>
          <cell r="N66">
            <v>44012</v>
          </cell>
          <cell r="Q66">
            <v>0.43281829698237051</v>
          </cell>
          <cell r="S66">
            <v>1509546.92</v>
          </cell>
          <cell r="T66">
            <v>86785.97</v>
          </cell>
          <cell r="U66">
            <v>697762.21148712654</v>
          </cell>
          <cell r="W66">
            <v>747288.27428299957</v>
          </cell>
          <cell r="X66">
            <v>217426.19</v>
          </cell>
          <cell r="Y66">
            <v>5786.07</v>
          </cell>
          <cell r="Z66">
            <v>5489.22</v>
          </cell>
          <cell r="AA66">
            <v>59.276098815750828</v>
          </cell>
          <cell r="AB66">
            <v>0</v>
          </cell>
          <cell r="AC66">
            <v>0</v>
          </cell>
          <cell r="AD66">
            <v>0</v>
          </cell>
          <cell r="AE66">
            <v>228760.75609881576</v>
          </cell>
          <cell r="AF66">
            <v>228760.75609881576</v>
          </cell>
          <cell r="AG66">
            <v>518527.51818418381</v>
          </cell>
          <cell r="AH66">
            <v>518527.51818418381</v>
          </cell>
        </row>
        <row r="67">
          <cell r="A67" t="str">
            <v>100699420A</v>
          </cell>
          <cell r="E67" t="str">
            <v>010</v>
          </cell>
          <cell r="F67" t="str">
            <v>Yes</v>
          </cell>
          <cell r="G67" t="str">
            <v>Private</v>
          </cell>
          <cell r="H67" t="str">
            <v>ALLIANCEHEALTH PONCA CITY</v>
          </cell>
          <cell r="I67" t="str">
            <v>1900 N 14 STREET</v>
          </cell>
          <cell r="J67" t="str">
            <v>PONCA CITY,OK 74601-</v>
          </cell>
          <cell r="K67" t="str">
            <v>OK</v>
          </cell>
          <cell r="L67" t="str">
            <v>370006</v>
          </cell>
          <cell r="M67">
            <v>43617</v>
          </cell>
          <cell r="N67">
            <v>43982</v>
          </cell>
          <cell r="Q67">
            <v>0.11487516313861158</v>
          </cell>
          <cell r="S67">
            <v>42426594.269999996</v>
          </cell>
          <cell r="T67">
            <v>2472321.29</v>
          </cell>
          <cell r="U67">
            <v>5157770.2497017458</v>
          </cell>
          <cell r="W67">
            <v>5533295.9230948631</v>
          </cell>
          <cell r="X67">
            <v>3480973.33</v>
          </cell>
          <cell r="Y67">
            <v>99751.47</v>
          </cell>
          <cell r="Z67">
            <v>519161.8</v>
          </cell>
          <cell r="AA67">
            <v>25929.973962147022</v>
          </cell>
          <cell r="AB67">
            <v>0</v>
          </cell>
          <cell r="AC67">
            <v>0</v>
          </cell>
          <cell r="AD67">
            <v>0</v>
          </cell>
          <cell r="AE67">
            <v>4125816.5739621473</v>
          </cell>
          <cell r="AF67">
            <v>4125816.5739621473</v>
          </cell>
          <cell r="AG67">
            <v>1407479.3491327157</v>
          </cell>
          <cell r="AH67">
            <v>1407479.3491327157</v>
          </cell>
        </row>
        <row r="68">
          <cell r="A68" t="str">
            <v>200740630B</v>
          </cell>
          <cell r="E68" t="str">
            <v>014</v>
          </cell>
          <cell r="F68" t="str">
            <v>No</v>
          </cell>
          <cell r="G68" t="str">
            <v>Private</v>
          </cell>
          <cell r="H68" t="str">
            <v>MANGUM REGIONAL MEDICAL CENTER</v>
          </cell>
          <cell r="I68" t="str">
            <v>ONE WICKERSHAM DRIVE</v>
          </cell>
          <cell r="J68" t="str">
            <v>MANGUM,OK 73554-0000</v>
          </cell>
          <cell r="K68" t="str">
            <v>OK</v>
          </cell>
          <cell r="L68" t="str">
            <v>371330</v>
          </cell>
          <cell r="M68">
            <v>43831</v>
          </cell>
          <cell r="N68">
            <v>44196</v>
          </cell>
          <cell r="Q68">
            <v>0.42566511494018239</v>
          </cell>
          <cell r="S68">
            <v>952612.61</v>
          </cell>
          <cell r="T68">
            <v>79897.989999999991</v>
          </cell>
          <cell r="U68">
            <v>443854.83028389368</v>
          </cell>
          <cell r="W68">
            <v>470372.38990092097</v>
          </cell>
          <cell r="X68">
            <v>118452.68000000001</v>
          </cell>
          <cell r="Y68">
            <v>4421.2</v>
          </cell>
          <cell r="Z68">
            <v>6116.07</v>
          </cell>
          <cell r="AA68">
            <v>1257.33414838572</v>
          </cell>
          <cell r="AB68">
            <v>0</v>
          </cell>
          <cell r="AC68">
            <v>0</v>
          </cell>
          <cell r="AD68">
            <v>0</v>
          </cell>
          <cell r="AE68">
            <v>130247.28414838573</v>
          </cell>
          <cell r="AF68">
            <v>130247.28414838573</v>
          </cell>
          <cell r="AG68">
            <v>340125.10575253522</v>
          </cell>
          <cell r="AH68">
            <v>340125.10575253522</v>
          </cell>
        </row>
        <row r="69">
          <cell r="A69" t="str">
            <v>100774650D</v>
          </cell>
          <cell r="E69" t="str">
            <v>014</v>
          </cell>
          <cell r="F69" t="str">
            <v>No</v>
          </cell>
          <cell r="G69" t="str">
            <v>Private</v>
          </cell>
          <cell r="H69" t="str">
            <v>MARY HURLEY HOSPITAL</v>
          </cell>
          <cell r="I69" t="str">
            <v>6 N COVINGTON</v>
          </cell>
          <cell r="J69" t="str">
            <v>COALGATE,OK 74538-2002</v>
          </cell>
          <cell r="K69" t="str">
            <v>OK</v>
          </cell>
          <cell r="L69" t="str">
            <v>371319</v>
          </cell>
          <cell r="M69">
            <v>43647</v>
          </cell>
          <cell r="N69">
            <v>44012</v>
          </cell>
          <cell r="Q69">
            <v>0.68997044541215291</v>
          </cell>
          <cell r="S69">
            <v>621421.71</v>
          </cell>
          <cell r="T69">
            <v>23693</v>
          </cell>
          <cell r="U69">
            <v>449516.67363025807</v>
          </cell>
          <cell r="W69">
            <v>481422.65913577273</v>
          </cell>
          <cell r="X69">
            <v>197775.88</v>
          </cell>
          <cell r="Y69">
            <v>2205.94</v>
          </cell>
          <cell r="Z69">
            <v>3493.88</v>
          </cell>
          <cell r="AA69">
            <v>1005.4052798473016</v>
          </cell>
          <cell r="AB69">
            <v>0</v>
          </cell>
          <cell r="AC69">
            <v>0</v>
          </cell>
          <cell r="AD69">
            <v>0</v>
          </cell>
          <cell r="AE69">
            <v>204481.10527984731</v>
          </cell>
          <cell r="AF69">
            <v>204481.10527984731</v>
          </cell>
          <cell r="AG69">
            <v>276941.55385592545</v>
          </cell>
          <cell r="AH69">
            <v>276941.55385592545</v>
          </cell>
        </row>
        <row r="70">
          <cell r="A70" t="str">
            <v>100700920A</v>
          </cell>
          <cell r="E70" t="str">
            <v>014</v>
          </cell>
          <cell r="F70" t="str">
            <v>No</v>
          </cell>
          <cell r="G70" t="str">
            <v>Private</v>
          </cell>
          <cell r="H70" t="str">
            <v>MCCURTAIN MEM HSP</v>
          </cell>
          <cell r="I70" t="str">
            <v>1301 E LINCOLN RD</v>
          </cell>
          <cell r="J70" t="str">
            <v>IDABEL,OK 74745-7300</v>
          </cell>
          <cell r="K70" t="str">
            <v>OK</v>
          </cell>
          <cell r="L70" t="str">
            <v>371342</v>
          </cell>
          <cell r="M70">
            <v>43647</v>
          </cell>
          <cell r="N70">
            <v>44012</v>
          </cell>
          <cell r="Q70">
            <v>0.26172087730396754</v>
          </cell>
          <cell r="S70">
            <v>7349845.3700000001</v>
          </cell>
          <cell r="T70">
            <v>350432.1</v>
          </cell>
          <cell r="U70">
            <v>2035275.076344206</v>
          </cell>
          <cell r="W70">
            <v>2179735.6957048723</v>
          </cell>
          <cell r="X70">
            <v>1821835.32</v>
          </cell>
          <cell r="Y70">
            <v>61565.56</v>
          </cell>
          <cell r="Z70">
            <v>51665.440000000002</v>
          </cell>
          <cell r="AA70">
            <v>3716.9239258075145</v>
          </cell>
          <cell r="AB70">
            <v>0</v>
          </cell>
          <cell r="AC70">
            <v>0</v>
          </cell>
          <cell r="AD70">
            <v>0</v>
          </cell>
          <cell r="AE70">
            <v>1938783.2439258075</v>
          </cell>
          <cell r="AF70">
            <v>1938783.2439258075</v>
          </cell>
          <cell r="AG70">
            <v>240952.45177906472</v>
          </cell>
          <cell r="AH70">
            <v>240952.45177906472</v>
          </cell>
        </row>
        <row r="71">
          <cell r="A71" t="str">
            <v>100700030A</v>
          </cell>
          <cell r="E71" t="str">
            <v>010</v>
          </cell>
          <cell r="F71" t="str">
            <v>Yes</v>
          </cell>
          <cell r="G71" t="str">
            <v>Private</v>
          </cell>
          <cell r="H71" t="str">
            <v>ADAIR COUNTY HC INC</v>
          </cell>
          <cell r="I71" t="str">
            <v>1401 WEST LOCUST</v>
          </cell>
          <cell r="J71" t="str">
            <v>STILWELL,OK 74960-</v>
          </cell>
          <cell r="K71" t="str">
            <v>OK</v>
          </cell>
          <cell r="L71" t="str">
            <v>370178</v>
          </cell>
          <cell r="M71">
            <v>43647</v>
          </cell>
          <cell r="N71">
            <v>44012</v>
          </cell>
          <cell r="Q71">
            <v>0.43139216658168494</v>
          </cell>
          <cell r="S71">
            <v>4518946.5500000007</v>
          </cell>
          <cell r="T71">
            <v>226780.68</v>
          </cell>
          <cell r="U71">
            <v>2047269.5517553985</v>
          </cell>
          <cell r="W71">
            <v>2192581.5200894522</v>
          </cell>
          <cell r="X71">
            <v>1125566.01</v>
          </cell>
          <cell r="Y71">
            <v>31763.93</v>
          </cell>
          <cell r="Z71">
            <v>20725.68</v>
          </cell>
          <cell r="AA71">
            <v>2564.9346377923412</v>
          </cell>
          <cell r="AB71">
            <v>0</v>
          </cell>
          <cell r="AC71">
            <v>0</v>
          </cell>
          <cell r="AD71">
            <v>0</v>
          </cell>
          <cell r="AE71">
            <v>1180620.5546377923</v>
          </cell>
          <cell r="AF71">
            <v>1180620.5546377923</v>
          </cell>
          <cell r="AG71">
            <v>1011960.9654516599</v>
          </cell>
          <cell r="AH71">
            <v>1011960.9654516599</v>
          </cell>
        </row>
        <row r="72">
          <cell r="A72" t="str">
            <v>100699390A</v>
          </cell>
          <cell r="E72" t="str">
            <v>010</v>
          </cell>
          <cell r="F72" t="str">
            <v>Yes</v>
          </cell>
          <cell r="G72" t="str">
            <v>Private</v>
          </cell>
          <cell r="H72" t="str">
            <v>MERCY HOSPITAL OKLAHOMA CITY</v>
          </cell>
          <cell r="I72" t="str">
            <v>4300 WEST MEMORIAL RD</v>
          </cell>
          <cell r="J72" t="str">
            <v>OKLAHOMA CITY,OK 73120-8362</v>
          </cell>
          <cell r="K72" t="str">
            <v>OK</v>
          </cell>
          <cell r="L72" t="str">
            <v>370013</v>
          </cell>
          <cell r="M72">
            <v>43647</v>
          </cell>
          <cell r="N72">
            <v>44012</v>
          </cell>
          <cell r="Q72">
            <v>0.18212507835697325</v>
          </cell>
          <cell r="S72">
            <v>98074336.439999998</v>
          </cell>
          <cell r="T72">
            <v>6522404.1699999999</v>
          </cell>
          <cell r="U72">
            <v>19049689.579480257</v>
          </cell>
          <cell r="W72">
            <v>20401806.542570677</v>
          </cell>
          <cell r="X72">
            <v>13821177.449999999</v>
          </cell>
          <cell r="Y72">
            <v>622771.83000000007</v>
          </cell>
          <cell r="Z72">
            <v>1592910.42</v>
          </cell>
          <cell r="AA72">
            <v>76817.491361174325</v>
          </cell>
          <cell r="AB72">
            <v>0</v>
          </cell>
          <cell r="AC72">
            <v>0</v>
          </cell>
          <cell r="AD72">
            <v>0</v>
          </cell>
          <cell r="AE72">
            <v>16113677.191361174</v>
          </cell>
          <cell r="AF72">
            <v>16113677.191361174</v>
          </cell>
          <cell r="AG72">
            <v>4288129.3512095027</v>
          </cell>
          <cell r="AH72">
            <v>4288129.3512095027</v>
          </cell>
        </row>
        <row r="73">
          <cell r="A73" t="str">
            <v>200509290A</v>
          </cell>
          <cell r="E73" t="str">
            <v>010</v>
          </cell>
          <cell r="F73" t="str">
            <v>Yes</v>
          </cell>
          <cell r="G73" t="str">
            <v>Private</v>
          </cell>
          <cell r="H73" t="str">
            <v>MERCY HOSPITAL ADA, INC.</v>
          </cell>
          <cell r="I73" t="str">
            <v>430 NORTH MONTE VISTA</v>
          </cell>
          <cell r="J73" t="str">
            <v>ADA,OK 74820-4610</v>
          </cell>
          <cell r="K73" t="str">
            <v>OK</v>
          </cell>
          <cell r="L73" t="str">
            <v>370020</v>
          </cell>
          <cell r="M73">
            <v>43647</v>
          </cell>
          <cell r="N73">
            <v>44012</v>
          </cell>
          <cell r="Q73">
            <v>0.23536914975891723</v>
          </cell>
          <cell r="S73">
            <v>28208581.629999999</v>
          </cell>
          <cell r="T73">
            <v>2278010.96</v>
          </cell>
          <cell r="U73">
            <v>7175603.376954806</v>
          </cell>
          <cell r="W73">
            <v>7684916.4030757388</v>
          </cell>
          <cell r="X73">
            <v>4463866.83</v>
          </cell>
          <cell r="Y73">
            <v>177313.05</v>
          </cell>
          <cell r="Z73">
            <v>434254.14</v>
          </cell>
          <cell r="AA73">
            <v>19289.817338200468</v>
          </cell>
          <cell r="AB73">
            <v>0</v>
          </cell>
          <cell r="AC73">
            <v>0</v>
          </cell>
          <cell r="AD73">
            <v>0</v>
          </cell>
          <cell r="AE73">
            <v>5094723.8373381998</v>
          </cell>
          <cell r="AF73">
            <v>5094723.8373381998</v>
          </cell>
          <cell r="AG73">
            <v>2590192.565737539</v>
          </cell>
          <cell r="AH73">
            <v>2590192.565737539</v>
          </cell>
        </row>
        <row r="74">
          <cell r="A74" t="str">
            <v>100262320C</v>
          </cell>
          <cell r="E74" t="str">
            <v>010</v>
          </cell>
          <cell r="F74" t="str">
            <v>Yes</v>
          </cell>
          <cell r="G74" t="str">
            <v>Private</v>
          </cell>
          <cell r="H74" t="str">
            <v>MERCY HOSPITAL ARDMORE INC</v>
          </cell>
          <cell r="I74" t="str">
            <v>1011 14TH AVE NORTHWEST</v>
          </cell>
          <cell r="J74" t="str">
            <v>ARDMORE,OK 73401-</v>
          </cell>
          <cell r="K74" t="str">
            <v>OK</v>
          </cell>
          <cell r="L74" t="str">
            <v>370047</v>
          </cell>
          <cell r="M74">
            <v>43647</v>
          </cell>
          <cell r="N74">
            <v>44012</v>
          </cell>
          <cell r="Q74">
            <v>0.17456751436560733</v>
          </cell>
          <cell r="S74">
            <v>48132779.899999999</v>
          </cell>
          <cell r="T74">
            <v>4964129.1899999995</v>
          </cell>
          <cell r="U74">
            <v>9268995.4403379206</v>
          </cell>
          <cell r="W74">
            <v>9926894.1380252857</v>
          </cell>
          <cell r="X74">
            <v>7567308.3599999994</v>
          </cell>
          <cell r="Y74">
            <v>283391.51</v>
          </cell>
          <cell r="Z74">
            <v>494185.35</v>
          </cell>
          <cell r="AA74">
            <v>44566.254766503676</v>
          </cell>
          <cell r="AB74">
            <v>0</v>
          </cell>
          <cell r="AC74">
            <v>0</v>
          </cell>
          <cell r="AD74">
            <v>0</v>
          </cell>
          <cell r="AE74">
            <v>8389451.4747665022</v>
          </cell>
          <cell r="AF74">
            <v>8389451.4747665022</v>
          </cell>
          <cell r="AG74">
            <v>1537442.6632587835</v>
          </cell>
          <cell r="AH74">
            <v>1537442.6632587835</v>
          </cell>
        </row>
        <row r="75">
          <cell r="A75" t="str">
            <v>200226190A</v>
          </cell>
          <cell r="E75" t="str">
            <v>010</v>
          </cell>
          <cell r="F75" t="str">
            <v>No</v>
          </cell>
          <cell r="G75" t="str">
            <v>Private</v>
          </cell>
          <cell r="H75" t="str">
            <v>MERCY HOSPITAL HEALDTON INC</v>
          </cell>
          <cell r="I75" t="str">
            <v>3462 HOSPITAL ROAD</v>
          </cell>
          <cell r="J75" t="str">
            <v>HEALDTON,OK 73438-6124</v>
          </cell>
          <cell r="K75" t="str">
            <v>OK</v>
          </cell>
          <cell r="L75" t="str">
            <v>371310</v>
          </cell>
          <cell r="M75">
            <v>43647</v>
          </cell>
          <cell r="N75">
            <v>44012</v>
          </cell>
          <cell r="Q75">
            <v>0.41594427253908839</v>
          </cell>
          <cell r="S75">
            <v>1949916.76</v>
          </cell>
          <cell r="T75">
            <v>60737.96</v>
          </cell>
          <cell r="U75">
            <v>844599.88595457748</v>
          </cell>
          <cell r="W75">
            <v>904548.25561481284</v>
          </cell>
          <cell r="X75">
            <v>373283.36</v>
          </cell>
          <cell r="Y75">
            <v>3199.81</v>
          </cell>
          <cell r="Z75">
            <v>25092.57</v>
          </cell>
          <cell r="AA75">
            <v>3086.2670333111473</v>
          </cell>
          <cell r="AB75">
            <v>0</v>
          </cell>
          <cell r="AC75">
            <v>0</v>
          </cell>
          <cell r="AD75">
            <v>0</v>
          </cell>
          <cell r="AE75">
            <v>404662.00703331112</v>
          </cell>
          <cell r="AF75">
            <v>404662.00703331112</v>
          </cell>
          <cell r="AG75">
            <v>499886.24858150171</v>
          </cell>
          <cell r="AH75">
            <v>499886.24858150171</v>
          </cell>
        </row>
        <row r="76">
          <cell r="A76" t="str">
            <v>200521810B</v>
          </cell>
          <cell r="E76" t="str">
            <v>014</v>
          </cell>
          <cell r="F76" t="str">
            <v>No</v>
          </cell>
          <cell r="G76" t="str">
            <v>Private</v>
          </cell>
          <cell r="H76" t="str">
            <v>MERCY HOSPITAL KINGFISHER, INC</v>
          </cell>
          <cell r="I76" t="str">
            <v>1000 KINGFISHER REGIONAL DR</v>
          </cell>
          <cell r="J76" t="str">
            <v>KINGFISHER,OK 73750-0059</v>
          </cell>
          <cell r="K76" t="str">
            <v>OK</v>
          </cell>
          <cell r="L76" t="str">
            <v>371313</v>
          </cell>
          <cell r="M76">
            <v>43647</v>
          </cell>
          <cell r="N76">
            <v>44012</v>
          </cell>
          <cell r="Q76">
            <v>0.37974769633557276</v>
          </cell>
          <cell r="S76">
            <v>1626478.92</v>
          </cell>
          <cell r="T76">
            <v>309937.03999999998</v>
          </cell>
          <cell r="U76">
            <v>742629.46000701527</v>
          </cell>
          <cell r="W76">
            <v>795340.12943691353</v>
          </cell>
          <cell r="X76">
            <v>297121.55</v>
          </cell>
          <cell r="Y76">
            <v>25196.83</v>
          </cell>
          <cell r="Z76">
            <v>19950.03</v>
          </cell>
          <cell r="AA76">
            <v>13489.791206337646</v>
          </cell>
          <cell r="AB76">
            <v>0</v>
          </cell>
          <cell r="AC76">
            <v>0</v>
          </cell>
          <cell r="AD76">
            <v>0</v>
          </cell>
          <cell r="AE76">
            <v>355758.20120633766</v>
          </cell>
          <cell r="AF76">
            <v>355758.20120633766</v>
          </cell>
          <cell r="AG76">
            <v>439581.92823057587</v>
          </cell>
          <cell r="AH76">
            <v>439581.92823057587</v>
          </cell>
        </row>
        <row r="77">
          <cell r="A77" t="str">
            <v>200425410C</v>
          </cell>
          <cell r="E77" t="str">
            <v>014</v>
          </cell>
          <cell r="F77" t="str">
            <v>No</v>
          </cell>
          <cell r="G77" t="str">
            <v>Private</v>
          </cell>
          <cell r="H77" t="str">
            <v>MERCY HOSPITAL LOGAN COUNTY</v>
          </cell>
          <cell r="I77" t="str">
            <v>200 S ACADEMY RD</v>
          </cell>
          <cell r="J77" t="str">
            <v>GUTHRIE,OK 73044-8727</v>
          </cell>
          <cell r="K77" t="str">
            <v>OK</v>
          </cell>
          <cell r="L77" t="str">
            <v>371317</v>
          </cell>
          <cell r="M77">
            <v>43647</v>
          </cell>
          <cell r="N77">
            <v>44012</v>
          </cell>
          <cell r="Q77">
            <v>0.40282184247985231</v>
          </cell>
          <cell r="S77">
            <v>4394161.29</v>
          </cell>
          <cell r="T77">
            <v>959516.25</v>
          </cell>
          <cell r="U77">
            <v>2177928.3753877906</v>
          </cell>
          <cell r="W77">
            <v>2332514.3012356246</v>
          </cell>
          <cell r="X77">
            <v>856282.84</v>
          </cell>
          <cell r="Y77">
            <v>90255.69</v>
          </cell>
          <cell r="Z77">
            <v>42529.83</v>
          </cell>
          <cell r="AA77">
            <v>8895.5426601138206</v>
          </cell>
          <cell r="AB77">
            <v>0</v>
          </cell>
          <cell r="AC77">
            <v>0</v>
          </cell>
          <cell r="AD77">
            <v>0</v>
          </cell>
          <cell r="AE77">
            <v>997963.90266011376</v>
          </cell>
          <cell r="AF77">
            <v>997963.90266011376</v>
          </cell>
          <cell r="AG77">
            <v>1334550.3985755108</v>
          </cell>
          <cell r="AH77">
            <v>1334550.3985755108</v>
          </cell>
        </row>
        <row r="78">
          <cell r="A78" t="str">
            <v>200318440B</v>
          </cell>
          <cell r="E78" t="str">
            <v>014</v>
          </cell>
          <cell r="F78" t="str">
            <v>No</v>
          </cell>
          <cell r="G78" t="str">
            <v>Private</v>
          </cell>
          <cell r="H78" t="str">
            <v>MERCY HOSPITAL TISHOMINGO</v>
          </cell>
          <cell r="I78" t="str">
            <v>1000 S BYRD ST</v>
          </cell>
          <cell r="J78" t="str">
            <v>TISHOMINGO,OK 73460-3265</v>
          </cell>
          <cell r="K78" t="str">
            <v>OK</v>
          </cell>
          <cell r="L78" t="str">
            <v>371304</v>
          </cell>
          <cell r="M78">
            <v>43647</v>
          </cell>
          <cell r="N78">
            <v>44012</v>
          </cell>
          <cell r="Q78">
            <v>0.52036963582475226</v>
          </cell>
          <cell r="S78">
            <v>2679524.56</v>
          </cell>
          <cell r="T78">
            <v>-11040.71</v>
          </cell>
          <cell r="U78">
            <v>1402345.0891240973</v>
          </cell>
          <cell r="W78">
            <v>1501881.33485661</v>
          </cell>
          <cell r="X78">
            <v>644232.57000000007</v>
          </cell>
          <cell r="Y78">
            <v>2068.64</v>
          </cell>
          <cell r="Z78">
            <v>31411.74</v>
          </cell>
          <cell r="AA78">
            <v>187.94956282346936</v>
          </cell>
          <cell r="AB78">
            <v>0</v>
          </cell>
          <cell r="AC78">
            <v>0</v>
          </cell>
          <cell r="AD78">
            <v>0</v>
          </cell>
          <cell r="AE78">
            <v>677900.89956282359</v>
          </cell>
          <cell r="AF78">
            <v>677900.89956282359</v>
          </cell>
          <cell r="AG78">
            <v>823980.43529378646</v>
          </cell>
          <cell r="AH78">
            <v>823980.43529378646</v>
          </cell>
        </row>
        <row r="79">
          <cell r="A79" t="str">
            <v>200490030A</v>
          </cell>
          <cell r="E79" t="str">
            <v>014</v>
          </cell>
          <cell r="F79" t="str">
            <v>No</v>
          </cell>
          <cell r="G79" t="str">
            <v>Private</v>
          </cell>
          <cell r="H79" t="str">
            <v>MERCY HOSPITAL WATONGA INC</v>
          </cell>
          <cell r="I79" t="str">
            <v>500 N CLARENCE NASH BLVD</v>
          </cell>
          <cell r="J79" t="str">
            <v>WATONGA,OK 73772-</v>
          </cell>
          <cell r="K79" t="str">
            <v>OK</v>
          </cell>
          <cell r="L79" t="str">
            <v>371302</v>
          </cell>
          <cell r="M79">
            <v>43647</v>
          </cell>
          <cell r="N79">
            <v>44012</v>
          </cell>
          <cell r="Q79">
            <v>0.344639979237018</v>
          </cell>
          <cell r="S79">
            <v>1963020.4</v>
          </cell>
          <cell r="T79">
            <v>56036.19</v>
          </cell>
          <cell r="U79">
            <v>702736.51270639838</v>
          </cell>
          <cell r="W79">
            <v>752615.64356829086</v>
          </cell>
          <cell r="X79">
            <v>382854.33</v>
          </cell>
          <cell r="Y79">
            <v>6317.3700000000008</v>
          </cell>
          <cell r="Z79">
            <v>22302.190000000002</v>
          </cell>
          <cell r="AA79">
            <v>2177.5019760422715</v>
          </cell>
          <cell r="AB79">
            <v>0</v>
          </cell>
          <cell r="AC79">
            <v>0</v>
          </cell>
          <cell r="AD79">
            <v>0</v>
          </cell>
          <cell r="AE79">
            <v>413651.3919760423</v>
          </cell>
          <cell r="AF79">
            <v>413651.3919760423</v>
          </cell>
          <cell r="AG79">
            <v>338964.25159224856</v>
          </cell>
          <cell r="AH79">
            <v>338964.25159224856</v>
          </cell>
        </row>
        <row r="80">
          <cell r="A80" t="str">
            <v>200423910P</v>
          </cell>
          <cell r="B80" t="str">
            <v>100700490I</v>
          </cell>
          <cell r="C80" t="str">
            <v>100700490A</v>
          </cell>
          <cell r="E80" t="str">
            <v>010</v>
          </cell>
          <cell r="F80" t="str">
            <v>Yes</v>
          </cell>
          <cell r="G80" t="str">
            <v>Private</v>
          </cell>
          <cell r="H80" t="str">
            <v>MIDWEST REGIONAL MEDICAL</v>
          </cell>
          <cell r="I80" t="str">
            <v>2825 PARKLAWN DR</v>
          </cell>
          <cell r="J80" t="str">
            <v>MIDWEST CITY,OK 73110-</v>
          </cell>
          <cell r="K80" t="str">
            <v>OK</v>
          </cell>
          <cell r="L80" t="str">
            <v>370094</v>
          </cell>
          <cell r="M80">
            <v>44013</v>
          </cell>
          <cell r="N80">
            <v>44286</v>
          </cell>
          <cell r="Q80">
            <v>5.5063807276873489E-2</v>
          </cell>
          <cell r="S80">
            <v>77580950.939999998</v>
          </cell>
          <cell r="T80">
            <v>2693544.96</v>
          </cell>
          <cell r="U80">
            <v>4420219.3714857707</v>
          </cell>
          <cell r="W80">
            <v>4641725.3440787159</v>
          </cell>
          <cell r="X80">
            <v>3044471.29</v>
          </cell>
          <cell r="Y80">
            <v>100355.62</v>
          </cell>
          <cell r="Z80">
            <v>130136.59</v>
          </cell>
          <cell r="AA80">
            <v>4635.8451203100622</v>
          </cell>
          <cell r="AB80">
            <v>0</v>
          </cell>
          <cell r="AC80">
            <v>0</v>
          </cell>
          <cell r="AD80">
            <v>0</v>
          </cell>
          <cell r="AE80">
            <v>3279599.3451203099</v>
          </cell>
          <cell r="AF80">
            <v>3279599.3451203099</v>
          </cell>
          <cell r="AG80">
            <v>1362125.998958406</v>
          </cell>
          <cell r="AH80">
            <v>1362125.998958406</v>
          </cell>
        </row>
        <row r="81">
          <cell r="A81" t="str">
            <v>200035670C</v>
          </cell>
          <cell r="E81" t="str">
            <v>010</v>
          </cell>
          <cell r="F81" t="str">
            <v>Yes</v>
          </cell>
          <cell r="G81" t="str">
            <v>Private</v>
          </cell>
          <cell r="H81" t="str">
            <v>NORTHWEST SURGICAL HOSPITAL</v>
          </cell>
          <cell r="I81" t="str">
            <v>9204 N MAY AVE</v>
          </cell>
          <cell r="J81" t="str">
            <v>OKLAHOMA CITY,OK 73120-4419</v>
          </cell>
          <cell r="K81" t="str">
            <v>OK</v>
          </cell>
          <cell r="L81" t="str">
            <v>370192</v>
          </cell>
          <cell r="M81">
            <v>43831</v>
          </cell>
          <cell r="N81">
            <v>44196</v>
          </cell>
          <cell r="Q81">
            <v>0.17568918205018108</v>
          </cell>
          <cell r="S81">
            <v>1844913.21</v>
          </cell>
          <cell r="T81">
            <v>92335.209999999992</v>
          </cell>
          <cell r="U81">
            <v>340353.59033780562</v>
          </cell>
          <cell r="W81">
            <v>360687.59597852232</v>
          </cell>
          <cell r="X81">
            <v>267049.24</v>
          </cell>
          <cell r="Y81">
            <v>9585.49</v>
          </cell>
          <cell r="Z81">
            <v>33599.24</v>
          </cell>
          <cell r="AA81">
            <v>1282.3714240381703</v>
          </cell>
          <cell r="AB81">
            <v>0</v>
          </cell>
          <cell r="AC81">
            <v>0</v>
          </cell>
          <cell r="AD81">
            <v>0</v>
          </cell>
          <cell r="AE81">
            <v>311516.34142403817</v>
          </cell>
          <cell r="AF81">
            <v>311516.34142403817</v>
          </cell>
          <cell r="AG81">
            <v>49171.254554484156</v>
          </cell>
          <cell r="AH81">
            <v>49171.254554484156</v>
          </cell>
        </row>
        <row r="82">
          <cell r="A82" t="str">
            <v>200280620A</v>
          </cell>
          <cell r="E82" t="str">
            <v>010</v>
          </cell>
          <cell r="F82" t="str">
            <v>Yes</v>
          </cell>
          <cell r="G82" t="str">
            <v>Private</v>
          </cell>
          <cell r="H82" t="str">
            <v>OKLAHOMA HEART HOSPITAL SOUTH, LLC</v>
          </cell>
          <cell r="I82" t="str">
            <v>5200 EAST I-240 SERVICE RD</v>
          </cell>
          <cell r="J82" t="str">
            <v>OKLAHOMA CITY,OK 73135-2610</v>
          </cell>
          <cell r="K82" t="str">
            <v>OK</v>
          </cell>
          <cell r="L82" t="str">
            <v>370234</v>
          </cell>
          <cell r="M82">
            <v>43831</v>
          </cell>
          <cell r="N82">
            <v>44196</v>
          </cell>
          <cell r="Q82">
            <v>0.21782233390707376</v>
          </cell>
          <cell r="S82">
            <v>19590795.32</v>
          </cell>
          <cell r="T82">
            <v>743678.87</v>
          </cell>
          <cell r="U82">
            <v>4429302.6268389532</v>
          </cell>
          <cell r="W82">
            <v>4693925.8514953861</v>
          </cell>
          <cell r="X82">
            <v>2416114.5699999998</v>
          </cell>
          <cell r="Y82">
            <v>151464.28999999998</v>
          </cell>
          <cell r="Z82">
            <v>63493.07</v>
          </cell>
          <cell r="AA82">
            <v>12927.385299594425</v>
          </cell>
          <cell r="AB82">
            <v>0</v>
          </cell>
          <cell r="AC82">
            <v>0</v>
          </cell>
          <cell r="AD82">
            <v>0</v>
          </cell>
          <cell r="AE82">
            <v>2643999.3152995943</v>
          </cell>
          <cell r="AF82">
            <v>2643999.3152995943</v>
          </cell>
          <cell r="AG82">
            <v>2049926.5361957918</v>
          </cell>
          <cell r="AH82">
            <v>2049926.5361957918</v>
          </cell>
        </row>
        <row r="83">
          <cell r="A83" t="str">
            <v>200242900A</v>
          </cell>
          <cell r="E83" t="str">
            <v>010</v>
          </cell>
          <cell r="F83" t="str">
            <v>Yes</v>
          </cell>
          <cell r="G83" t="str">
            <v>Private</v>
          </cell>
          <cell r="H83" t="str">
            <v>OKLAHOMA STATE UNIVERSITY MEDICAL TRUST</v>
          </cell>
          <cell r="I83" t="str">
            <v>744 W 9TH ST</v>
          </cell>
          <cell r="J83" t="str">
            <v>TULSA,OK 74127-</v>
          </cell>
          <cell r="K83" t="str">
            <v>OK</v>
          </cell>
          <cell r="L83" t="str">
            <v>370078</v>
          </cell>
          <cell r="M83">
            <v>43647</v>
          </cell>
          <cell r="N83">
            <v>44012</v>
          </cell>
          <cell r="Q83">
            <v>0.18272249438064428</v>
          </cell>
          <cell r="S83">
            <v>56016930.700000003</v>
          </cell>
          <cell r="T83">
            <v>2194270.67</v>
          </cell>
          <cell r="U83">
            <v>10636495.915220378</v>
          </cell>
          <cell r="W83">
            <v>11391457.642801652</v>
          </cell>
          <cell r="X83">
            <v>8046587.0999999996</v>
          </cell>
          <cell r="Y83">
            <v>257312.15999999997</v>
          </cell>
          <cell r="Z83">
            <v>329739.57999999996</v>
          </cell>
          <cell r="AA83">
            <v>23876.716851215726</v>
          </cell>
          <cell r="AB83">
            <v>0</v>
          </cell>
          <cell r="AC83">
            <v>0</v>
          </cell>
          <cell r="AD83">
            <v>0</v>
          </cell>
          <cell r="AE83">
            <v>8657515.5568512157</v>
          </cell>
          <cell r="AF83">
            <v>8657515.5568512157</v>
          </cell>
          <cell r="AG83">
            <v>2733942.0859504361</v>
          </cell>
          <cell r="AH83">
            <v>2733942.0859504361</v>
          </cell>
        </row>
        <row r="84">
          <cell r="A84" t="str">
            <v>200231400B</v>
          </cell>
          <cell r="E84" t="str">
            <v>014</v>
          </cell>
          <cell r="F84" t="str">
            <v>No</v>
          </cell>
          <cell r="G84" t="str">
            <v>Private</v>
          </cell>
          <cell r="H84" t="str">
            <v>PRAGUE HEALTHCARE AUTHORITY</v>
          </cell>
          <cell r="I84" t="str">
            <v xml:space="preserve">1322 KLABZUBA AVE  </v>
          </cell>
          <cell r="J84" t="str">
            <v>PRAGUE,OK  74864-1090</v>
          </cell>
          <cell r="K84" t="str">
            <v>OK</v>
          </cell>
          <cell r="L84">
            <v>371301</v>
          </cell>
          <cell r="M84">
            <v>43739</v>
          </cell>
          <cell r="N84">
            <v>44104</v>
          </cell>
          <cell r="Q84">
            <v>0.48003669726381898</v>
          </cell>
          <cell r="S84">
            <v>946010.57</v>
          </cell>
          <cell r="T84">
            <v>40773.78</v>
          </cell>
          <cell r="U84">
            <v>478382.25801845203</v>
          </cell>
          <cell r="W84">
            <v>509653.37872366112</v>
          </cell>
          <cell r="X84">
            <v>167449.19999999998</v>
          </cell>
          <cell r="Y84">
            <v>4900.7299999999996</v>
          </cell>
          <cell r="Z84">
            <v>5459.94</v>
          </cell>
          <cell r="AA84">
            <v>1267.211318759754</v>
          </cell>
          <cell r="AB84">
            <v>0</v>
          </cell>
          <cell r="AC84">
            <v>0</v>
          </cell>
          <cell r="AD84">
            <v>0</v>
          </cell>
          <cell r="AE84">
            <v>179077.08131875974</v>
          </cell>
          <cell r="AF84">
            <v>179077.08131875974</v>
          </cell>
          <cell r="AG84">
            <v>330576.29740490136</v>
          </cell>
          <cell r="AH84">
            <v>330576.29740490136</v>
          </cell>
        </row>
        <row r="85">
          <cell r="A85" t="str">
            <v>100699570A</v>
          </cell>
          <cell r="E85" t="str">
            <v>010</v>
          </cell>
          <cell r="F85" t="str">
            <v>Yes</v>
          </cell>
          <cell r="G85" t="str">
            <v>Private</v>
          </cell>
          <cell r="H85" t="str">
            <v>SAINT FRANCIS HOSPITAL</v>
          </cell>
          <cell r="I85" t="str">
            <v>6161 S YALE</v>
          </cell>
          <cell r="J85" t="str">
            <v>TULSA,OK 74136-0001</v>
          </cell>
          <cell r="K85" t="str">
            <v>OK</v>
          </cell>
          <cell r="L85" t="str">
            <v>370091</v>
          </cell>
          <cell r="M85">
            <v>43647</v>
          </cell>
          <cell r="N85">
            <v>44012</v>
          </cell>
          <cell r="Q85">
            <v>0.15631892405480438</v>
          </cell>
          <cell r="S85">
            <v>230184989.31</v>
          </cell>
          <cell r="T85">
            <v>15026467.969999999</v>
          </cell>
          <cell r="U85">
            <v>38357330.355696656</v>
          </cell>
          <cell r="W85">
            <v>41079873.251548685</v>
          </cell>
          <cell r="X85">
            <v>34348384.049999997</v>
          </cell>
          <cell r="Y85">
            <v>1210574.1200000001</v>
          </cell>
          <cell r="Z85">
            <v>2955724.39</v>
          </cell>
          <cell r="AA85">
            <v>570739.61014802556</v>
          </cell>
          <cell r="AB85">
            <v>0</v>
          </cell>
          <cell r="AC85">
            <v>0</v>
          </cell>
          <cell r="AD85">
            <v>167217.03999999998</v>
          </cell>
          <cell r="AE85">
            <v>39252639.210148022</v>
          </cell>
          <cell r="AF85">
            <v>39252639.210148022</v>
          </cell>
          <cell r="AG85">
            <v>1827234.0414006636</v>
          </cell>
          <cell r="AH85">
            <v>1827234.0414006636</v>
          </cell>
        </row>
        <row r="86">
          <cell r="A86" t="str">
            <v>200700900A</v>
          </cell>
          <cell r="E86" t="str">
            <v>010</v>
          </cell>
          <cell r="F86" t="str">
            <v>Yes</v>
          </cell>
          <cell r="G86" t="str">
            <v>Private</v>
          </cell>
          <cell r="H86" t="str">
            <v>SAINT FRANCIS HOSPITAL MUSKOGEE INC</v>
          </cell>
          <cell r="I86" t="str">
            <v>300 ROCKEFELLER DRIVE</v>
          </cell>
          <cell r="J86" t="str">
            <v>MUSKOGEE,OK 74401-5075</v>
          </cell>
          <cell r="K86" t="str">
            <v>OK</v>
          </cell>
          <cell r="L86" t="str">
            <v>370025</v>
          </cell>
          <cell r="M86">
            <v>43647</v>
          </cell>
          <cell r="N86">
            <v>44012</v>
          </cell>
          <cell r="Q86">
            <v>0.14199796686159569</v>
          </cell>
          <cell r="S86">
            <v>72732114.269999996</v>
          </cell>
          <cell r="T86">
            <v>5672344.3700000001</v>
          </cell>
          <cell r="U86">
            <v>11161463.724137301</v>
          </cell>
          <cell r="W86">
            <v>11953686.8399712</v>
          </cell>
          <cell r="X86">
            <v>10143489.58</v>
          </cell>
          <cell r="Y86">
            <v>383028.17000000004</v>
          </cell>
          <cell r="Z86">
            <v>524915.42999999993</v>
          </cell>
          <cell r="AA86">
            <v>157820.16123977178</v>
          </cell>
          <cell r="AB86">
            <v>0</v>
          </cell>
          <cell r="AC86">
            <v>0</v>
          </cell>
          <cell r="AD86">
            <v>198524</v>
          </cell>
          <cell r="AE86">
            <v>11407777.341239771</v>
          </cell>
          <cell r="AF86">
            <v>11407777.341239771</v>
          </cell>
          <cell r="AG86">
            <v>545909.49873142876</v>
          </cell>
          <cell r="AH86">
            <v>545909.49873142876</v>
          </cell>
        </row>
        <row r="87">
          <cell r="A87" t="str">
            <v>200031310A</v>
          </cell>
          <cell r="E87" t="str">
            <v>010</v>
          </cell>
          <cell r="F87" t="str">
            <v>Yes</v>
          </cell>
          <cell r="G87" t="str">
            <v>Private</v>
          </cell>
          <cell r="H87" t="str">
            <v>SAINT FRANCIS HOSPITAL SOUTH</v>
          </cell>
          <cell r="I87" t="str">
            <v>10501 E 91ST S</v>
          </cell>
          <cell r="J87" t="str">
            <v>TULSA,OK 74133-</v>
          </cell>
          <cell r="K87" t="str">
            <v>OK</v>
          </cell>
          <cell r="L87" t="str">
            <v>370218</v>
          </cell>
          <cell r="M87">
            <v>43647</v>
          </cell>
          <cell r="N87">
            <v>44012</v>
          </cell>
          <cell r="Q87">
            <v>0.13949006634945738</v>
          </cell>
          <cell r="S87">
            <v>47668917.349999994</v>
          </cell>
          <cell r="T87">
            <v>4233110.66</v>
          </cell>
          <cell r="U87">
            <v>7239817.3307862934</v>
          </cell>
          <cell r="W87">
            <v>7753688.1622132072</v>
          </cell>
          <cell r="X87">
            <v>5876350.3200000003</v>
          </cell>
          <cell r="Y87">
            <v>287767.69</v>
          </cell>
          <cell r="Z87">
            <v>824527.64999999991</v>
          </cell>
          <cell r="AA87">
            <v>117220.62342759495</v>
          </cell>
          <cell r="AB87">
            <v>0</v>
          </cell>
          <cell r="AC87">
            <v>0</v>
          </cell>
          <cell r="AD87">
            <v>0</v>
          </cell>
          <cell r="AE87">
            <v>7105866.2834275952</v>
          </cell>
          <cell r="AF87">
            <v>7105866.2834275952</v>
          </cell>
          <cell r="AG87">
            <v>647821.87878561206</v>
          </cell>
          <cell r="AH87">
            <v>647821.87878561206</v>
          </cell>
        </row>
        <row r="88">
          <cell r="A88" t="str">
            <v>200196450C</v>
          </cell>
          <cell r="E88" t="str">
            <v>010</v>
          </cell>
          <cell r="F88" t="str">
            <v>Yes</v>
          </cell>
          <cell r="G88" t="str">
            <v>Private</v>
          </cell>
          <cell r="H88" t="str">
            <v>ALLIANCEHEALTH SEMINOLE</v>
          </cell>
          <cell r="I88" t="str">
            <v>2401 W WRANGLER BLVD</v>
          </cell>
          <cell r="J88" t="str">
            <v>SEMINOLE,OK 74868-1917</v>
          </cell>
          <cell r="K88" t="str">
            <v>OK</v>
          </cell>
          <cell r="L88" t="str">
            <v>370229</v>
          </cell>
          <cell r="M88">
            <v>43922</v>
          </cell>
          <cell r="N88">
            <v>44286</v>
          </cell>
          <cell r="Q88">
            <v>0.23348335167101991</v>
          </cell>
          <cell r="S88">
            <v>11401478.560000001</v>
          </cell>
          <cell r="T88">
            <v>801082.21</v>
          </cell>
          <cell r="U88">
            <v>2849094.7875489015</v>
          </cell>
          <cell r="W88">
            <v>3001049.5017515146</v>
          </cell>
          <cell r="X88">
            <v>1454655.3599999999</v>
          </cell>
          <cell r="Y88">
            <v>48411.44</v>
          </cell>
          <cell r="Z88">
            <v>108436.1</v>
          </cell>
          <cell r="AA88">
            <v>8924.9693049483758</v>
          </cell>
          <cell r="AB88">
            <v>0</v>
          </cell>
          <cell r="AC88">
            <v>0</v>
          </cell>
          <cell r="AD88">
            <v>0</v>
          </cell>
          <cell r="AE88">
            <v>1620427.8693049483</v>
          </cell>
          <cell r="AF88">
            <v>1620427.8693049483</v>
          </cell>
          <cell r="AG88">
            <v>1380621.6324465664</v>
          </cell>
          <cell r="AH88">
            <v>1380621.6324465664</v>
          </cell>
        </row>
        <row r="89">
          <cell r="A89" t="str">
            <v>100697950B</v>
          </cell>
          <cell r="B89" t="str">
            <v>100697950I</v>
          </cell>
          <cell r="C89" t="str">
            <v>100697950M</v>
          </cell>
          <cell r="E89" t="str">
            <v>010</v>
          </cell>
          <cell r="F89" t="str">
            <v>Yes</v>
          </cell>
          <cell r="G89" t="str">
            <v>Private</v>
          </cell>
          <cell r="H89" t="str">
            <v>SOUTHWESTERN MEDICAL CENT</v>
          </cell>
          <cell r="I89" t="str">
            <v>5602 SW LEE BLVD</v>
          </cell>
          <cell r="J89" t="str">
            <v>LAWTON,OK 73505-9635</v>
          </cell>
          <cell r="K89" t="str">
            <v>OK</v>
          </cell>
          <cell r="L89" t="str">
            <v>370097</v>
          </cell>
          <cell r="M89">
            <v>43770</v>
          </cell>
          <cell r="N89">
            <v>44135</v>
          </cell>
          <cell r="Q89">
            <v>0.11780292983018111</v>
          </cell>
          <cell r="S89">
            <v>29564890.760000002</v>
          </cell>
          <cell r="T89">
            <v>1023374.6599999999</v>
          </cell>
          <cell r="U89">
            <v>3603387.2848992152</v>
          </cell>
          <cell r="W89">
            <v>3832123.7207288402</v>
          </cell>
          <cell r="X89">
            <v>3083414.44</v>
          </cell>
          <cell r="Y89">
            <v>40426.949999999997</v>
          </cell>
          <cell r="Z89">
            <v>373592.61000000004</v>
          </cell>
          <cell r="AA89">
            <v>41541.181729168289</v>
          </cell>
          <cell r="AB89">
            <v>0</v>
          </cell>
          <cell r="AC89">
            <v>0</v>
          </cell>
          <cell r="AD89">
            <v>0</v>
          </cell>
          <cell r="AE89">
            <v>3538975.1817291682</v>
          </cell>
          <cell r="AF89">
            <v>3538975.1817291682</v>
          </cell>
          <cell r="AG89">
            <v>293148.53899967205</v>
          </cell>
          <cell r="AH89">
            <v>293148.53899967205</v>
          </cell>
        </row>
        <row r="90">
          <cell r="A90" t="str">
            <v>100699540A</v>
          </cell>
          <cell r="E90" t="str">
            <v>010</v>
          </cell>
          <cell r="F90" t="str">
            <v>Yes</v>
          </cell>
          <cell r="G90" t="str">
            <v>Private</v>
          </cell>
          <cell r="H90" t="str">
            <v>ST ANTHONY HSP</v>
          </cell>
          <cell r="I90" t="str">
            <v>1000 N LEE AVE</v>
          </cell>
          <cell r="J90" t="str">
            <v>OKLAHOMA CITY,OK 73102-1036</v>
          </cell>
          <cell r="K90" t="str">
            <v>OK</v>
          </cell>
          <cell r="L90" t="str">
            <v>370037</v>
          </cell>
          <cell r="M90">
            <v>43831</v>
          </cell>
          <cell r="N90">
            <v>44196</v>
          </cell>
          <cell r="Q90">
            <v>0.15751171298641789</v>
          </cell>
          <cell r="S90">
            <v>210391799.63999999</v>
          </cell>
          <cell r="T90">
            <v>10728487.939999999</v>
          </cell>
          <cell r="U90">
            <v>34829035.272775143</v>
          </cell>
          <cell r="W90">
            <v>36909853.045240596</v>
          </cell>
          <cell r="X90">
            <v>21313145.149999999</v>
          </cell>
          <cell r="Y90">
            <v>472815.45999999996</v>
          </cell>
          <cell r="Z90">
            <v>1151427.08</v>
          </cell>
          <cell r="AA90">
            <v>602822.17204633076</v>
          </cell>
          <cell r="AB90">
            <v>0</v>
          </cell>
          <cell r="AC90">
            <v>0</v>
          </cell>
          <cell r="AD90">
            <v>0</v>
          </cell>
          <cell r="AE90">
            <v>23540209.862046327</v>
          </cell>
          <cell r="AF90">
            <v>23540209.862046327</v>
          </cell>
          <cell r="AG90">
            <v>13369643.183194268</v>
          </cell>
          <cell r="AH90">
            <v>13369643.183194268</v>
          </cell>
        </row>
        <row r="91">
          <cell r="A91" t="str">
            <v>100740840B</v>
          </cell>
          <cell r="E91" t="str">
            <v>010</v>
          </cell>
          <cell r="F91" t="str">
            <v>Yes</v>
          </cell>
          <cell r="G91" t="str">
            <v>Private</v>
          </cell>
          <cell r="H91" t="str">
            <v>UNITY HEALTH CENTER</v>
          </cell>
          <cell r="I91" t="str">
            <v>1102 W MACARTHUR</v>
          </cell>
          <cell r="J91" t="str">
            <v>SHAWNEE,OK 74804-1743</v>
          </cell>
          <cell r="K91" t="str">
            <v>OK</v>
          </cell>
          <cell r="L91" t="str">
            <v>370149</v>
          </cell>
          <cell r="M91">
            <v>43831</v>
          </cell>
          <cell r="N91">
            <v>44196</v>
          </cell>
          <cell r="Q91">
            <v>0.21704698638278042</v>
          </cell>
          <cell r="S91">
            <v>39593318.609999999</v>
          </cell>
          <cell r="T91">
            <v>1823727.51</v>
          </cell>
          <cell r="U91">
            <v>8989445.045222627</v>
          </cell>
          <cell r="W91">
            <v>9526508.3565720003</v>
          </cell>
          <cell r="X91">
            <v>6320685.0899999999</v>
          </cell>
          <cell r="Y91">
            <v>167668.97999999998</v>
          </cell>
          <cell r="Z91">
            <v>783752.78</v>
          </cell>
          <cell r="AA91">
            <v>142913.12685047567</v>
          </cell>
          <cell r="AB91">
            <v>0</v>
          </cell>
          <cell r="AC91">
            <v>0</v>
          </cell>
          <cell r="AD91">
            <v>0</v>
          </cell>
          <cell r="AE91">
            <v>7415019.9768504761</v>
          </cell>
          <cell r="AF91">
            <v>7415019.9768504761</v>
          </cell>
          <cell r="AG91">
            <v>2111488.3797215242</v>
          </cell>
          <cell r="AH91">
            <v>2111488.3797215242</v>
          </cell>
        </row>
        <row r="92">
          <cell r="A92" t="str">
            <v>200310990A</v>
          </cell>
          <cell r="E92" t="str">
            <v>010</v>
          </cell>
          <cell r="F92" t="str">
            <v>Yes</v>
          </cell>
          <cell r="G92" t="str">
            <v>Private</v>
          </cell>
          <cell r="H92" t="str">
            <v>ST JOHN BROKEN ARROW, INC</v>
          </cell>
          <cell r="I92" t="str">
            <v>1000 W BOISE CIRCLE</v>
          </cell>
          <cell r="J92" t="str">
            <v>BROKEN ARROW,OK 74012-4900</v>
          </cell>
          <cell r="K92" t="str">
            <v>OK</v>
          </cell>
          <cell r="L92" t="str">
            <v>370235</v>
          </cell>
          <cell r="M92">
            <v>43647</v>
          </cell>
          <cell r="N92">
            <v>44012</v>
          </cell>
          <cell r="Q92">
            <v>0.1904862394120376</v>
          </cell>
          <cell r="S92">
            <v>26607264.810000002</v>
          </cell>
          <cell r="T92">
            <v>445328.11</v>
          </cell>
          <cell r="U92">
            <v>5153146.691675514</v>
          </cell>
          <cell r="W92">
            <v>5518908.927644602</v>
          </cell>
          <cell r="X92">
            <v>3262780.46</v>
          </cell>
          <cell r="Y92">
            <v>63225.59</v>
          </cell>
          <cell r="Z92">
            <v>323697.29000000004</v>
          </cell>
          <cell r="AA92">
            <v>46344.834133264572</v>
          </cell>
          <cell r="AB92">
            <v>0</v>
          </cell>
          <cell r="AC92">
            <v>0</v>
          </cell>
          <cell r="AD92">
            <v>0</v>
          </cell>
          <cell r="AE92">
            <v>3696048.1741332645</v>
          </cell>
          <cell r="AF92">
            <v>3696048.1741332645</v>
          </cell>
          <cell r="AG92">
            <v>1822860.7535113376</v>
          </cell>
          <cell r="AH92">
            <v>1822860.7535113376</v>
          </cell>
        </row>
        <row r="93">
          <cell r="A93" t="str">
            <v>100699400A</v>
          </cell>
          <cell r="E93" t="str">
            <v>010</v>
          </cell>
          <cell r="F93" t="str">
            <v>Yes</v>
          </cell>
          <cell r="G93" t="str">
            <v>Private</v>
          </cell>
          <cell r="H93" t="str">
            <v>ST JOHN MED CTR</v>
          </cell>
          <cell r="I93" t="str">
            <v>1923 S UTICA AVENUE</v>
          </cell>
          <cell r="J93" t="str">
            <v>TULSA,OK 74104-6520</v>
          </cell>
          <cell r="K93" t="str">
            <v>OK</v>
          </cell>
          <cell r="L93" t="str">
            <v>370114</v>
          </cell>
          <cell r="M93">
            <v>43647</v>
          </cell>
          <cell r="N93">
            <v>44012</v>
          </cell>
          <cell r="Q93">
            <v>0.2001176229102849</v>
          </cell>
          <cell r="S93">
            <v>79412161.710000008</v>
          </cell>
          <cell r="T93">
            <v>3960542.3</v>
          </cell>
          <cell r="U93">
            <v>16684347.342083979</v>
          </cell>
          <cell r="W93">
            <v>17868576.038578033</v>
          </cell>
          <cell r="X93">
            <v>9644883.9600000009</v>
          </cell>
          <cell r="Y93">
            <v>453811.32</v>
          </cell>
          <cell r="Z93">
            <v>914396.01</v>
          </cell>
          <cell r="AA93">
            <v>198334.74056661752</v>
          </cell>
          <cell r="AB93">
            <v>0</v>
          </cell>
          <cell r="AC93">
            <v>0</v>
          </cell>
          <cell r="AD93">
            <v>0</v>
          </cell>
          <cell r="AE93">
            <v>11211426.030566618</v>
          </cell>
          <cell r="AF93">
            <v>11211426.030566618</v>
          </cell>
          <cell r="AG93">
            <v>6657150.0080114156</v>
          </cell>
          <cell r="AH93">
            <v>6657150.0080114156</v>
          </cell>
        </row>
        <row r="94">
          <cell r="A94" t="str">
            <v>200106410A</v>
          </cell>
          <cell r="E94" t="str">
            <v>010</v>
          </cell>
          <cell r="F94" t="str">
            <v>Yes</v>
          </cell>
          <cell r="G94" t="str">
            <v>Private</v>
          </cell>
          <cell r="H94" t="str">
            <v>ST JOHN OWASSO</v>
          </cell>
          <cell r="I94" t="str">
            <v>12451 E 100TH ST NORTH</v>
          </cell>
          <cell r="J94" t="str">
            <v>OWASSO,OK 74055-4600</v>
          </cell>
          <cell r="K94" t="str">
            <v>OK</v>
          </cell>
          <cell r="L94" t="str">
            <v>370227</v>
          </cell>
          <cell r="M94">
            <v>43647</v>
          </cell>
          <cell r="N94">
            <v>44012</v>
          </cell>
          <cell r="Q94">
            <v>0.19375645312738524</v>
          </cell>
          <cell r="S94">
            <v>15225612.859999999</v>
          </cell>
          <cell r="T94">
            <v>720309.87</v>
          </cell>
          <cell r="U94">
            <v>3089625.4300081516</v>
          </cell>
          <cell r="W94">
            <v>3308922.1768700774</v>
          </cell>
          <cell r="X94">
            <v>1936432.6</v>
          </cell>
          <cell r="Y94">
            <v>69300.160000000003</v>
          </cell>
          <cell r="Z94">
            <v>204861.11</v>
          </cell>
          <cell r="AA94">
            <v>18393.876038760547</v>
          </cell>
          <cell r="AB94">
            <v>0</v>
          </cell>
          <cell r="AC94">
            <v>0</v>
          </cell>
          <cell r="AD94">
            <v>0</v>
          </cell>
          <cell r="AE94">
            <v>2228987.7460387605</v>
          </cell>
          <cell r="AF94">
            <v>2228987.7460387605</v>
          </cell>
          <cell r="AG94">
            <v>1079934.4308313169</v>
          </cell>
          <cell r="AH94">
            <v>1079934.4308313169</v>
          </cell>
        </row>
        <row r="95">
          <cell r="A95" t="str">
            <v>100699550A</v>
          </cell>
          <cell r="E95" t="str">
            <v>014</v>
          </cell>
          <cell r="F95" t="str">
            <v>No</v>
          </cell>
          <cell r="G95" t="str">
            <v>Private</v>
          </cell>
          <cell r="H95" t="str">
            <v>ST JOHN SAPULPA INC</v>
          </cell>
          <cell r="I95" t="str">
            <v>1004 E BRYAN</v>
          </cell>
          <cell r="J95" t="str">
            <v>SAPULPA,OK 74066-4513</v>
          </cell>
          <cell r="K95" t="str">
            <v>OK</v>
          </cell>
          <cell r="L95" t="str">
            <v>371312</v>
          </cell>
          <cell r="M95">
            <v>43647</v>
          </cell>
          <cell r="N95">
            <v>44012</v>
          </cell>
          <cell r="Q95">
            <v>0.21382306476162199</v>
          </cell>
          <cell r="S95">
            <v>19291262.629999999</v>
          </cell>
          <cell r="T95">
            <v>449120.57</v>
          </cell>
          <cell r="U95">
            <v>4262736.6328232242</v>
          </cell>
          <cell r="W95">
            <v>4565298.9652108196</v>
          </cell>
          <cell r="X95">
            <v>2374627.2999999998</v>
          </cell>
          <cell r="Y95">
            <v>42973.380000000005</v>
          </cell>
          <cell r="Z95">
            <v>113693.06999999999</v>
          </cell>
          <cell r="AA95">
            <v>17792.4627190971</v>
          </cell>
          <cell r="AB95">
            <v>0</v>
          </cell>
          <cell r="AC95">
            <v>0</v>
          </cell>
          <cell r="AD95">
            <v>0</v>
          </cell>
          <cell r="AE95">
            <v>2549086.2127190968</v>
          </cell>
          <cell r="AF95">
            <v>2549086.2127190968</v>
          </cell>
          <cell r="AG95">
            <v>2016212.7524917228</v>
          </cell>
          <cell r="AH95">
            <v>2016212.7524917228</v>
          </cell>
        </row>
        <row r="96">
          <cell r="A96" t="str">
            <v>100690020A</v>
          </cell>
          <cell r="E96" t="str">
            <v>010</v>
          </cell>
          <cell r="F96" t="str">
            <v>Yes</v>
          </cell>
          <cell r="G96" t="str">
            <v>Private</v>
          </cell>
          <cell r="H96" t="str">
            <v>ST MARY'S REGIONAL MEDICAL CENTER</v>
          </cell>
          <cell r="I96" t="str">
            <v>305 S 5TH ST</v>
          </cell>
          <cell r="J96" t="str">
            <v>ENID,OK 73701-5832</v>
          </cell>
          <cell r="K96" t="str">
            <v>OK</v>
          </cell>
          <cell r="L96" t="str">
            <v>370026</v>
          </cell>
          <cell r="M96">
            <v>43831</v>
          </cell>
          <cell r="N96">
            <v>44196</v>
          </cell>
          <cell r="Q96">
            <v>0.13140444887848551</v>
          </cell>
          <cell r="S96">
            <v>31995115.460000001</v>
          </cell>
          <cell r="T96">
            <v>1730014.25</v>
          </cell>
          <cell r="U96">
            <v>4431632.0828979881</v>
          </cell>
          <cell r="W96">
            <v>4696394.4780347357</v>
          </cell>
          <cell r="X96">
            <v>2695224.92</v>
          </cell>
          <cell r="Y96">
            <v>64094.119999999995</v>
          </cell>
          <cell r="Z96">
            <v>136172.45000000001</v>
          </cell>
          <cell r="AA96">
            <v>4159.1299869045015</v>
          </cell>
          <cell r="AB96">
            <v>0</v>
          </cell>
          <cell r="AC96">
            <v>0</v>
          </cell>
          <cell r="AD96">
            <v>0</v>
          </cell>
          <cell r="AE96">
            <v>2899650.6199869048</v>
          </cell>
          <cell r="AF96">
            <v>2899650.6199869048</v>
          </cell>
          <cell r="AG96">
            <v>1796743.8580478309</v>
          </cell>
          <cell r="AH96">
            <v>1796743.8580478309</v>
          </cell>
        </row>
        <row r="97">
          <cell r="A97" t="str">
            <v>200125010B</v>
          </cell>
          <cell r="E97" t="str">
            <v>014</v>
          </cell>
          <cell r="F97" t="str">
            <v>No</v>
          </cell>
          <cell r="G97" t="str">
            <v>Private</v>
          </cell>
          <cell r="H97" t="str">
            <v>STROUD REGIONAL MEDICAL CENTER</v>
          </cell>
          <cell r="I97" t="str">
            <v>2308 W HIGHWAY 66</v>
          </cell>
          <cell r="J97" t="str">
            <v>STROUD,OK 74079-</v>
          </cell>
          <cell r="K97" t="str">
            <v>OK</v>
          </cell>
          <cell r="L97" t="str">
            <v>371316</v>
          </cell>
          <cell r="M97">
            <v>43739</v>
          </cell>
          <cell r="N97">
            <v>44104</v>
          </cell>
          <cell r="Q97">
            <v>0.95566743270618604</v>
          </cell>
          <cell r="S97">
            <v>1734996.92</v>
          </cell>
          <cell r="T97">
            <v>48539.97</v>
          </cell>
          <cell r="U97">
            <v>1721342.3551990257</v>
          </cell>
          <cell r="W97">
            <v>1833863.8872211045</v>
          </cell>
          <cell r="X97">
            <v>339982.13</v>
          </cell>
          <cell r="Y97">
            <v>7971.81</v>
          </cell>
          <cell r="Z97">
            <v>27902.45</v>
          </cell>
          <cell r="AA97">
            <v>90.707817953950638</v>
          </cell>
          <cell r="AB97">
            <v>0</v>
          </cell>
          <cell r="AC97">
            <v>0</v>
          </cell>
          <cell r="AD97">
            <v>0</v>
          </cell>
          <cell r="AE97">
            <v>375947.09781795397</v>
          </cell>
          <cell r="AF97">
            <v>375947.09781795397</v>
          </cell>
          <cell r="AG97">
            <v>1457916.7894031506</v>
          </cell>
          <cell r="AH97">
            <v>1457916.7894031506</v>
          </cell>
        </row>
        <row r="98">
          <cell r="A98" t="str">
            <v>200292720A</v>
          </cell>
          <cell r="E98" t="str">
            <v>010</v>
          </cell>
          <cell r="F98" t="str">
            <v>Yes</v>
          </cell>
          <cell r="G98" t="str">
            <v>Private</v>
          </cell>
          <cell r="H98" t="str">
            <v>SUMMIT MEDICAL CENTER, LLC</v>
          </cell>
          <cell r="I98" t="str">
            <v>1800 S RENAISSANCE BLVD</v>
          </cell>
          <cell r="J98" t="str">
            <v>EDMOND,OK 73013-3023</v>
          </cell>
          <cell r="K98" t="str">
            <v>OK</v>
          </cell>
          <cell r="L98" t="str">
            <v>370225</v>
          </cell>
          <cell r="M98">
            <v>43831</v>
          </cell>
          <cell r="N98">
            <v>44196</v>
          </cell>
          <cell r="Q98">
            <v>0.10817523023158405</v>
          </cell>
          <cell r="S98">
            <v>30155394.390000001</v>
          </cell>
          <cell r="T98">
            <v>970532.73</v>
          </cell>
          <cell r="U98">
            <v>3367054.332377506</v>
          </cell>
          <cell r="W98">
            <v>3568214.8423025245</v>
          </cell>
          <cell r="X98">
            <v>2479427.66</v>
          </cell>
          <cell r="Y98">
            <v>163463.29999999999</v>
          </cell>
          <cell r="Z98">
            <v>250723.47</v>
          </cell>
          <cell r="AA98">
            <v>43346.938570457911</v>
          </cell>
          <cell r="AB98">
            <v>0</v>
          </cell>
          <cell r="AC98">
            <v>0</v>
          </cell>
          <cell r="AD98">
            <v>0</v>
          </cell>
          <cell r="AE98">
            <v>2936961.3685704581</v>
          </cell>
          <cell r="AF98">
            <v>2936961.3685704581</v>
          </cell>
          <cell r="AG98">
            <v>631253.47373206634</v>
          </cell>
          <cell r="AH98">
            <v>631253.47373206634</v>
          </cell>
        </row>
        <row r="99">
          <cell r="A99" t="str">
            <v>200125200B</v>
          </cell>
          <cell r="E99" t="str">
            <v>014</v>
          </cell>
          <cell r="F99" t="str">
            <v>No</v>
          </cell>
          <cell r="G99" t="str">
            <v>Private</v>
          </cell>
          <cell r="H99" t="str">
            <v>THE PHYSICIANS HOSPITAL IN ANADARKO</v>
          </cell>
          <cell r="I99" t="str">
            <v>1002 E CENTRAL BLVD</v>
          </cell>
          <cell r="J99" t="str">
            <v>ANADARKO,OK 73005-</v>
          </cell>
          <cell r="K99" t="str">
            <v>OK</v>
          </cell>
          <cell r="L99" t="str">
            <v>371314</v>
          </cell>
          <cell r="M99">
            <v>43739</v>
          </cell>
          <cell r="N99">
            <v>44104</v>
          </cell>
          <cell r="Q99">
            <v>0.69296707520092427</v>
          </cell>
          <cell r="S99">
            <v>2964138.84</v>
          </cell>
          <cell r="T99">
            <v>29934.240000000002</v>
          </cell>
          <cell r="U99">
            <v>2095334.5264307586</v>
          </cell>
          <cell r="W99">
            <v>2232303.3579363804</v>
          </cell>
          <cell r="X99">
            <v>430326.64999999997</v>
          </cell>
          <cell r="Y99">
            <v>6846.1100000000006</v>
          </cell>
          <cell r="Z99">
            <v>7986.03</v>
          </cell>
          <cell r="AA99">
            <v>619.18873925096341</v>
          </cell>
          <cell r="AB99">
            <v>0</v>
          </cell>
          <cell r="AC99">
            <v>0</v>
          </cell>
          <cell r="AD99">
            <v>0</v>
          </cell>
          <cell r="AE99">
            <v>445777.97873925092</v>
          </cell>
          <cell r="AF99">
            <v>445777.97873925092</v>
          </cell>
          <cell r="AG99">
            <v>1786525.3791971295</v>
          </cell>
          <cell r="AH99">
            <v>1786525.3791971295</v>
          </cell>
        </row>
        <row r="100">
          <cell r="A100" t="str">
            <v>200019120A</v>
          </cell>
          <cell r="E100" t="str">
            <v>010</v>
          </cell>
          <cell r="F100" t="str">
            <v>Yes</v>
          </cell>
          <cell r="G100" t="str">
            <v>Private</v>
          </cell>
          <cell r="H100" t="str">
            <v>ALLIANCEHEALTH WOODWARD</v>
          </cell>
          <cell r="I100" t="str">
            <v>900 17TH ST</v>
          </cell>
          <cell r="J100" t="str">
            <v>WOODWARD,OK 73801-2448</v>
          </cell>
          <cell r="K100" t="str">
            <v>OK</v>
          </cell>
          <cell r="L100" t="str">
            <v>370002</v>
          </cell>
          <cell r="M100">
            <v>43617</v>
          </cell>
          <cell r="N100">
            <v>43982</v>
          </cell>
          <cell r="Q100">
            <v>0.14992467178824778</v>
          </cell>
          <cell r="S100">
            <v>19032977.600000001</v>
          </cell>
          <cell r="T100">
            <v>2766051.06</v>
          </cell>
          <cell r="U100">
            <v>3268212.2171531068</v>
          </cell>
          <cell r="W100">
            <v>3506163.4119952973</v>
          </cell>
          <cell r="X100">
            <v>1496141.76</v>
          </cell>
          <cell r="Y100">
            <v>105819.57</v>
          </cell>
          <cell r="Z100">
            <v>494965.76000000001</v>
          </cell>
          <cell r="AA100">
            <v>40322.044246266974</v>
          </cell>
          <cell r="AB100">
            <v>0</v>
          </cell>
          <cell r="AC100">
            <v>0</v>
          </cell>
          <cell r="AD100">
            <v>0</v>
          </cell>
          <cell r="AE100">
            <v>2137249.1342462669</v>
          </cell>
          <cell r="AF100">
            <v>2137249.1342462669</v>
          </cell>
          <cell r="AG100">
            <v>1368914.2777490304</v>
          </cell>
          <cell r="AH100">
            <v>1368914.2777490304</v>
          </cell>
        </row>
        <row r="101">
          <cell r="A101" t="str">
            <v>200702430B</v>
          </cell>
          <cell r="E101" t="str">
            <v>010</v>
          </cell>
          <cell r="F101" t="str">
            <v>Yes</v>
          </cell>
          <cell r="G101" t="str">
            <v xml:space="preserve">Private </v>
          </cell>
          <cell r="H101" t="str">
            <v>SAINT FRANCIS HOSPITAL VINITA</v>
          </cell>
          <cell r="I101" t="str">
            <v>735 N FOREMAN ST</v>
          </cell>
          <cell r="J101" t="str">
            <v>VINITA,OK 74301-1422</v>
          </cell>
          <cell r="K101" t="str">
            <v>OK</v>
          </cell>
          <cell r="L101" t="str">
            <v>370237</v>
          </cell>
          <cell r="M101">
            <v>43647</v>
          </cell>
          <cell r="N101">
            <v>44012</v>
          </cell>
          <cell r="Q101">
            <v>0.15647022340419323</v>
          </cell>
          <cell r="S101">
            <v>13193780.280000001</v>
          </cell>
          <cell r="T101">
            <v>1575415.01</v>
          </cell>
          <cell r="U101">
            <v>2310939.2865264583</v>
          </cell>
          <cell r="W101">
            <v>2474966.1173547297</v>
          </cell>
          <cell r="X101">
            <v>1484984.9500000002</v>
          </cell>
          <cell r="Y101">
            <v>91373.41</v>
          </cell>
          <cell r="Z101">
            <v>94990.81</v>
          </cell>
          <cell r="AA101">
            <v>40686.161380951424</v>
          </cell>
          <cell r="AB101">
            <v>0</v>
          </cell>
          <cell r="AC101">
            <v>0</v>
          </cell>
          <cell r="AD101">
            <v>0</v>
          </cell>
          <cell r="AE101">
            <v>1712035.3313809517</v>
          </cell>
          <cell r="AF101">
            <v>1712035.3313809517</v>
          </cell>
          <cell r="AG101">
            <v>762930.78597377799</v>
          </cell>
          <cell r="AH101">
            <v>762930.78597377799</v>
          </cell>
        </row>
        <row r="102">
          <cell r="A102" t="str">
            <v>200697510F</v>
          </cell>
          <cell r="E102" t="str">
            <v>010</v>
          </cell>
          <cell r="F102" t="str">
            <v>Yes</v>
          </cell>
          <cell r="G102" t="str">
            <v>Private-Combined</v>
          </cell>
          <cell r="H102" t="str">
            <v>CENTER FOR ORTHOPAEDIC RECONSTRUCTION &amp; EXCELLENCE</v>
          </cell>
          <cell r="I102" t="str">
            <v>3029 W. MAIN STREET</v>
          </cell>
          <cell r="J102" t="str">
            <v>JENKS,OK 74037-3465</v>
          </cell>
          <cell r="K102" t="str">
            <v>OK</v>
          </cell>
          <cell r="L102" t="str">
            <v>370041</v>
          </cell>
          <cell r="M102">
            <v>43831</v>
          </cell>
          <cell r="N102">
            <v>44196</v>
          </cell>
          <cell r="Q102">
            <v>0.16031321002366905</v>
          </cell>
          <cell r="S102">
            <v>19505168.130000003</v>
          </cell>
          <cell r="T102">
            <v>64755.53</v>
          </cell>
          <cell r="U102">
            <v>3137317.2818527506</v>
          </cell>
          <cell r="W102">
            <v>3324752.434931627</v>
          </cell>
          <cell r="X102">
            <v>1980804.2400000002</v>
          </cell>
          <cell r="Y102">
            <v>5465.98</v>
          </cell>
          <cell r="Z102">
            <v>130071.2</v>
          </cell>
          <cell r="AA102">
            <v>134155.28920645034</v>
          </cell>
          <cell r="AB102">
            <v>0</v>
          </cell>
          <cell r="AC102">
            <v>0</v>
          </cell>
          <cell r="AD102">
            <v>0</v>
          </cell>
          <cell r="AE102">
            <v>2250496.7092064507</v>
          </cell>
          <cell r="AF102">
            <v>2250496.7092064507</v>
          </cell>
          <cell r="AG102">
            <v>1074255.7257251763</v>
          </cell>
          <cell r="AH102">
            <v>1074255.7257251763</v>
          </cell>
        </row>
        <row r="103">
          <cell r="A103" t="str">
            <v>100746230B</v>
          </cell>
          <cell r="B103" t="str">
            <v>100746230C</v>
          </cell>
          <cell r="E103" t="str">
            <v>010</v>
          </cell>
          <cell r="F103" t="str">
            <v>Yes</v>
          </cell>
          <cell r="G103" t="str">
            <v>Private - Specialty</v>
          </cell>
          <cell r="H103" t="str">
            <v>COMMUNITY HOSPITAL</v>
          </cell>
          <cell r="I103" t="str">
            <v>3100 SW 89TH ST</v>
          </cell>
          <cell r="J103" t="str">
            <v>OKLAHOMA CITY,OK 73159-7900</v>
          </cell>
          <cell r="K103" t="str">
            <v>OK</v>
          </cell>
          <cell r="L103" t="str">
            <v>370203</v>
          </cell>
          <cell r="M103">
            <v>43831</v>
          </cell>
          <cell r="N103">
            <v>44196</v>
          </cell>
          <cell r="Q103">
            <v>0.16908260959845184</v>
          </cell>
          <cell r="S103">
            <v>19923986.219999999</v>
          </cell>
          <cell r="T103">
            <v>489009.98</v>
          </cell>
          <cell r="U103">
            <v>3451482.6672192807</v>
          </cell>
          <cell r="W103">
            <v>3657687.2439196934</v>
          </cell>
          <cell r="X103">
            <v>2903877.08</v>
          </cell>
          <cell r="Y103">
            <v>110274.1</v>
          </cell>
          <cell r="Z103">
            <v>269589.52</v>
          </cell>
          <cell r="AA103">
            <v>21488.856427578179</v>
          </cell>
          <cell r="AB103">
            <v>0</v>
          </cell>
          <cell r="AC103">
            <v>0</v>
          </cell>
          <cell r="AD103">
            <v>0</v>
          </cell>
          <cell r="AE103">
            <v>3305229.5564275784</v>
          </cell>
          <cell r="AF103">
            <v>3305229.5564275784</v>
          </cell>
          <cell r="AG103">
            <v>352457.68749211496</v>
          </cell>
          <cell r="AH103">
            <v>352457.68749211496</v>
          </cell>
        </row>
        <row r="104">
          <cell r="A104" t="str">
            <v>100745350B</v>
          </cell>
          <cell r="E104" t="str">
            <v>010</v>
          </cell>
          <cell r="F104" t="str">
            <v>Yes</v>
          </cell>
          <cell r="G104" t="str">
            <v>Private - Specialty</v>
          </cell>
          <cell r="H104" t="str">
            <v>LAKESIDE WOMENS CENTER OF</v>
          </cell>
          <cell r="I104" t="str">
            <v>11200 N PORTLAND AVE</v>
          </cell>
          <cell r="J104" t="str">
            <v>OKLAHOMA CITY,OK 73120-</v>
          </cell>
          <cell r="K104" t="str">
            <v>OK</v>
          </cell>
          <cell r="L104" t="str">
            <v>370199</v>
          </cell>
          <cell r="M104">
            <v>43647</v>
          </cell>
          <cell r="N104">
            <v>44012</v>
          </cell>
          <cell r="Q104">
            <v>0.14877444398760403</v>
          </cell>
          <cell r="S104">
            <v>3269184.0700000003</v>
          </cell>
          <cell r="T104">
            <v>514524.57</v>
          </cell>
          <cell r="U104">
            <v>562919.14912709349</v>
          </cell>
          <cell r="W104">
            <v>602874.26373447466</v>
          </cell>
          <cell r="X104">
            <v>276351.05000000005</v>
          </cell>
          <cell r="Y104">
            <v>26609.29</v>
          </cell>
          <cell r="Z104">
            <v>105242.95000000001</v>
          </cell>
          <cell r="AA104">
            <v>4448.9591186389589</v>
          </cell>
          <cell r="AB104">
            <v>0</v>
          </cell>
          <cell r="AC104">
            <v>0</v>
          </cell>
          <cell r="AD104">
            <v>0</v>
          </cell>
          <cell r="AE104">
            <v>412652.24911863898</v>
          </cell>
          <cell r="AF104">
            <v>412652.24911863898</v>
          </cell>
          <cell r="AG104">
            <v>190222.01461583568</v>
          </cell>
          <cell r="AH104">
            <v>190222.01461583568</v>
          </cell>
        </row>
        <row r="105">
          <cell r="A105" t="str">
            <v>200069370A</v>
          </cell>
          <cell r="E105" t="str">
            <v>010</v>
          </cell>
          <cell r="F105" t="str">
            <v>Yes</v>
          </cell>
          <cell r="G105" t="str">
            <v>Private - Specialty</v>
          </cell>
          <cell r="H105" t="str">
            <v>MCBRIDE CLINIC ORTHOPEDIC HOSPITAL</v>
          </cell>
          <cell r="I105" t="str">
            <v>9600 BROADWAY EXTENSION</v>
          </cell>
          <cell r="J105" t="str">
            <v>OKLAHOMA CITY,OK 73114-7408</v>
          </cell>
          <cell r="K105" t="str">
            <v>OK</v>
          </cell>
          <cell r="L105" t="str">
            <v>370222</v>
          </cell>
          <cell r="M105">
            <v>43831</v>
          </cell>
          <cell r="N105">
            <v>44196</v>
          </cell>
          <cell r="Q105">
            <v>0.33428008933284292</v>
          </cell>
          <cell r="S105">
            <v>2372323.84</v>
          </cell>
          <cell r="T105">
            <v>149698.75</v>
          </cell>
          <cell r="U105">
            <v>843061.93668464781</v>
          </cell>
          <cell r="W105">
            <v>893429.63270044327</v>
          </cell>
          <cell r="X105">
            <v>457776.5</v>
          </cell>
          <cell r="Y105">
            <v>28107.8</v>
          </cell>
          <cell r="Z105">
            <v>178499.27</v>
          </cell>
          <cell r="AA105">
            <v>10845.246400976304</v>
          </cell>
          <cell r="AB105">
            <v>0</v>
          </cell>
          <cell r="AC105">
            <v>0</v>
          </cell>
          <cell r="AD105">
            <v>0</v>
          </cell>
          <cell r="AE105">
            <v>675228.81640097627</v>
          </cell>
          <cell r="AF105">
            <v>675228.81640097627</v>
          </cell>
          <cell r="AG105">
            <v>218200.816299467</v>
          </cell>
          <cell r="AH105">
            <v>218200.816299467</v>
          </cell>
        </row>
        <row r="106">
          <cell r="A106" t="str">
            <v>200066700A</v>
          </cell>
          <cell r="E106" t="str">
            <v>010</v>
          </cell>
          <cell r="F106" t="str">
            <v>Yes</v>
          </cell>
          <cell r="G106" t="str">
            <v>Private - Specialty</v>
          </cell>
          <cell r="H106" t="str">
            <v>OKLAHOMA CENTER FOR ORTHOPAEDIC &amp; MULTI SPECIALTY</v>
          </cell>
          <cell r="I106" t="str">
            <v>8100 S WALKER AVE  BLDG C</v>
          </cell>
          <cell r="J106" t="str">
            <v>OKLAHOMA CITY,OK 73139-</v>
          </cell>
          <cell r="K106" t="str">
            <v>OK</v>
          </cell>
          <cell r="L106" t="str">
            <v>370212</v>
          </cell>
          <cell r="M106">
            <v>43831</v>
          </cell>
          <cell r="N106">
            <v>44196</v>
          </cell>
          <cell r="Q106">
            <v>0.20098795543176162</v>
          </cell>
          <cell r="S106">
            <v>21912506.359999999</v>
          </cell>
          <cell r="T106">
            <v>2299314.9400000004</v>
          </cell>
          <cell r="U106">
            <v>4866284.4603661764</v>
          </cell>
          <cell r="W106">
            <v>5157014.6259219665</v>
          </cell>
          <cell r="X106">
            <v>3615986</v>
          </cell>
          <cell r="Y106">
            <v>178928.3</v>
          </cell>
          <cell r="Z106">
            <v>593184.73</v>
          </cell>
          <cell r="AA106">
            <v>7987.8585994260402</v>
          </cell>
          <cell r="AB106">
            <v>0</v>
          </cell>
          <cell r="AC106">
            <v>0</v>
          </cell>
          <cell r="AD106">
            <v>0</v>
          </cell>
          <cell r="AE106">
            <v>4396086.8885994256</v>
          </cell>
          <cell r="AF106">
            <v>4396086.8885994256</v>
          </cell>
          <cell r="AG106">
            <v>760927.73732254095</v>
          </cell>
          <cell r="AH106">
            <v>760927.73732254095</v>
          </cell>
        </row>
        <row r="107">
          <cell r="A107" t="str">
            <v>200009170A</v>
          </cell>
          <cell r="E107" t="str">
            <v>010</v>
          </cell>
          <cell r="F107" t="str">
            <v>Yes</v>
          </cell>
          <cell r="G107" t="str">
            <v>Private - Specialty</v>
          </cell>
          <cell r="H107" t="str">
            <v>OKLAHOMA HEART HOSPITAL LLC</v>
          </cell>
          <cell r="I107" t="str">
            <v>4050 W MEMORIAL ROAD</v>
          </cell>
          <cell r="J107" t="str">
            <v>OKLAHOMA CITY,OK 73120-8382</v>
          </cell>
          <cell r="K107" t="str">
            <v>OK</v>
          </cell>
          <cell r="L107" t="str">
            <v>370215</v>
          </cell>
          <cell r="M107">
            <v>43831</v>
          </cell>
          <cell r="N107">
            <v>44196</v>
          </cell>
          <cell r="Q107">
            <v>0.18513467066104572</v>
          </cell>
          <cell r="S107">
            <v>22800241.75</v>
          </cell>
          <cell r="T107">
            <v>2152255.8200000003</v>
          </cell>
          <cell r="U107">
            <v>4619572.4197924938</v>
          </cell>
          <cell r="W107">
            <v>4895563.0786497388</v>
          </cell>
          <cell r="X107">
            <v>2412069.9299999997</v>
          </cell>
          <cell r="Y107">
            <v>291693.87</v>
          </cell>
          <cell r="Z107">
            <v>76635.75</v>
          </cell>
          <cell r="AA107">
            <v>17986.50596426077</v>
          </cell>
          <cell r="AB107">
            <v>0</v>
          </cell>
          <cell r="AC107">
            <v>0</v>
          </cell>
          <cell r="AD107">
            <v>0</v>
          </cell>
          <cell r="AE107">
            <v>2798386.0559642604</v>
          </cell>
          <cell r="AF107">
            <v>2798386.0559642604</v>
          </cell>
          <cell r="AG107">
            <v>2097177.0226854784</v>
          </cell>
          <cell r="AH107">
            <v>2097177.0226854784</v>
          </cell>
        </row>
        <row r="108">
          <cell r="A108" t="str">
            <v>100747140B</v>
          </cell>
          <cell r="E108" t="str">
            <v>010</v>
          </cell>
          <cell r="F108" t="str">
            <v>Yes</v>
          </cell>
          <cell r="G108" t="str">
            <v>Private - Specialty</v>
          </cell>
          <cell r="H108" t="str">
            <v>OKLAHOMA SPINE HOSPITAL</v>
          </cell>
          <cell r="I108" t="str">
            <v xml:space="preserve">14101 PARKWAY COMMONS DR  </v>
          </cell>
          <cell r="J108" t="str">
            <v>OKLAHOMA CITY,OK  73134-6012</v>
          </cell>
          <cell r="K108" t="str">
            <v>OK</v>
          </cell>
          <cell r="L108">
            <v>370206</v>
          </cell>
          <cell r="M108">
            <v>43831</v>
          </cell>
          <cell r="N108">
            <v>44196</v>
          </cell>
          <cell r="Q108">
            <v>0.20844200112886374</v>
          </cell>
          <cell r="S108">
            <v>1674365.12</v>
          </cell>
          <cell r="T108">
            <v>17841.28</v>
          </cell>
          <cell r="U108">
            <v>352726.88833907049</v>
          </cell>
          <cell r="W108">
            <v>373800.12141412182</v>
          </cell>
          <cell r="X108">
            <v>125360.14</v>
          </cell>
          <cell r="Y108">
            <v>1056.1400000000001</v>
          </cell>
          <cell r="Z108">
            <v>7690.88</v>
          </cell>
          <cell r="AA108">
            <v>9712.0045577001947</v>
          </cell>
          <cell r="AB108">
            <v>0</v>
          </cell>
          <cell r="AC108">
            <v>0</v>
          </cell>
          <cell r="AD108">
            <v>0</v>
          </cell>
          <cell r="AE108">
            <v>143819.16455770019</v>
          </cell>
          <cell r="AF108">
            <v>143819.16455770019</v>
          </cell>
          <cell r="AG108">
            <v>229980.95685642163</v>
          </cell>
          <cell r="AH108">
            <v>229980.95685642163</v>
          </cell>
        </row>
        <row r="109">
          <cell r="A109" t="str">
            <v>200108340A</v>
          </cell>
          <cell r="E109" t="str">
            <v>010</v>
          </cell>
          <cell r="F109" t="str">
            <v>Yes</v>
          </cell>
          <cell r="G109" t="str">
            <v>Private - Specialty</v>
          </cell>
          <cell r="H109" t="str">
            <v>ONECORE HEALTH</v>
          </cell>
          <cell r="I109" t="str">
            <v>1044 SW 44TH  SUITE 350</v>
          </cell>
          <cell r="J109" t="str">
            <v>OKLAHOMA CITY,OK 73109-</v>
          </cell>
          <cell r="K109" t="str">
            <v>OK</v>
          </cell>
          <cell r="L109" t="str">
            <v>370220</v>
          </cell>
          <cell r="M109">
            <v>43831</v>
          </cell>
          <cell r="N109">
            <v>44196</v>
          </cell>
          <cell r="Q109">
            <v>0.13357451853423327</v>
          </cell>
          <cell r="S109">
            <v>3689221.5</v>
          </cell>
          <cell r="T109">
            <v>318177.36</v>
          </cell>
          <cell r="U109">
            <v>535286.37329913524</v>
          </cell>
          <cell r="W109">
            <v>567266.39772978798</v>
          </cell>
          <cell r="X109">
            <v>297270.32999999996</v>
          </cell>
          <cell r="Y109">
            <v>40202.94</v>
          </cell>
          <cell r="Z109">
            <v>31568.43</v>
          </cell>
          <cell r="AA109">
            <v>150.83389392015897</v>
          </cell>
          <cell r="AB109">
            <v>0</v>
          </cell>
          <cell r="AC109">
            <v>0</v>
          </cell>
          <cell r="AD109">
            <v>0</v>
          </cell>
          <cell r="AE109">
            <v>369192.53389392013</v>
          </cell>
          <cell r="AF109">
            <v>369192.53389392013</v>
          </cell>
          <cell r="AG109">
            <v>198073.86383586784</v>
          </cell>
          <cell r="AH109">
            <v>198073.86383586784</v>
          </cell>
        </row>
        <row r="110">
          <cell r="A110" t="str">
            <v>100748450B</v>
          </cell>
          <cell r="E110" t="str">
            <v>010</v>
          </cell>
          <cell r="F110" t="str">
            <v>Yes</v>
          </cell>
          <cell r="G110" t="str">
            <v>Private - Specialty</v>
          </cell>
          <cell r="H110" t="str">
            <v>ORTHOPEDIC HOSPITAL OF OKLAHOMA</v>
          </cell>
          <cell r="I110" t="str">
            <v>2408 E. 81ST STREET</v>
          </cell>
          <cell r="J110" t="str">
            <v>TULSA,OK 74137-</v>
          </cell>
          <cell r="K110" t="str">
            <v>OK</v>
          </cell>
          <cell r="L110" t="str">
            <v>370210</v>
          </cell>
          <cell r="M110">
            <v>43831</v>
          </cell>
          <cell r="N110">
            <v>44196</v>
          </cell>
          <cell r="Q110">
            <v>0.26022489750697664</v>
          </cell>
          <cell r="S110">
            <v>19733111.460000001</v>
          </cell>
          <cell r="T110">
            <v>679867.67999999993</v>
          </cell>
          <cell r="U110">
            <v>5311965.4045185521</v>
          </cell>
          <cell r="W110">
            <v>5629322.2286130693</v>
          </cell>
          <cell r="X110">
            <v>4524175.5199999996</v>
          </cell>
          <cell r="Y110">
            <v>98515.65</v>
          </cell>
          <cell r="Z110">
            <v>286442.51</v>
          </cell>
          <cell r="AA110">
            <v>145089.62628936613</v>
          </cell>
          <cell r="AB110">
            <v>0</v>
          </cell>
          <cell r="AC110">
            <v>0</v>
          </cell>
          <cell r="AD110">
            <v>0</v>
          </cell>
          <cell r="AE110">
            <v>5054223.3062893655</v>
          </cell>
          <cell r="AF110">
            <v>5054223.3062893655</v>
          </cell>
          <cell r="AG110">
            <v>575098.92232370377</v>
          </cell>
          <cell r="AH110">
            <v>575098.92232370377</v>
          </cell>
        </row>
        <row r="111">
          <cell r="A111" t="str">
            <v>100700530A</v>
          </cell>
          <cell r="E111" t="str">
            <v>010</v>
          </cell>
          <cell r="F111" t="str">
            <v>Yes</v>
          </cell>
          <cell r="G111" t="str">
            <v>Private - Specialty</v>
          </cell>
          <cell r="H111" t="str">
            <v>SURGICAL HOSPITAL OF OKLAHOMA LLC</v>
          </cell>
          <cell r="I111" t="str">
            <v>100 SE 59TH ST</v>
          </cell>
          <cell r="J111" t="str">
            <v>OKLAHOMA CITY,OK 73129-0000</v>
          </cell>
          <cell r="K111" t="str">
            <v>OK</v>
          </cell>
          <cell r="L111" t="str">
            <v>370201</v>
          </cell>
          <cell r="M111">
            <v>43831</v>
          </cell>
          <cell r="N111">
            <v>44196</v>
          </cell>
          <cell r="Q111">
            <v>0.18002507629893247</v>
          </cell>
          <cell r="S111">
            <v>18755458.060000002</v>
          </cell>
          <cell r="T111">
            <v>-326219.74</v>
          </cell>
          <cell r="U111">
            <v>3317725.0346892108</v>
          </cell>
          <cell r="W111">
            <v>3515938.4265407845</v>
          </cell>
          <cell r="X111">
            <v>2429240.2599999998</v>
          </cell>
          <cell r="Y111">
            <v>21406.15</v>
          </cell>
          <cell r="Z111">
            <v>82269.58</v>
          </cell>
          <cell r="AA111">
            <v>1890.0789334721851</v>
          </cell>
          <cell r="AB111">
            <v>0</v>
          </cell>
          <cell r="AC111">
            <v>0</v>
          </cell>
          <cell r="AD111">
            <v>0</v>
          </cell>
          <cell r="AE111">
            <v>2534806.068933472</v>
          </cell>
          <cell r="AF111">
            <v>2534806.068933472</v>
          </cell>
          <cell r="AG111">
            <v>981132.3576073125</v>
          </cell>
          <cell r="AH111">
            <v>981132.3576073125</v>
          </cell>
        </row>
        <row r="112">
          <cell r="A112" t="str">
            <v>200006260A</v>
          </cell>
          <cell r="E112" t="str">
            <v>010</v>
          </cell>
          <cell r="F112" t="str">
            <v>Yes</v>
          </cell>
          <cell r="G112" t="str">
            <v>Private - Specialty</v>
          </cell>
          <cell r="H112" t="str">
            <v>TULSA SPINE HOSPITAL</v>
          </cell>
          <cell r="I112" t="str">
            <v>6901 S OLYMPIA AVE</v>
          </cell>
          <cell r="J112" t="str">
            <v>TULSA,OK 74132-1843</v>
          </cell>
          <cell r="K112" t="str">
            <v>OK</v>
          </cell>
          <cell r="L112" t="str">
            <v>370216</v>
          </cell>
          <cell r="M112">
            <v>43831</v>
          </cell>
          <cell r="N112">
            <v>44196</v>
          </cell>
          <cell r="Q112">
            <v>0.13771575272605135</v>
          </cell>
          <cell r="S112">
            <v>40728603.409999996</v>
          </cell>
          <cell r="T112">
            <v>1591695.98</v>
          </cell>
          <cell r="U112">
            <v>5828171.8860857012</v>
          </cell>
          <cell r="W112">
            <v>6176368.8300024979</v>
          </cell>
          <cell r="X112">
            <v>4577536.95</v>
          </cell>
          <cell r="Y112">
            <v>130388.12</v>
          </cell>
          <cell r="Z112">
            <v>507009.6</v>
          </cell>
          <cell r="AA112">
            <v>6220.9653287696437</v>
          </cell>
          <cell r="AB112">
            <v>0</v>
          </cell>
          <cell r="AC112">
            <v>0</v>
          </cell>
          <cell r="AD112">
            <v>0</v>
          </cell>
          <cell r="AE112">
            <v>5221155.6353287697</v>
          </cell>
          <cell r="AF112">
            <v>5221155.6353287697</v>
          </cell>
          <cell r="AG112">
            <v>955213.1946737282</v>
          </cell>
          <cell r="AH112">
            <v>955213.1946737282</v>
          </cell>
        </row>
        <row r="113">
          <cell r="A113" t="str">
            <v>100699360I</v>
          </cell>
          <cell r="B113" t="str">
            <v>100699360A</v>
          </cell>
          <cell r="E113" t="str">
            <v>014</v>
          </cell>
          <cell r="F113" t="str">
            <v>No</v>
          </cell>
          <cell r="G113" t="str">
            <v>Private</v>
          </cell>
          <cell r="H113" t="str">
            <v>NEWMAN MEMORIAL HOSPITAL, INC</v>
          </cell>
          <cell r="I113" t="str">
            <v>905 S MAIN</v>
          </cell>
          <cell r="J113" t="str">
            <v>SHATTUCK,OK 73858-</v>
          </cell>
          <cell r="K113" t="str">
            <v>OK</v>
          </cell>
          <cell r="L113" t="str">
            <v>371336</v>
          </cell>
          <cell r="M113">
            <v>43466</v>
          </cell>
          <cell r="N113">
            <v>43830</v>
          </cell>
          <cell r="Q113">
            <v>0.68815500373839222</v>
          </cell>
          <cell r="S113">
            <v>454678.6</v>
          </cell>
          <cell r="T113">
            <v>27549.690000000002</v>
          </cell>
          <cell r="U113">
            <v>335133.1040337148</v>
          </cell>
          <cell r="W113">
            <v>362629.39190040843</v>
          </cell>
          <cell r="X113">
            <v>93480.45</v>
          </cell>
          <cell r="Y113">
            <v>2851.34</v>
          </cell>
          <cell r="Z113">
            <v>2127.62</v>
          </cell>
          <cell r="AA113">
            <v>22.805540775351741</v>
          </cell>
          <cell r="AB113">
            <v>0</v>
          </cell>
          <cell r="AC113">
            <v>0</v>
          </cell>
          <cell r="AD113">
            <v>0</v>
          </cell>
          <cell r="AE113">
            <v>98482.215540775345</v>
          </cell>
          <cell r="AF113">
            <v>98482.215540775345</v>
          </cell>
          <cell r="AG113">
            <v>264147.1763596331</v>
          </cell>
          <cell r="AH113">
            <v>264147.1763596331</v>
          </cell>
        </row>
        <row r="114">
          <cell r="A114" t="str">
            <v>100691720C</v>
          </cell>
          <cell r="E114" t="str">
            <v>010</v>
          </cell>
          <cell r="F114" t="str">
            <v>Yes</v>
          </cell>
          <cell r="G114" t="str">
            <v>Private</v>
          </cell>
          <cell r="H114" t="str">
            <v>SOUTHWESTERN REGIONAL MEDICAL CENTER</v>
          </cell>
          <cell r="I114" t="str">
            <v>10109 EAST 79TH ST</v>
          </cell>
          <cell r="J114" t="str">
            <v>TULSA,OK 74133-</v>
          </cell>
          <cell r="K114" t="str">
            <v>OK</v>
          </cell>
          <cell r="L114" t="str">
            <v>370190</v>
          </cell>
          <cell r="M114">
            <v>43647</v>
          </cell>
          <cell r="N114">
            <v>44012</v>
          </cell>
          <cell r="Q114">
            <v>0.18816424481588798</v>
          </cell>
          <cell r="S114">
            <v>3077592.37</v>
          </cell>
          <cell r="T114">
            <v>106226</v>
          </cell>
          <cell r="U114">
            <v>605011.67893629929</v>
          </cell>
          <cell r="W114">
            <v>647954.45501380344</v>
          </cell>
          <cell r="X114">
            <v>296399.49</v>
          </cell>
          <cell r="Y114">
            <v>6877.35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303276.83999999997</v>
          </cell>
          <cell r="AF114">
            <v>303276.83999999997</v>
          </cell>
          <cell r="AG114">
            <v>344677.61501380347</v>
          </cell>
          <cell r="AH114">
            <v>344677.61501380347</v>
          </cell>
        </row>
        <row r="115">
          <cell r="A115" t="str">
            <v>200069370N</v>
          </cell>
          <cell r="E115" t="str">
            <v>010</v>
          </cell>
          <cell r="F115" t="str">
            <v>Yes</v>
          </cell>
          <cell r="G115" t="str">
            <v>Private - Specialty</v>
          </cell>
          <cell r="H115" t="str">
            <v>MCBRIDE CLINIC ORTHOPEDIC HOSPITAL LLC</v>
          </cell>
          <cell r="I115" t="str">
            <v>9801 N OKLAHOMA AVE</v>
          </cell>
          <cell r="J115" t="str">
            <v>OKLAHOMA CITY,OK 73114-0000</v>
          </cell>
          <cell r="K115" t="str">
            <v>OK</v>
          </cell>
          <cell r="L115" t="str">
            <v>370222</v>
          </cell>
          <cell r="M115">
            <v>43831</v>
          </cell>
          <cell r="N115">
            <v>44196</v>
          </cell>
          <cell r="Q115">
            <v>0.33428008933284292</v>
          </cell>
          <cell r="S115">
            <v>11506040.399999999</v>
          </cell>
          <cell r="T115">
            <v>-50035.63</v>
          </cell>
          <cell r="U115">
            <v>3867426.4894624134</v>
          </cell>
          <cell r="W115">
            <v>4098481.1170152896</v>
          </cell>
          <cell r="X115">
            <v>3139591.8</v>
          </cell>
          <cell r="Y115">
            <v>255.83</v>
          </cell>
          <cell r="Z115">
            <v>262980.13</v>
          </cell>
          <cell r="AA115">
            <v>6290.8508859659778</v>
          </cell>
          <cell r="AB115">
            <v>0</v>
          </cell>
          <cell r="AC115">
            <v>0</v>
          </cell>
          <cell r="AD115">
            <v>0</v>
          </cell>
          <cell r="AE115">
            <v>3409118.6108859656</v>
          </cell>
          <cell r="AF115">
            <v>3409118.6108859656</v>
          </cell>
          <cell r="AG115">
            <v>689362.50612932397</v>
          </cell>
          <cell r="AH115">
            <v>689362.50612932397</v>
          </cell>
        </row>
        <row r="116">
          <cell r="A116" t="str">
            <v>200925590A</v>
          </cell>
          <cell r="E116" t="str">
            <v>014</v>
          </cell>
          <cell r="F116" t="str">
            <v>No</v>
          </cell>
          <cell r="G116" t="str">
            <v>Private</v>
          </cell>
          <cell r="H116" t="str">
            <v>HASKELL REGIONAL HOSPITAL INC.</v>
          </cell>
          <cell r="I116" t="str">
            <v>401 NW H ST</v>
          </cell>
          <cell r="J116" t="str">
            <v>STIGLER,OK 74462-1625</v>
          </cell>
          <cell r="K116" t="str">
            <v>OK</v>
          </cell>
          <cell r="L116" t="str">
            <v>371335</v>
          </cell>
          <cell r="M116">
            <v>43966</v>
          </cell>
          <cell r="N116">
            <v>44196</v>
          </cell>
          <cell r="Q116">
            <v>0.81179998385088081</v>
          </cell>
          <cell r="S116">
            <v>568723.75</v>
          </cell>
          <cell r="T116">
            <v>183370</v>
          </cell>
          <cell r="U116">
            <v>616594.13607598154</v>
          </cell>
          <cell r="W116">
            <v>650484.17695352109</v>
          </cell>
          <cell r="X116">
            <v>75970.81</v>
          </cell>
          <cell r="Y116">
            <v>3082.63</v>
          </cell>
          <cell r="Z116">
            <v>184.32</v>
          </cell>
          <cell r="AA116">
            <v>128.00655885889805</v>
          </cell>
          <cell r="AB116">
            <v>0</v>
          </cell>
          <cell r="AC116">
            <v>0</v>
          </cell>
          <cell r="AD116">
            <v>0</v>
          </cell>
          <cell r="AE116">
            <v>79365.766558858901</v>
          </cell>
          <cell r="AF116">
            <v>79365.766558858901</v>
          </cell>
          <cell r="AG116">
            <v>571118.41039466218</v>
          </cell>
          <cell r="AH116">
            <v>571118.41039466218</v>
          </cell>
        </row>
        <row r="117">
          <cell r="A117" t="str">
            <v>200918290A</v>
          </cell>
          <cell r="E117" t="str">
            <v>014</v>
          </cell>
          <cell r="F117" t="str">
            <v>No</v>
          </cell>
          <cell r="G117" t="str">
            <v>Private</v>
          </cell>
          <cell r="H117" t="str">
            <v>FAIRFAX COMMUNITY HOSPITAL</v>
          </cell>
          <cell r="I117" t="str">
            <v xml:space="preserve">40 HOSPITAL ROAD  </v>
          </cell>
          <cell r="J117" t="str">
            <v>FAIRFAX,OK  74637-5084</v>
          </cell>
          <cell r="K117" t="str">
            <v>OK</v>
          </cell>
          <cell r="L117">
            <v>371318</v>
          </cell>
          <cell r="M117">
            <v>43739</v>
          </cell>
          <cell r="N117">
            <v>44104</v>
          </cell>
          <cell r="Q117">
            <v>1.1286612490108747</v>
          </cell>
          <cell r="S117">
            <v>257156.08</v>
          </cell>
          <cell r="T117">
            <v>12582.44</v>
          </cell>
          <cell r="U117">
            <v>307457.40469695127</v>
          </cell>
          <cell r="W117">
            <v>327555.42767508986</v>
          </cell>
          <cell r="X117">
            <v>38915.08</v>
          </cell>
          <cell r="Y117">
            <v>601.04999999999995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39516.130000000005</v>
          </cell>
          <cell r="AF117">
            <v>39516.130000000005</v>
          </cell>
          <cell r="AG117">
            <v>288039.29767508985</v>
          </cell>
          <cell r="AH117">
            <v>288039.29767508985</v>
          </cell>
        </row>
        <row r="118">
          <cell r="S118">
            <v>2668422221.7500005</v>
          </cell>
          <cell r="T118">
            <v>153358471.76999995</v>
          </cell>
          <cell r="U118">
            <v>426961339.49761105</v>
          </cell>
          <cell r="V118">
            <v>0</v>
          </cell>
          <cell r="W118">
            <v>455670206.23286593</v>
          </cell>
          <cell r="X118">
            <v>289994284.43000001</v>
          </cell>
          <cell r="Y118">
            <v>10574999.190000005</v>
          </cell>
          <cell r="Z118">
            <v>26213122.369999997</v>
          </cell>
          <cell r="AA118">
            <v>3184034.7135293698</v>
          </cell>
          <cell r="AB118">
            <v>0</v>
          </cell>
          <cell r="AC118">
            <v>0</v>
          </cell>
          <cell r="AD118">
            <v>365741.04</v>
          </cell>
          <cell r="AE118">
            <v>330332181.74352944</v>
          </cell>
          <cell r="AF118">
            <v>330332181.74352944</v>
          </cell>
          <cell r="AG118">
            <v>125338024.48933674</v>
          </cell>
          <cell r="AH118">
            <v>125338024.48933674</v>
          </cell>
        </row>
        <row r="126">
          <cell r="A126" t="str">
            <v>200752850A</v>
          </cell>
          <cell r="E126" t="str">
            <v>010</v>
          </cell>
          <cell r="F126" t="str">
            <v>Yes</v>
          </cell>
          <cell r="G126" t="str">
            <v>Public</v>
          </cell>
          <cell r="H126" t="str">
            <v>OU MEDICINE</v>
          </cell>
          <cell r="I126" t="str">
            <v>700 NE 13TH ST</v>
          </cell>
          <cell r="J126" t="str">
            <v>OKLAHOMA CITY,OK 73104-5047</v>
          </cell>
          <cell r="K126" t="str">
            <v>OK</v>
          </cell>
          <cell r="L126" t="str">
            <v>370093</v>
          </cell>
          <cell r="M126">
            <v>43647</v>
          </cell>
          <cell r="N126">
            <v>44012</v>
          </cell>
          <cell r="Q126">
            <v>0.11781484421886276</v>
          </cell>
          <cell r="S126">
            <v>539070470.80999994</v>
          </cell>
          <cell r="T126">
            <v>43896563.18</v>
          </cell>
          <cell r="U126">
            <v>68682170.294264317</v>
          </cell>
          <cell r="W126">
            <v>73557122.567332968</v>
          </cell>
          <cell r="X126">
            <v>38557035.119999997</v>
          </cell>
          <cell r="Y126">
            <v>1763784.1400000001</v>
          </cell>
          <cell r="Z126">
            <v>2691572.7300000004</v>
          </cell>
          <cell r="AA126">
            <v>363700.1664064292</v>
          </cell>
          <cell r="AB126">
            <v>0</v>
          </cell>
          <cell r="AC126">
            <v>0</v>
          </cell>
          <cell r="AD126">
            <v>0</v>
          </cell>
          <cell r="AE126">
            <v>43376092.156406425</v>
          </cell>
          <cell r="AF126">
            <v>43376092.156406425</v>
          </cell>
          <cell r="AG126">
            <v>30181030.410926543</v>
          </cell>
          <cell r="AH126">
            <v>0.41092654317617416</v>
          </cell>
        </row>
        <row r="127">
          <cell r="A127" t="str">
            <v>200752850A E</v>
          </cell>
          <cell r="E127" t="str">
            <v>010</v>
          </cell>
          <cell r="F127" t="str">
            <v>Yes</v>
          </cell>
          <cell r="G127" t="str">
            <v>Public</v>
          </cell>
          <cell r="H127" t="str">
            <v xml:space="preserve">OU MEDICINE EDMOND </v>
          </cell>
          <cell r="I127" t="str">
            <v>700 NE 13TH ST</v>
          </cell>
          <cell r="J127" t="str">
            <v>OKLAHOMA CITY,OK 73104-5047</v>
          </cell>
          <cell r="K127" t="str">
            <v>OK</v>
          </cell>
          <cell r="L127" t="str">
            <v>370093</v>
          </cell>
          <cell r="M127">
            <v>43647</v>
          </cell>
          <cell r="N127">
            <v>44012</v>
          </cell>
          <cell r="Q127">
            <v>0.1178</v>
          </cell>
          <cell r="S127">
            <v>31524186.16</v>
          </cell>
          <cell r="T127">
            <v>1845041.88</v>
          </cell>
          <cell r="U127">
            <v>3930895.063112</v>
          </cell>
          <cell r="W127">
            <v>4209903.8035319643</v>
          </cell>
          <cell r="X127">
            <v>2094699.7999999998</v>
          </cell>
          <cell r="Y127">
            <v>51863.57</v>
          </cell>
          <cell r="Z127">
            <v>114789.95999999999</v>
          </cell>
          <cell r="AA127">
            <v>32898.492015315438</v>
          </cell>
          <cell r="AB127">
            <v>0</v>
          </cell>
          <cell r="AC127">
            <v>0</v>
          </cell>
          <cell r="AD127">
            <v>0</v>
          </cell>
          <cell r="AE127">
            <v>2294251.8220153148</v>
          </cell>
          <cell r="AF127">
            <v>2294251.8220153148</v>
          </cell>
          <cell r="AG127">
            <v>1915651.9815166495</v>
          </cell>
          <cell r="AH127">
            <v>1915651.9815166495</v>
          </cell>
        </row>
      </sheetData>
      <sheetData sheetId="9">
        <row r="1">
          <cell r="B1" t="str">
            <v xml:space="preserve">Billing ID </v>
          </cell>
          <cell r="C1" t="str">
            <v>Combined Provider ID</v>
          </cell>
          <cell r="D1" t="str">
            <v>Combined Provider ID</v>
          </cell>
          <cell r="E1" t="str">
            <v>Combined Provider ID</v>
          </cell>
          <cell r="F1" t="str">
            <v>Combined Provider ID</v>
          </cell>
          <cell r="G1" t="str">
            <v>Ind</v>
          </cell>
          <cell r="H1" t="str">
            <v>Billing Full Name</v>
          </cell>
          <cell r="I1" t="str">
            <v>Billing Full Street Addr</v>
          </cell>
          <cell r="J1" t="str">
            <v>City</v>
          </cell>
          <cell r="K1" t="str">
            <v>State</v>
          </cell>
          <cell r="L1" t="str">
            <v>Zip Code</v>
          </cell>
          <cell r="M1" t="str">
            <v>CCR</v>
          </cell>
          <cell r="N1" t="str">
            <v>Claim Type</v>
          </cell>
          <cell r="O1" t="str">
            <v>Inpt Total Days</v>
          </cell>
          <cell r="P1" t="str">
            <v>Inpt Covered Days</v>
          </cell>
          <cell r="Q1" t="str">
            <v>Inpt Billed Amount</v>
          </cell>
          <cell r="R1" t="str">
            <v>Inpt Paid (Warrant) Amount</v>
          </cell>
          <cell r="S1" t="str">
            <v>Inpt TPL Amount</v>
          </cell>
          <cell r="T1" t="str">
            <v>Inpt Expenditures</v>
          </cell>
          <cell r="U1" t="str">
            <v xml:space="preserve">Inpt SHOPP Assessment </v>
          </cell>
          <cell r="V1" t="str">
            <v>GME</v>
          </cell>
          <cell r="W1" t="str">
            <v>IME</v>
          </cell>
          <cell r="X1" t="str">
            <v xml:space="preserve">  Inpt SHOPP</v>
          </cell>
          <cell r="Y1" t="str">
            <v>Inpt Supplemental</v>
          </cell>
          <cell r="AA1" t="str">
            <v>Total Inpt Cost</v>
          </cell>
          <cell r="AB1" t="str">
            <v>Total Inpt Pymts</v>
          </cell>
          <cell r="AC1" t="str">
            <v>(Over) / under cost</v>
          </cell>
          <cell r="AE1" t="str">
            <v>Outpt Billed Amt</v>
          </cell>
          <cell r="AF1" t="str">
            <v xml:space="preserve"> Outpt Pymts</v>
          </cell>
          <cell r="AG1" t="str">
            <v>Outpt TPL</v>
          </cell>
          <cell r="AH1" t="str">
            <v>Outpt Exp/ Supplementals</v>
          </cell>
          <cell r="AI1" t="str">
            <v xml:space="preserve">Outpt SHOPP Assessment </v>
          </cell>
          <cell r="AJ1" t="str">
            <v>SHOPP Outpt</v>
          </cell>
          <cell r="AL1" t="str">
            <v>Total Outpt Cost</v>
          </cell>
          <cell r="AM1" t="str">
            <v>Total Outpt Payments</v>
          </cell>
          <cell r="AN1" t="str">
            <v>(Over) / under cost</v>
          </cell>
          <cell r="AP1" t="str">
            <v>total costs</v>
          </cell>
          <cell r="AQ1" t="str">
            <v>total payments</v>
          </cell>
          <cell r="AR1" t="str">
            <v>(Over) / under cost w SHOPP</v>
          </cell>
          <cell r="AS1" t="str">
            <v>(Over) / under cost w/o SHOPP</v>
          </cell>
        </row>
        <row r="2">
          <cell r="B2" t="str">
            <v>100700720A</v>
          </cell>
          <cell r="G2" t="str">
            <v>NSGO</v>
          </cell>
          <cell r="H2" t="str">
            <v xml:space="preserve">CHOCTAW MEMORIAL HOSPITAL </v>
          </cell>
          <cell r="I2" t="str">
            <v xml:space="preserve">1405 E KIRK ST  </v>
          </cell>
          <cell r="J2" t="str">
            <v xml:space="preserve">HUGO           </v>
          </cell>
          <cell r="K2" t="str">
            <v>OK</v>
          </cell>
          <cell r="L2" t="str">
            <v>74743</v>
          </cell>
          <cell r="M2">
            <v>0.2356</v>
          </cell>
          <cell r="N2" t="str">
            <v>I</v>
          </cell>
          <cell r="O2">
            <v>525</v>
          </cell>
          <cell r="P2">
            <v>525</v>
          </cell>
          <cell r="Q2">
            <v>1828962</v>
          </cell>
          <cell r="R2">
            <v>404520.72</v>
          </cell>
          <cell r="S2">
            <v>86543.44</v>
          </cell>
          <cell r="T2">
            <v>0</v>
          </cell>
          <cell r="U2">
            <v>77567</v>
          </cell>
          <cell r="V2">
            <v>0</v>
          </cell>
          <cell r="W2">
            <v>0</v>
          </cell>
          <cell r="X2">
            <v>574045.52</v>
          </cell>
          <cell r="Y2">
            <v>0</v>
          </cell>
          <cell r="AA2">
            <v>508470.4472</v>
          </cell>
          <cell r="AB2">
            <v>1065109.68</v>
          </cell>
          <cell r="AC2">
            <v>-556639.23279999988</v>
          </cell>
          <cell r="AE2">
            <v>5461181.9199999999</v>
          </cell>
          <cell r="AF2">
            <v>811438.49999999895</v>
          </cell>
          <cell r="AG2">
            <v>27697.363358861745</v>
          </cell>
          <cell r="AH2">
            <v>0</v>
          </cell>
          <cell r="AI2">
            <v>163756</v>
          </cell>
          <cell r="AJ2">
            <v>372201.36000000004</v>
          </cell>
          <cell r="AL2">
            <v>1450410.4603520001</v>
          </cell>
          <cell r="AM2">
            <v>1211337.2233588607</v>
          </cell>
          <cell r="AN2">
            <v>239073.23699313938</v>
          </cell>
          <cell r="AP2">
            <v>1958880.9075520001</v>
          </cell>
          <cell r="AQ2">
            <v>2276446.9033588609</v>
          </cell>
          <cell r="AR2">
            <v>-317565.99580686074</v>
          </cell>
          <cell r="AS2">
            <v>628680.88419313938</v>
          </cell>
        </row>
        <row r="3">
          <cell r="B3" t="str">
            <v>100749570S</v>
          </cell>
          <cell r="C3" t="str">
            <v>100749570Y</v>
          </cell>
          <cell r="D3" t="str">
            <v>100749570Z</v>
          </cell>
          <cell r="G3" t="str">
            <v>NSGO</v>
          </cell>
          <cell r="H3" t="str">
            <v xml:space="preserve">COMANCHE CO MEM HSP </v>
          </cell>
          <cell r="I3" t="str">
            <v xml:space="preserve">3401 GORE BLVD  </v>
          </cell>
          <cell r="J3" t="str">
            <v xml:space="preserve">LAWTON         </v>
          </cell>
          <cell r="K3" t="str">
            <v>OK</v>
          </cell>
          <cell r="L3" t="str">
            <v>73505</v>
          </cell>
          <cell r="M3">
            <v>0.19500000000000001</v>
          </cell>
          <cell r="N3" t="str">
            <v>I</v>
          </cell>
          <cell r="O3">
            <v>15988</v>
          </cell>
          <cell r="P3">
            <v>15988</v>
          </cell>
          <cell r="Q3">
            <v>112878017.11000001</v>
          </cell>
          <cell r="R3">
            <v>18836813.789999999</v>
          </cell>
          <cell r="S3">
            <v>1322948.6599999999</v>
          </cell>
          <cell r="T3">
            <v>0</v>
          </cell>
          <cell r="U3">
            <v>2437485</v>
          </cell>
          <cell r="V3">
            <v>54096</v>
          </cell>
          <cell r="W3">
            <v>0</v>
          </cell>
          <cell r="X3">
            <v>16076503.019999998</v>
          </cell>
          <cell r="Y3">
            <v>0</v>
          </cell>
          <cell r="AA3">
            <v>24448698.336450003</v>
          </cell>
          <cell r="AB3">
            <v>36290361.469999999</v>
          </cell>
          <cell r="AC3">
            <v>-11841663.133549996</v>
          </cell>
          <cell r="AE3">
            <v>80487695.9999993</v>
          </cell>
          <cell r="AF3">
            <v>12027819.929999828</v>
          </cell>
          <cell r="AG3">
            <v>849598.01407501404</v>
          </cell>
          <cell r="AH3">
            <v>0</v>
          </cell>
          <cell r="AI3">
            <v>3514682</v>
          </cell>
          <cell r="AJ3">
            <v>3966423.3199999994</v>
          </cell>
          <cell r="AL3">
            <v>19209782.719999865</v>
          </cell>
          <cell r="AM3">
            <v>16843841.264074843</v>
          </cell>
          <cell r="AN3">
            <v>2365941.4559250213</v>
          </cell>
          <cell r="AP3">
            <v>43658481.056449868</v>
          </cell>
          <cell r="AQ3">
            <v>53134202.734074846</v>
          </cell>
          <cell r="AR3">
            <v>-9475721.6776249781</v>
          </cell>
          <cell r="AS3">
            <v>10567204.662375018</v>
          </cell>
        </row>
        <row r="4">
          <cell r="B4" t="str">
            <v>100700880A</v>
          </cell>
          <cell r="G4" t="str">
            <v>NSGO</v>
          </cell>
          <cell r="H4" t="str">
            <v xml:space="preserve">ELKVIEW GEN HSP </v>
          </cell>
          <cell r="I4" t="str">
            <v xml:space="preserve">429 W ELM  </v>
          </cell>
          <cell r="J4" t="str">
            <v xml:space="preserve">HOBART         </v>
          </cell>
          <cell r="K4" t="str">
            <v>OK</v>
          </cell>
          <cell r="L4" t="str">
            <v>73651</v>
          </cell>
          <cell r="M4">
            <v>0.34329999999999999</v>
          </cell>
          <cell r="N4" t="str">
            <v>I</v>
          </cell>
          <cell r="O4">
            <v>365</v>
          </cell>
          <cell r="P4">
            <v>365</v>
          </cell>
          <cell r="Q4">
            <v>1432032.33</v>
          </cell>
          <cell r="R4">
            <v>465567.31</v>
          </cell>
          <cell r="S4">
            <v>0</v>
          </cell>
          <cell r="T4">
            <v>0</v>
          </cell>
          <cell r="U4">
            <v>92280</v>
          </cell>
          <cell r="V4">
            <v>0</v>
          </cell>
          <cell r="W4">
            <v>0</v>
          </cell>
          <cell r="X4">
            <v>588602.73</v>
          </cell>
          <cell r="Y4">
            <v>0</v>
          </cell>
          <cell r="AA4">
            <v>583896.69888899999</v>
          </cell>
          <cell r="AB4">
            <v>1054170.04</v>
          </cell>
          <cell r="AC4">
            <v>-470273.34111100005</v>
          </cell>
          <cell r="AE4">
            <v>2404554.92</v>
          </cell>
          <cell r="AF4">
            <v>533744.24999999907</v>
          </cell>
          <cell r="AG4">
            <v>7992.8281637049031</v>
          </cell>
          <cell r="AH4">
            <v>0</v>
          </cell>
          <cell r="AI4">
            <v>167177</v>
          </cell>
          <cell r="AJ4">
            <v>247451.67</v>
          </cell>
          <cell r="AL4">
            <v>992660.70403599995</v>
          </cell>
          <cell r="AM4">
            <v>789188.74816370406</v>
          </cell>
          <cell r="AN4">
            <v>203471.95587229589</v>
          </cell>
          <cell r="AP4">
            <v>1576557.4029250001</v>
          </cell>
          <cell r="AQ4">
            <v>1843358.7881637041</v>
          </cell>
          <cell r="AR4">
            <v>-266801.38523870404</v>
          </cell>
          <cell r="AS4">
            <v>569253.01476129598</v>
          </cell>
        </row>
        <row r="5">
          <cell r="B5" t="str">
            <v>100700820A</v>
          </cell>
          <cell r="G5" t="str">
            <v>NSGO</v>
          </cell>
          <cell r="H5" t="str">
            <v xml:space="preserve">GRADY MEMORIAL HOSPITAL </v>
          </cell>
          <cell r="I5" t="str">
            <v xml:space="preserve">2220 W IOWA AVENUE  </v>
          </cell>
          <cell r="J5" t="str">
            <v xml:space="preserve">CHICKASHA      </v>
          </cell>
          <cell r="K5" t="str">
            <v>OK</v>
          </cell>
          <cell r="L5" t="str">
            <v>73018</v>
          </cell>
          <cell r="M5">
            <v>0.25990000000000002</v>
          </cell>
          <cell r="N5" t="str">
            <v>I</v>
          </cell>
          <cell r="O5">
            <v>537</v>
          </cell>
          <cell r="P5">
            <v>537</v>
          </cell>
          <cell r="Q5">
            <v>3353125.9</v>
          </cell>
          <cell r="R5">
            <v>639770.16999999993</v>
          </cell>
          <cell r="S5">
            <v>0</v>
          </cell>
          <cell r="T5">
            <v>0</v>
          </cell>
          <cell r="U5">
            <v>154829</v>
          </cell>
          <cell r="V5">
            <v>0</v>
          </cell>
          <cell r="W5">
            <v>0</v>
          </cell>
          <cell r="X5">
            <v>675651.07</v>
          </cell>
          <cell r="Y5">
            <v>0</v>
          </cell>
          <cell r="AA5">
            <v>1026306.4214100001</v>
          </cell>
          <cell r="AB5">
            <v>1315421.2399999998</v>
          </cell>
          <cell r="AC5">
            <v>-289114.81858999969</v>
          </cell>
          <cell r="AE5">
            <v>13030857.279999999</v>
          </cell>
          <cell r="AF5">
            <v>2389909.1100000096</v>
          </cell>
          <cell r="AG5">
            <v>108380.08922581021</v>
          </cell>
          <cell r="AH5">
            <v>0</v>
          </cell>
          <cell r="AI5">
            <v>579193</v>
          </cell>
          <cell r="AJ5">
            <v>821127.49999999988</v>
          </cell>
          <cell r="AL5">
            <v>3965912.8070720001</v>
          </cell>
          <cell r="AM5">
            <v>3319416.6992258197</v>
          </cell>
          <cell r="AN5">
            <v>646496.10784618044</v>
          </cell>
          <cell r="AP5">
            <v>4992219.2284820005</v>
          </cell>
          <cell r="AQ5">
            <v>4634837.939225819</v>
          </cell>
          <cell r="AR5">
            <v>357381.28925618157</v>
          </cell>
          <cell r="AS5">
            <v>1854159.8592561814</v>
          </cell>
        </row>
        <row r="6">
          <cell r="B6" t="str">
            <v>100699350A</v>
          </cell>
          <cell r="G6" t="str">
            <v>NSGO</v>
          </cell>
          <cell r="H6" t="str">
            <v xml:space="preserve">JACKSON CO MEM HSP </v>
          </cell>
          <cell r="I6" t="str">
            <v xml:space="preserve">1200 E PECAN  </v>
          </cell>
          <cell r="J6" t="str">
            <v xml:space="preserve">ALTUS          </v>
          </cell>
          <cell r="K6" t="str">
            <v>OK</v>
          </cell>
          <cell r="L6" t="str">
            <v>73521</v>
          </cell>
          <cell r="M6">
            <v>0.25459999999999999</v>
          </cell>
          <cell r="N6" t="str">
            <v>I</v>
          </cell>
          <cell r="O6">
            <v>2077</v>
          </cell>
          <cell r="P6">
            <v>2078</v>
          </cell>
          <cell r="Q6">
            <v>12412448.699999999</v>
          </cell>
          <cell r="R6">
            <v>2078481.81</v>
          </cell>
          <cell r="S6">
            <v>1173878.8999999999</v>
          </cell>
          <cell r="T6">
            <v>0</v>
          </cell>
          <cell r="U6">
            <v>587835</v>
          </cell>
          <cell r="V6">
            <v>0</v>
          </cell>
          <cell r="W6">
            <v>0</v>
          </cell>
          <cell r="X6">
            <v>3117761.1000000006</v>
          </cell>
          <cell r="Y6">
            <v>0</v>
          </cell>
          <cell r="AA6">
            <v>3748044.4390199999</v>
          </cell>
          <cell r="AB6">
            <v>6370121.8100000005</v>
          </cell>
          <cell r="AC6">
            <v>-2622077.3709800006</v>
          </cell>
          <cell r="AE6">
            <v>13915829.939999949</v>
          </cell>
          <cell r="AF6">
            <v>2495945.8499999898</v>
          </cell>
          <cell r="AG6">
            <v>221061.39</v>
          </cell>
          <cell r="AH6">
            <v>0</v>
          </cell>
          <cell r="AI6">
            <v>956453</v>
          </cell>
          <cell r="AJ6">
            <v>1078948.1200000001</v>
          </cell>
          <cell r="AL6">
            <v>4499423.302723987</v>
          </cell>
          <cell r="AM6">
            <v>3795955.3599999901</v>
          </cell>
          <cell r="AN6">
            <v>703467.94272399694</v>
          </cell>
          <cell r="AP6">
            <v>8247467.7417439874</v>
          </cell>
          <cell r="AQ6">
            <v>10166077.169999991</v>
          </cell>
          <cell r="AR6">
            <v>-1918609.4282560032</v>
          </cell>
          <cell r="AS6">
            <v>2278099.7917439975</v>
          </cell>
        </row>
        <row r="7">
          <cell r="B7" t="str">
            <v>100818200B</v>
          </cell>
          <cell r="G7" t="str">
            <v>NSGO</v>
          </cell>
          <cell r="H7" t="str">
            <v xml:space="preserve">LINDSAY MUNICIPAL HOSPITAL </v>
          </cell>
          <cell r="I7" t="str">
            <v xml:space="preserve">1305 W CHEROKEE ST  </v>
          </cell>
          <cell r="J7" t="str">
            <v xml:space="preserve">LINDSAY        </v>
          </cell>
          <cell r="K7" t="str">
            <v>OK</v>
          </cell>
          <cell r="L7" t="str">
            <v>73052</v>
          </cell>
          <cell r="M7">
            <v>0.9476</v>
          </cell>
          <cell r="N7" t="str">
            <v>I</v>
          </cell>
          <cell r="O7">
            <v>7371</v>
          </cell>
          <cell r="P7">
            <v>7371</v>
          </cell>
          <cell r="Q7">
            <v>9332943.0800000001</v>
          </cell>
          <cell r="R7">
            <v>3604056.88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8843896.8626080006</v>
          </cell>
          <cell r="AB7">
            <v>3604056.88</v>
          </cell>
          <cell r="AC7">
            <v>5239839.9826080007</v>
          </cell>
          <cell r="AE7">
            <v>621045.27</v>
          </cell>
          <cell r="AF7">
            <v>186875.02000000002</v>
          </cell>
          <cell r="AG7">
            <v>7312.7030143464153</v>
          </cell>
          <cell r="AH7">
            <v>0</v>
          </cell>
          <cell r="AI7">
            <v>0</v>
          </cell>
          <cell r="AJ7">
            <v>0</v>
          </cell>
          <cell r="AL7">
            <v>588502.49785200006</v>
          </cell>
          <cell r="AM7">
            <v>194187.72301434644</v>
          </cell>
          <cell r="AN7">
            <v>394314.77483765362</v>
          </cell>
          <cell r="AP7">
            <v>9432399.3604600001</v>
          </cell>
          <cell r="AQ7">
            <v>3798244.6030143462</v>
          </cell>
          <cell r="AR7">
            <v>5634154.7574456539</v>
          </cell>
          <cell r="AS7">
            <v>5634154.7574456539</v>
          </cell>
        </row>
        <row r="8">
          <cell r="B8" t="str">
            <v>100710530D</v>
          </cell>
          <cell r="G8" t="str">
            <v>NSGO</v>
          </cell>
          <cell r="H8" t="str">
            <v xml:space="preserve">MCALESTER REGIONAL </v>
          </cell>
          <cell r="I8" t="str">
            <v xml:space="preserve">ONE CLARK BASS BOULEVARD  </v>
          </cell>
          <cell r="J8" t="str">
            <v xml:space="preserve">MCALESTER      </v>
          </cell>
          <cell r="K8" t="str">
            <v>OK</v>
          </cell>
          <cell r="L8" t="str">
            <v>74502</v>
          </cell>
          <cell r="M8">
            <v>0.2601</v>
          </cell>
          <cell r="N8" t="str">
            <v>I</v>
          </cell>
          <cell r="O8">
            <v>4601</v>
          </cell>
          <cell r="P8">
            <v>4601</v>
          </cell>
          <cell r="Q8">
            <v>23127630.100000001</v>
          </cell>
          <cell r="R8">
            <v>5935695.9500000002</v>
          </cell>
          <cell r="S8">
            <v>773020.80999999994</v>
          </cell>
          <cell r="T8">
            <v>0</v>
          </cell>
          <cell r="U8">
            <v>576303</v>
          </cell>
          <cell r="V8">
            <v>0</v>
          </cell>
          <cell r="W8">
            <v>0</v>
          </cell>
          <cell r="X8">
            <v>6978018.5800000001</v>
          </cell>
          <cell r="Y8">
            <v>0</v>
          </cell>
          <cell r="AA8">
            <v>6591799.5890100002</v>
          </cell>
          <cell r="AB8">
            <v>13686735.34</v>
          </cell>
          <cell r="AC8">
            <v>-7094935.7509899996</v>
          </cell>
          <cell r="AE8">
            <v>24602166.149999999</v>
          </cell>
          <cell r="AF8">
            <v>4962441.9299999857</v>
          </cell>
          <cell r="AG8">
            <v>268061.40493672644</v>
          </cell>
          <cell r="AH8">
            <v>0</v>
          </cell>
          <cell r="AI8">
            <v>714293</v>
          </cell>
          <cell r="AJ8">
            <v>1733029.6099999999</v>
          </cell>
          <cell r="AL8">
            <v>7113316.4156149998</v>
          </cell>
          <cell r="AM8">
            <v>6963532.9449367113</v>
          </cell>
          <cell r="AN8">
            <v>149783.47067828849</v>
          </cell>
          <cell r="AP8">
            <v>13705116.004625</v>
          </cell>
          <cell r="AQ8">
            <v>20650268.284936711</v>
          </cell>
          <cell r="AR8">
            <v>-6945152.2803117111</v>
          </cell>
          <cell r="AS8">
            <v>1765895.9096882888</v>
          </cell>
        </row>
        <row r="9">
          <cell r="B9" t="str">
            <v>100700690A</v>
          </cell>
          <cell r="C9" t="str">
            <v>100700690Q</v>
          </cell>
          <cell r="D9" t="str">
            <v>100700690R</v>
          </cell>
          <cell r="G9" t="str">
            <v>NSGO</v>
          </cell>
          <cell r="H9" t="str">
            <v xml:space="preserve">NORMAN REGIONAL HOSPITAL </v>
          </cell>
          <cell r="I9" t="str">
            <v xml:space="preserve">901 N PORTER  </v>
          </cell>
          <cell r="J9" t="str">
            <v xml:space="preserve">NORMAN         </v>
          </cell>
          <cell r="K9" t="str">
            <v>OK</v>
          </cell>
          <cell r="L9" t="str">
            <v>73071</v>
          </cell>
          <cell r="M9">
            <v>0.15640000000000001</v>
          </cell>
          <cell r="N9" t="str">
            <v>I</v>
          </cell>
          <cell r="O9">
            <v>21704</v>
          </cell>
          <cell r="P9">
            <v>21670</v>
          </cell>
          <cell r="Q9">
            <v>226620718.41</v>
          </cell>
          <cell r="R9">
            <v>24786666.809999995</v>
          </cell>
          <cell r="S9">
            <v>2802480.04</v>
          </cell>
          <cell r="T9">
            <v>0</v>
          </cell>
          <cell r="U9">
            <v>4468278</v>
          </cell>
          <cell r="V9">
            <v>44660</v>
          </cell>
          <cell r="W9">
            <v>0</v>
          </cell>
          <cell r="X9">
            <v>20809602.350000001</v>
          </cell>
          <cell r="Y9">
            <v>0</v>
          </cell>
          <cell r="AA9">
            <v>39911758.359324001</v>
          </cell>
          <cell r="AB9">
            <v>48443409.199999996</v>
          </cell>
          <cell r="AC9">
            <v>-8531650.8406759948</v>
          </cell>
          <cell r="AE9">
            <v>168291064.78999999</v>
          </cell>
          <cell r="AF9">
            <v>15984237.259999972</v>
          </cell>
          <cell r="AG9">
            <v>2155138.4299999997</v>
          </cell>
          <cell r="AH9">
            <v>0</v>
          </cell>
          <cell r="AI9">
            <v>6019587</v>
          </cell>
          <cell r="AJ9">
            <v>5025321.76</v>
          </cell>
          <cell r="AL9">
            <v>32340309.533156</v>
          </cell>
          <cell r="AM9">
            <v>23164697.449999973</v>
          </cell>
          <cell r="AN9">
            <v>9175612.0831560269</v>
          </cell>
          <cell r="AP9">
            <v>72252067.892480001</v>
          </cell>
          <cell r="AQ9">
            <v>71608106.649999976</v>
          </cell>
          <cell r="AR9">
            <v>643961.2424800247</v>
          </cell>
          <cell r="AS9">
            <v>26478885.352480024</v>
          </cell>
        </row>
        <row r="10">
          <cell r="B10" t="str">
            <v>100700680A</v>
          </cell>
          <cell r="C10" t="str">
            <v>100700680I</v>
          </cell>
          <cell r="G10" t="str">
            <v>NSGO</v>
          </cell>
          <cell r="H10" t="str">
            <v xml:space="preserve">NORTHEASTERN HEALTH SYSTEM </v>
          </cell>
          <cell r="I10" t="str">
            <v xml:space="preserve">1400 E DOWNING  </v>
          </cell>
          <cell r="J10" t="str">
            <v xml:space="preserve">TAHLEQUAH      </v>
          </cell>
          <cell r="K10" t="str">
            <v>OK</v>
          </cell>
          <cell r="L10" t="str">
            <v>74464</v>
          </cell>
          <cell r="M10">
            <v>0.3251</v>
          </cell>
          <cell r="N10" t="str">
            <v>I</v>
          </cell>
          <cell r="O10">
            <v>5141</v>
          </cell>
          <cell r="P10">
            <v>5140</v>
          </cell>
          <cell r="Q10">
            <v>31280498.240000002</v>
          </cell>
          <cell r="R10">
            <v>7778460.8300000001</v>
          </cell>
          <cell r="S10">
            <v>278597.90999999997</v>
          </cell>
          <cell r="T10">
            <v>0</v>
          </cell>
          <cell r="U10">
            <v>973865</v>
          </cell>
          <cell r="V10">
            <v>0</v>
          </cell>
          <cell r="W10">
            <v>0</v>
          </cell>
          <cell r="X10">
            <v>6120714.5099999998</v>
          </cell>
          <cell r="Y10">
            <v>0</v>
          </cell>
          <cell r="AA10">
            <v>11143154.977824001</v>
          </cell>
          <cell r="AB10">
            <v>14177773.25</v>
          </cell>
          <cell r="AC10">
            <v>-3034618.2721759994</v>
          </cell>
          <cell r="AE10">
            <v>33001341.389999889</v>
          </cell>
          <cell r="AF10">
            <v>7175312.0900000222</v>
          </cell>
          <cell r="AG10">
            <v>325984.63</v>
          </cell>
          <cell r="AH10">
            <v>0</v>
          </cell>
          <cell r="AI10">
            <v>1334767</v>
          </cell>
          <cell r="AJ10">
            <v>1966102.3699999999</v>
          </cell>
          <cell r="AL10">
            <v>12063503.085888963</v>
          </cell>
          <cell r="AM10">
            <v>9467399.0900000222</v>
          </cell>
          <cell r="AN10">
            <v>2596103.995888941</v>
          </cell>
          <cell r="AP10">
            <v>23206658.063712962</v>
          </cell>
          <cell r="AQ10">
            <v>23645172.340000022</v>
          </cell>
          <cell r="AR10">
            <v>-438514.27628706023</v>
          </cell>
          <cell r="AS10">
            <v>7648302.6037129397</v>
          </cell>
        </row>
        <row r="11">
          <cell r="B11" t="str">
            <v>200994090B</v>
          </cell>
          <cell r="C11" t="str">
            <v>100699890A</v>
          </cell>
          <cell r="G11" t="str">
            <v>NSGO</v>
          </cell>
          <cell r="H11" t="str">
            <v xml:space="preserve">PAULS VALLEY GENERAL HOSPITAL </v>
          </cell>
          <cell r="I11" t="str">
            <v xml:space="preserve">100 VALLEY DRIVE  </v>
          </cell>
          <cell r="J11" t="str">
            <v xml:space="preserve">PAULS VALLEY   </v>
          </cell>
          <cell r="K11" t="str">
            <v>OK</v>
          </cell>
          <cell r="L11" t="str">
            <v>73075</v>
          </cell>
          <cell r="M11">
            <v>0.18529999999999999</v>
          </cell>
          <cell r="N11" t="str">
            <v>I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11025.74</v>
          </cell>
          <cell r="AF11">
            <v>864.14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L11">
            <v>2043.069622</v>
          </cell>
          <cell r="AM11">
            <v>864.14</v>
          </cell>
          <cell r="AN11">
            <v>1178.9296220000001</v>
          </cell>
          <cell r="AP11">
            <v>2043.069622</v>
          </cell>
          <cell r="AQ11">
            <v>864.14</v>
          </cell>
          <cell r="AR11">
            <v>1178.9296220000001</v>
          </cell>
          <cell r="AS11">
            <v>1178.9296220000001</v>
          </cell>
        </row>
        <row r="12">
          <cell r="B12" t="str">
            <v>100699900A</v>
          </cell>
          <cell r="G12" t="str">
            <v>NSGO</v>
          </cell>
          <cell r="H12" t="str">
            <v xml:space="preserve">PURCELL MUNICIPAL HOSPITAL </v>
          </cell>
          <cell r="I12" t="str">
            <v xml:space="preserve">1500 N GREEN AVENUE  </v>
          </cell>
          <cell r="J12" t="str">
            <v xml:space="preserve">PURCELL        </v>
          </cell>
          <cell r="K12" t="str">
            <v>OK</v>
          </cell>
          <cell r="L12" t="str">
            <v>73080</v>
          </cell>
          <cell r="M12">
            <v>0.31619999999999998</v>
          </cell>
          <cell r="N12" t="str">
            <v>I</v>
          </cell>
          <cell r="O12">
            <v>91</v>
          </cell>
          <cell r="P12">
            <v>91</v>
          </cell>
          <cell r="Q12">
            <v>387369.31</v>
          </cell>
          <cell r="R12">
            <v>127754.38</v>
          </cell>
          <cell r="S12">
            <v>0</v>
          </cell>
          <cell r="T12">
            <v>0</v>
          </cell>
          <cell r="U12">
            <v>37663</v>
          </cell>
          <cell r="V12">
            <v>0</v>
          </cell>
          <cell r="W12">
            <v>0</v>
          </cell>
          <cell r="X12">
            <v>136438.66</v>
          </cell>
          <cell r="Y12">
            <v>0</v>
          </cell>
          <cell r="AA12">
            <v>160149.17582199999</v>
          </cell>
          <cell r="AB12">
            <v>264193.04000000004</v>
          </cell>
          <cell r="AC12">
            <v>-104043.86417800005</v>
          </cell>
          <cell r="AE12">
            <v>3429927.3099999996</v>
          </cell>
          <cell r="AF12">
            <v>838250.67999999505</v>
          </cell>
          <cell r="AG12">
            <v>15722.759999999998</v>
          </cell>
          <cell r="AH12">
            <v>0</v>
          </cell>
          <cell r="AI12">
            <v>196854</v>
          </cell>
          <cell r="AJ12">
            <v>334732.76999999996</v>
          </cell>
          <cell r="AL12">
            <v>1281397.0154219999</v>
          </cell>
          <cell r="AM12">
            <v>1188706.2099999951</v>
          </cell>
          <cell r="AN12">
            <v>92690.805422004778</v>
          </cell>
          <cell r="AP12">
            <v>1441546.1912439999</v>
          </cell>
          <cell r="AQ12">
            <v>1452899.2499999951</v>
          </cell>
          <cell r="AR12">
            <v>-11353.05875599524</v>
          </cell>
          <cell r="AS12">
            <v>459818.37124400469</v>
          </cell>
        </row>
        <row r="13">
          <cell r="B13" t="str">
            <v>100700770A</v>
          </cell>
          <cell r="G13" t="str">
            <v>NSGO</v>
          </cell>
          <cell r="H13" t="str">
            <v xml:space="preserve">PUSHMATAHA HSP </v>
          </cell>
          <cell r="I13" t="str">
            <v xml:space="preserve">510 EAST MAIN STREET  </v>
          </cell>
          <cell r="J13" t="str">
            <v xml:space="preserve">ANTLERS        </v>
          </cell>
          <cell r="K13" t="str">
            <v>OK</v>
          </cell>
          <cell r="L13" t="str">
            <v>74523</v>
          </cell>
          <cell r="M13">
            <v>0.29139999999999999</v>
          </cell>
          <cell r="N13" t="str">
            <v>I</v>
          </cell>
          <cell r="O13">
            <v>280</v>
          </cell>
          <cell r="P13">
            <v>280</v>
          </cell>
          <cell r="Q13">
            <v>932754.23</v>
          </cell>
          <cell r="R13">
            <v>223976.08000000002</v>
          </cell>
          <cell r="S13">
            <v>21434</v>
          </cell>
          <cell r="T13">
            <v>0</v>
          </cell>
          <cell r="U13">
            <v>44813</v>
          </cell>
          <cell r="V13">
            <v>0</v>
          </cell>
          <cell r="W13">
            <v>0</v>
          </cell>
          <cell r="X13">
            <v>245390.19</v>
          </cell>
          <cell r="Y13">
            <v>0</v>
          </cell>
          <cell r="AA13">
            <v>316617.58262200002</v>
          </cell>
          <cell r="AB13">
            <v>490800.27</v>
          </cell>
          <cell r="AC13">
            <v>-174182.687378</v>
          </cell>
          <cell r="AE13">
            <v>2512511.42</v>
          </cell>
          <cell r="AF13">
            <v>331650.08999999997</v>
          </cell>
          <cell r="AG13">
            <v>15142.659218285498</v>
          </cell>
          <cell r="AH13">
            <v>0</v>
          </cell>
          <cell r="AI13">
            <v>69923</v>
          </cell>
          <cell r="AJ13">
            <v>108089.65000000001</v>
          </cell>
          <cell r="AL13">
            <v>802068.827788</v>
          </cell>
          <cell r="AM13">
            <v>454882.39921828551</v>
          </cell>
          <cell r="AN13">
            <v>347186.42856971448</v>
          </cell>
          <cell r="AP13">
            <v>1118686.41041</v>
          </cell>
          <cell r="AQ13">
            <v>945682.66921828547</v>
          </cell>
          <cell r="AR13">
            <v>173003.74119171454</v>
          </cell>
          <cell r="AS13">
            <v>526483.5811917145</v>
          </cell>
        </row>
        <row r="14">
          <cell r="B14" t="str">
            <v>100700190A</v>
          </cell>
          <cell r="G14" t="str">
            <v>NSGO</v>
          </cell>
          <cell r="H14" t="str">
            <v>SEQUOYAH COUNTY CITY OF SALLISAW HOSPITAL AUTHORIT</v>
          </cell>
          <cell r="I14" t="str">
            <v>213 E. REDWOOD  PO BOX 505</v>
          </cell>
          <cell r="J14" t="str">
            <v xml:space="preserve">SALLISAW       </v>
          </cell>
          <cell r="K14" t="str">
            <v>OK</v>
          </cell>
          <cell r="L14" t="str">
            <v>74955</v>
          </cell>
          <cell r="M14">
            <v>0.24579999999999999</v>
          </cell>
          <cell r="N14" t="str">
            <v>I</v>
          </cell>
          <cell r="O14">
            <v>317</v>
          </cell>
          <cell r="P14">
            <v>317</v>
          </cell>
          <cell r="Q14">
            <v>1905345.6400000001</v>
          </cell>
          <cell r="R14">
            <v>508907.15</v>
          </cell>
          <cell r="S14">
            <v>0</v>
          </cell>
          <cell r="T14">
            <v>0</v>
          </cell>
          <cell r="U14">
            <v>86768</v>
          </cell>
          <cell r="V14">
            <v>0</v>
          </cell>
          <cell r="W14">
            <v>0</v>
          </cell>
          <cell r="X14">
            <v>341233.33999999997</v>
          </cell>
          <cell r="Y14">
            <v>0</v>
          </cell>
          <cell r="AA14">
            <v>555101.95831200003</v>
          </cell>
          <cell r="AB14">
            <v>850140.49</v>
          </cell>
          <cell r="AC14">
            <v>-295038.53168799996</v>
          </cell>
          <cell r="AE14">
            <v>8731732.7699999996</v>
          </cell>
          <cell r="AF14">
            <v>1671403.89</v>
          </cell>
          <cell r="AG14">
            <v>15976.35</v>
          </cell>
          <cell r="AH14">
            <v>0</v>
          </cell>
          <cell r="AI14">
            <v>299451</v>
          </cell>
          <cell r="AJ14">
            <v>551759.57999999996</v>
          </cell>
          <cell r="AL14">
            <v>2445710.9148659999</v>
          </cell>
          <cell r="AM14">
            <v>2239139.8199999998</v>
          </cell>
          <cell r="AN14">
            <v>206571.09486600012</v>
          </cell>
          <cell r="AP14">
            <v>3000812.8731780001</v>
          </cell>
          <cell r="AQ14">
            <v>3089280.3099999996</v>
          </cell>
          <cell r="AR14">
            <v>-88467.436821999494</v>
          </cell>
          <cell r="AS14">
            <v>804525.48317800043</v>
          </cell>
        </row>
        <row r="15">
          <cell r="B15" t="str">
            <v>200417790W</v>
          </cell>
          <cell r="G15" t="str">
            <v>NSGO</v>
          </cell>
          <cell r="H15" t="str">
            <v xml:space="preserve">STILLWATER MEDICAL - PERRY </v>
          </cell>
          <cell r="I15" t="str">
            <v xml:space="preserve">501 N 14TH ST  </v>
          </cell>
          <cell r="J15" t="str">
            <v xml:space="preserve">PERRY          </v>
          </cell>
          <cell r="K15" t="str">
            <v>OK</v>
          </cell>
          <cell r="L15" t="str">
            <v>73077</v>
          </cell>
          <cell r="M15">
            <v>0.51129999999999998</v>
          </cell>
          <cell r="N15" t="str">
            <v>I</v>
          </cell>
          <cell r="O15">
            <v>68</v>
          </cell>
          <cell r="P15">
            <v>68</v>
          </cell>
          <cell r="Q15">
            <v>509620.85</v>
          </cell>
          <cell r="R15">
            <v>145710.56</v>
          </cell>
          <cell r="S15">
            <v>0</v>
          </cell>
          <cell r="T15">
            <v>0</v>
          </cell>
          <cell r="U15">
            <v>29731</v>
          </cell>
          <cell r="V15">
            <v>0</v>
          </cell>
          <cell r="W15">
            <v>0</v>
          </cell>
          <cell r="X15">
            <v>73928.949999999983</v>
          </cell>
          <cell r="Y15">
            <v>0</v>
          </cell>
          <cell r="AA15">
            <v>290300.14060499996</v>
          </cell>
          <cell r="AB15">
            <v>219639.50999999998</v>
          </cell>
          <cell r="AC15">
            <v>70660.630604999984</v>
          </cell>
          <cell r="AE15">
            <v>3271055.25</v>
          </cell>
          <cell r="AF15">
            <v>324743.26</v>
          </cell>
          <cell r="AG15">
            <v>17298.41073655965</v>
          </cell>
          <cell r="AH15">
            <v>0</v>
          </cell>
          <cell r="AI15">
            <v>118313</v>
          </cell>
          <cell r="AJ15">
            <v>85370.139999999985</v>
          </cell>
          <cell r="AL15">
            <v>1790803.549325</v>
          </cell>
          <cell r="AM15">
            <v>427411.81073655968</v>
          </cell>
          <cell r="AN15">
            <v>1363391.7385884402</v>
          </cell>
          <cell r="AP15">
            <v>2081103.6899299999</v>
          </cell>
          <cell r="AQ15">
            <v>647051.32073655969</v>
          </cell>
          <cell r="AR15">
            <v>1434052.3691934403</v>
          </cell>
          <cell r="AS15">
            <v>1593351.4591934402</v>
          </cell>
        </row>
        <row r="16">
          <cell r="B16" t="str">
            <v>100699950A</v>
          </cell>
          <cell r="G16" t="str">
            <v>NSGO</v>
          </cell>
          <cell r="H16" t="str">
            <v xml:space="preserve">STILLWATER MEDICAL CENTER </v>
          </cell>
          <cell r="I16" t="str">
            <v xml:space="preserve">1323 WEST 6TH AVENUE  </v>
          </cell>
          <cell r="J16" t="str">
            <v xml:space="preserve">STILLWATER     </v>
          </cell>
          <cell r="K16" t="str">
            <v>OK</v>
          </cell>
          <cell r="L16" t="str">
            <v>74074</v>
          </cell>
          <cell r="M16">
            <v>0.23139999999999999</v>
          </cell>
          <cell r="N16" t="str">
            <v>I</v>
          </cell>
          <cell r="O16">
            <v>4086</v>
          </cell>
          <cell r="P16">
            <v>4086</v>
          </cell>
          <cell r="Q16">
            <v>33360659.450000003</v>
          </cell>
          <cell r="R16">
            <v>5447988.1799999997</v>
          </cell>
          <cell r="S16">
            <v>839997.27</v>
          </cell>
          <cell r="T16">
            <v>0</v>
          </cell>
          <cell r="U16">
            <v>1255262</v>
          </cell>
          <cell r="V16">
            <v>0</v>
          </cell>
          <cell r="W16">
            <v>0</v>
          </cell>
          <cell r="X16">
            <v>3956659.8500000006</v>
          </cell>
          <cell r="Y16">
            <v>0</v>
          </cell>
          <cell r="AA16">
            <v>8974918.5967300013</v>
          </cell>
          <cell r="AB16">
            <v>10244645.300000001</v>
          </cell>
          <cell r="AC16">
            <v>-1269726.7032699995</v>
          </cell>
          <cell r="AE16">
            <v>67556901.860000357</v>
          </cell>
          <cell r="AF16">
            <v>8975708.4599999804</v>
          </cell>
          <cell r="AG16">
            <v>1607195.4590939879</v>
          </cell>
          <cell r="AH16">
            <v>0</v>
          </cell>
          <cell r="AI16">
            <v>3251432</v>
          </cell>
          <cell r="AJ16">
            <v>3096354.1799999997</v>
          </cell>
          <cell r="AL16">
            <v>18884099.090404082</v>
          </cell>
          <cell r="AM16">
            <v>13679258.099093968</v>
          </cell>
          <cell r="AN16">
            <v>5204840.991310114</v>
          </cell>
          <cell r="AP16">
            <v>27859017.687134083</v>
          </cell>
          <cell r="AQ16">
            <v>23923903.399093971</v>
          </cell>
          <cell r="AR16">
            <v>3935114.2880401127</v>
          </cell>
          <cell r="AS16">
            <v>10988128.318040114</v>
          </cell>
        </row>
        <row r="17">
          <cell r="B17" t="str">
            <v>200100890B</v>
          </cell>
          <cell r="G17" t="str">
            <v>NSGO</v>
          </cell>
          <cell r="H17" t="str">
            <v xml:space="preserve">WAGONER COMMUNITY HOSPITAL </v>
          </cell>
          <cell r="I17" t="str">
            <v xml:space="preserve">1200 W CHEROKEE ST  </v>
          </cell>
          <cell r="J17" t="str">
            <v xml:space="preserve">WAGONER        </v>
          </cell>
          <cell r="K17" t="str">
            <v>OK</v>
          </cell>
          <cell r="L17" t="str">
            <v>74467</v>
          </cell>
          <cell r="M17">
            <v>0.39539999999999997</v>
          </cell>
          <cell r="N17" t="str">
            <v>I</v>
          </cell>
          <cell r="O17">
            <v>10836</v>
          </cell>
          <cell r="P17">
            <v>10836</v>
          </cell>
          <cell r="Q17">
            <v>18673955.549999997</v>
          </cell>
          <cell r="R17">
            <v>4616373.0999999996</v>
          </cell>
          <cell r="S17">
            <v>75093.759999999995</v>
          </cell>
          <cell r="T17">
            <v>0</v>
          </cell>
          <cell r="U17">
            <v>288455</v>
          </cell>
          <cell r="V17">
            <v>0</v>
          </cell>
          <cell r="W17">
            <v>0</v>
          </cell>
          <cell r="X17">
            <v>3191903.2</v>
          </cell>
          <cell r="Y17">
            <v>0</v>
          </cell>
          <cell r="AA17">
            <v>7672137.0244699987</v>
          </cell>
          <cell r="AB17">
            <v>7883370.0599999996</v>
          </cell>
          <cell r="AC17">
            <v>-211233.03553000093</v>
          </cell>
          <cell r="AE17">
            <v>6155365.0000000102</v>
          </cell>
          <cell r="AF17">
            <v>1339318.2699999979</v>
          </cell>
          <cell r="AG17">
            <v>45046.245399635598</v>
          </cell>
          <cell r="AH17">
            <v>0</v>
          </cell>
          <cell r="AI17">
            <v>298705</v>
          </cell>
          <cell r="AJ17">
            <v>585022.78999999992</v>
          </cell>
          <cell r="AL17">
            <v>2732536.3210000037</v>
          </cell>
          <cell r="AM17">
            <v>1969387.3053996335</v>
          </cell>
          <cell r="AN17">
            <v>763149.01560037024</v>
          </cell>
          <cell r="AP17">
            <v>10404673.345470002</v>
          </cell>
          <cell r="AQ17">
            <v>9852757.3653996326</v>
          </cell>
          <cell r="AR17">
            <v>551915.98007036932</v>
          </cell>
          <cell r="AS17">
            <v>4328841.9700703695</v>
          </cell>
        </row>
        <row r="18">
          <cell r="B18" t="str">
            <v>100700790A</v>
          </cell>
          <cell r="G18" t="str">
            <v>NSGO</v>
          </cell>
          <cell r="H18" t="str">
            <v xml:space="preserve">ARBUCKLE MEM HSP </v>
          </cell>
          <cell r="I18" t="str">
            <v xml:space="preserve">2011 W BROADWAY  </v>
          </cell>
          <cell r="J18" t="str">
            <v xml:space="preserve">SULPHUR        </v>
          </cell>
          <cell r="K18" t="str">
            <v>OK</v>
          </cell>
          <cell r="L18" t="str">
            <v>73086</v>
          </cell>
          <cell r="M18">
            <v>0.53680000000000005</v>
          </cell>
          <cell r="N18" t="str">
            <v>I</v>
          </cell>
          <cell r="O18">
            <v>212</v>
          </cell>
          <cell r="P18">
            <v>212</v>
          </cell>
          <cell r="Q18">
            <v>777252.95</v>
          </cell>
          <cell r="R18">
            <v>309988.65000000002</v>
          </cell>
          <cell r="S18">
            <v>29281.120000000003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16034.260000000002</v>
          </cell>
          <cell r="Y18">
            <v>0</v>
          </cell>
          <cell r="AA18">
            <v>417229.38356000005</v>
          </cell>
          <cell r="AB18">
            <v>355304.03</v>
          </cell>
          <cell r="AC18">
            <v>61925.353560000018</v>
          </cell>
          <cell r="AE18">
            <v>3011815.2399999998</v>
          </cell>
          <cell r="AF18">
            <v>847300.4599999981</v>
          </cell>
          <cell r="AG18">
            <v>38769.901586883127</v>
          </cell>
          <cell r="AH18">
            <v>0</v>
          </cell>
          <cell r="AI18">
            <v>0</v>
          </cell>
          <cell r="AJ18">
            <v>282070.15999999997</v>
          </cell>
          <cell r="AL18">
            <v>1616742.420832</v>
          </cell>
          <cell r="AM18">
            <v>1168140.5215868813</v>
          </cell>
          <cell r="AN18">
            <v>448601.89924511872</v>
          </cell>
          <cell r="AP18">
            <v>2033971.804392</v>
          </cell>
          <cell r="AQ18">
            <v>1523444.5515868813</v>
          </cell>
          <cell r="AR18">
            <v>510527.25280511868</v>
          </cell>
          <cell r="AS18">
            <v>808631.67280511861</v>
          </cell>
        </row>
        <row r="19">
          <cell r="B19" t="str">
            <v>100262850D</v>
          </cell>
          <cell r="G19" t="str">
            <v>NSGO</v>
          </cell>
          <cell r="H19" t="str">
            <v xml:space="preserve">ATOKA COUNTY HEALTHCARE AUTHORITY </v>
          </cell>
          <cell r="I19" t="str">
            <v xml:space="preserve">1590 W LIBERTY ROAD  </v>
          </cell>
          <cell r="J19" t="str">
            <v xml:space="preserve">ATOKA          </v>
          </cell>
          <cell r="K19" t="str">
            <v>OK</v>
          </cell>
          <cell r="L19" t="str">
            <v>74525</v>
          </cell>
          <cell r="M19">
            <v>0.60009999999999997</v>
          </cell>
          <cell r="N19" t="str">
            <v>I</v>
          </cell>
          <cell r="O19">
            <v>362</v>
          </cell>
          <cell r="P19">
            <v>362</v>
          </cell>
          <cell r="Q19">
            <v>1130911.3199999998</v>
          </cell>
          <cell r="R19">
            <v>240217.58000000002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22054.62</v>
          </cell>
          <cell r="Y19">
            <v>0</v>
          </cell>
          <cell r="AA19">
            <v>678659.88313199987</v>
          </cell>
          <cell r="AB19">
            <v>262272.2</v>
          </cell>
          <cell r="AC19">
            <v>416387.68313199986</v>
          </cell>
          <cell r="AE19">
            <v>1915954.72</v>
          </cell>
          <cell r="AF19">
            <v>353442.28999999899</v>
          </cell>
          <cell r="AG19">
            <v>8820.2000000000007</v>
          </cell>
          <cell r="AH19">
            <v>0</v>
          </cell>
          <cell r="AI19">
            <v>0</v>
          </cell>
          <cell r="AJ19">
            <v>629337.39999999991</v>
          </cell>
          <cell r="AL19">
            <v>1149764.427472</v>
          </cell>
          <cell r="AM19">
            <v>991599.88999999897</v>
          </cell>
          <cell r="AN19">
            <v>158164.53747200104</v>
          </cell>
          <cell r="AP19">
            <v>1828424.310604</v>
          </cell>
          <cell r="AQ19">
            <v>1253872.0899999989</v>
          </cell>
          <cell r="AR19">
            <v>574552.22060400108</v>
          </cell>
          <cell r="AS19">
            <v>1225944.2406040011</v>
          </cell>
        </row>
        <row r="20">
          <cell r="B20" t="str">
            <v>100700760A</v>
          </cell>
          <cell r="G20" t="str">
            <v>NSGO</v>
          </cell>
          <cell r="H20" t="str">
            <v xml:space="preserve">BEAVER COUNTY MEMORIAL HOSPITAL </v>
          </cell>
          <cell r="I20" t="str">
            <v xml:space="preserve">212 E. 8TH STREET  </v>
          </cell>
          <cell r="J20" t="str">
            <v xml:space="preserve">BEAVER         </v>
          </cell>
          <cell r="K20" t="str">
            <v>OK</v>
          </cell>
          <cell r="L20" t="str">
            <v>73932</v>
          </cell>
          <cell r="M20">
            <v>0.63109999999999999</v>
          </cell>
          <cell r="N20" t="str">
            <v>I</v>
          </cell>
          <cell r="O20">
            <v>3</v>
          </cell>
          <cell r="P20">
            <v>3</v>
          </cell>
          <cell r="Q20">
            <v>10950.5</v>
          </cell>
          <cell r="R20">
            <v>3365.5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563.61999999999989</v>
          </cell>
          <cell r="Y20">
            <v>0</v>
          </cell>
          <cell r="AA20">
            <v>6910.8605500000003</v>
          </cell>
          <cell r="AB20">
            <v>3929.12</v>
          </cell>
          <cell r="AC20">
            <v>2981.7405500000004</v>
          </cell>
          <cell r="AE20">
            <v>248024.4</v>
          </cell>
          <cell r="AF20">
            <v>58031.98</v>
          </cell>
          <cell r="AG20">
            <v>2394.41</v>
          </cell>
          <cell r="AH20">
            <v>0</v>
          </cell>
          <cell r="AI20">
            <v>0</v>
          </cell>
          <cell r="AJ20">
            <v>85797.72</v>
          </cell>
          <cell r="AL20">
            <v>156528.19884</v>
          </cell>
          <cell r="AM20">
            <v>146224.10999999999</v>
          </cell>
          <cell r="AN20">
            <v>10304.088840000011</v>
          </cell>
          <cell r="AP20">
            <v>163439.05939000001</v>
          </cell>
          <cell r="AQ20">
            <v>150153.22999999998</v>
          </cell>
          <cell r="AR20">
            <v>13285.829390000028</v>
          </cell>
          <cell r="AS20">
            <v>99647.169390000025</v>
          </cell>
        </row>
        <row r="21">
          <cell r="B21" t="str">
            <v>100699690A</v>
          </cell>
          <cell r="G21" t="str">
            <v>NSGO</v>
          </cell>
          <cell r="H21" t="str">
            <v xml:space="preserve">CARNEGIE TRI-COUNTY MUNICI </v>
          </cell>
          <cell r="I21" t="str">
            <v>MUNICIPAL HOSPITAL  102 N BROADWAY</v>
          </cell>
          <cell r="J21" t="str">
            <v xml:space="preserve">CARNEGIE       </v>
          </cell>
          <cell r="K21" t="str">
            <v>OK</v>
          </cell>
          <cell r="L21" t="str">
            <v>73015</v>
          </cell>
          <cell r="M21">
            <v>1.3491</v>
          </cell>
          <cell r="N21" t="str">
            <v>I</v>
          </cell>
          <cell r="O21">
            <v>140</v>
          </cell>
          <cell r="P21">
            <v>140</v>
          </cell>
          <cell r="Q21">
            <v>544053.04</v>
          </cell>
          <cell r="R21">
            <v>253893.69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183304.65999999997</v>
          </cell>
          <cell r="Y21">
            <v>0</v>
          </cell>
          <cell r="AA21">
            <v>733981.95626400004</v>
          </cell>
          <cell r="AB21">
            <v>437198.35</v>
          </cell>
          <cell r="AC21">
            <v>296783.60626400006</v>
          </cell>
          <cell r="AE21">
            <v>597007.61000000197</v>
          </cell>
          <cell r="AF21">
            <v>135976.1</v>
          </cell>
          <cell r="AG21">
            <v>1874.561070468277</v>
          </cell>
          <cell r="AH21">
            <v>0</v>
          </cell>
          <cell r="AI21">
            <v>0</v>
          </cell>
          <cell r="AJ21">
            <v>346389.02</v>
          </cell>
          <cell r="AL21">
            <v>805422.96665100264</v>
          </cell>
          <cell r="AM21">
            <v>484239.68107046827</v>
          </cell>
          <cell r="AN21">
            <v>321183.28558053437</v>
          </cell>
          <cell r="AP21">
            <v>1539404.9229150028</v>
          </cell>
          <cell r="AQ21">
            <v>921438.03107046825</v>
          </cell>
          <cell r="AR21">
            <v>617966.89184453455</v>
          </cell>
          <cell r="AS21">
            <v>1147660.5718445345</v>
          </cell>
        </row>
        <row r="22">
          <cell r="B22" t="str">
            <v>100700740A</v>
          </cell>
          <cell r="G22" t="str">
            <v>NSGO</v>
          </cell>
          <cell r="H22" t="str">
            <v xml:space="preserve">CIMARRON MEMORIAL HOSPITAL </v>
          </cell>
          <cell r="I22" t="str">
            <v xml:space="preserve">100 S ELLIS AVE  </v>
          </cell>
          <cell r="J22" t="str">
            <v xml:space="preserve">BOISE CITY     </v>
          </cell>
          <cell r="K22" t="str">
            <v>OK</v>
          </cell>
          <cell r="L22" t="str">
            <v>73933</v>
          </cell>
          <cell r="M22">
            <v>0.61429999999999996</v>
          </cell>
          <cell r="N22" t="str">
            <v>I</v>
          </cell>
          <cell r="O22">
            <v>36</v>
          </cell>
          <cell r="P22">
            <v>36</v>
          </cell>
          <cell r="Q22">
            <v>139624.89000000001</v>
          </cell>
          <cell r="R22">
            <v>39019.96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11213.380000000001</v>
          </cell>
          <cell r="Y22">
            <v>0</v>
          </cell>
          <cell r="AA22">
            <v>85771.569927000004</v>
          </cell>
          <cell r="AB22">
            <v>50233.34</v>
          </cell>
          <cell r="AC22">
            <v>35538.229927000008</v>
          </cell>
          <cell r="AE22">
            <v>117255.42</v>
          </cell>
          <cell r="AF22">
            <v>26280.400000000001</v>
          </cell>
          <cell r="AG22">
            <v>0</v>
          </cell>
          <cell r="AH22">
            <v>0</v>
          </cell>
          <cell r="AI22">
            <v>0</v>
          </cell>
          <cell r="AJ22">
            <v>96497.239999999991</v>
          </cell>
          <cell r="AL22">
            <v>72030.004505999997</v>
          </cell>
          <cell r="AM22">
            <v>122777.63999999998</v>
          </cell>
          <cell r="AN22">
            <v>-50747.635493999987</v>
          </cell>
          <cell r="AP22">
            <v>157801.574433</v>
          </cell>
          <cell r="AQ22">
            <v>173010.97999999998</v>
          </cell>
          <cell r="AR22">
            <v>-15209.40556699998</v>
          </cell>
          <cell r="AS22">
            <v>92501.214433000016</v>
          </cell>
        </row>
        <row r="23">
          <cell r="B23" t="str">
            <v>200234090B</v>
          </cell>
          <cell r="G23" t="str">
            <v>NSGO</v>
          </cell>
          <cell r="H23" t="str">
            <v xml:space="preserve">CLEVELAND AREA HOSPITAL </v>
          </cell>
          <cell r="I23" t="str">
            <v xml:space="preserve">1401 W PAWNEE ST  </v>
          </cell>
          <cell r="J23" t="str">
            <v xml:space="preserve">CLEVELAND      </v>
          </cell>
          <cell r="K23" t="str">
            <v>OK</v>
          </cell>
          <cell r="L23" t="str">
            <v>74020</v>
          </cell>
          <cell r="M23">
            <v>0.52270000000000005</v>
          </cell>
          <cell r="N23" t="str">
            <v>I</v>
          </cell>
          <cell r="O23">
            <v>7</v>
          </cell>
          <cell r="P23">
            <v>7</v>
          </cell>
          <cell r="Q23">
            <v>26717.919999999998</v>
          </cell>
          <cell r="R23">
            <v>10919.35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13965.456784</v>
          </cell>
          <cell r="AB23">
            <v>10919.35</v>
          </cell>
          <cell r="AC23">
            <v>3046.1067839999996</v>
          </cell>
          <cell r="AE23">
            <v>5490984.2199999997</v>
          </cell>
          <cell r="AF23">
            <v>932011.28999999585</v>
          </cell>
          <cell r="AG23">
            <v>42302.026633747977</v>
          </cell>
          <cell r="AH23">
            <v>0</v>
          </cell>
          <cell r="AI23">
            <v>0</v>
          </cell>
          <cell r="AJ23">
            <v>1101451.32</v>
          </cell>
          <cell r="AL23">
            <v>2870137.4517940003</v>
          </cell>
          <cell r="AM23">
            <v>2075764.636633744</v>
          </cell>
          <cell r="AN23">
            <v>794372.81516025634</v>
          </cell>
          <cell r="AP23">
            <v>2884102.9085780005</v>
          </cell>
          <cell r="AQ23">
            <v>2086683.9866337441</v>
          </cell>
          <cell r="AR23">
            <v>797418.92194425641</v>
          </cell>
          <cell r="AS23">
            <v>1898870.2419442565</v>
          </cell>
        </row>
        <row r="24">
          <cell r="B24" t="str">
            <v>100819200B</v>
          </cell>
          <cell r="G24" t="str">
            <v>NSGO</v>
          </cell>
          <cell r="H24" t="str">
            <v xml:space="preserve">CORDELL MEMORIAL HOSPITAL </v>
          </cell>
          <cell r="I24" t="str">
            <v xml:space="preserve">1220 N GLENN ENGLISH  </v>
          </cell>
          <cell r="J24" t="str">
            <v xml:space="preserve">CORDELL        </v>
          </cell>
          <cell r="K24" t="str">
            <v>OK</v>
          </cell>
          <cell r="L24" t="str">
            <v>73632</v>
          </cell>
          <cell r="M24">
            <v>0.56789999999999996</v>
          </cell>
          <cell r="N24" t="str">
            <v>I</v>
          </cell>
          <cell r="O24">
            <v>68</v>
          </cell>
          <cell r="P24">
            <v>68</v>
          </cell>
          <cell r="Q24">
            <v>330649.90000000002</v>
          </cell>
          <cell r="R24">
            <v>129182.17000000001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17996.080000000002</v>
          </cell>
          <cell r="Y24">
            <v>0</v>
          </cell>
          <cell r="AA24">
            <v>187776.07821000001</v>
          </cell>
          <cell r="AB24">
            <v>147178.25</v>
          </cell>
          <cell r="AC24">
            <v>40597.828210000007</v>
          </cell>
          <cell r="AE24">
            <v>1406619.2000000011</v>
          </cell>
          <cell r="AF24">
            <v>240714.5</v>
          </cell>
          <cell r="AG24">
            <v>14615.62</v>
          </cell>
          <cell r="AH24">
            <v>0</v>
          </cell>
          <cell r="AI24">
            <v>0</v>
          </cell>
          <cell r="AJ24">
            <v>319835.64</v>
          </cell>
          <cell r="AL24">
            <v>798819.04368000058</v>
          </cell>
          <cell r="AM24">
            <v>575165.76</v>
          </cell>
          <cell r="AN24">
            <v>223653.28368000058</v>
          </cell>
          <cell r="AP24">
            <v>986595.12189000053</v>
          </cell>
          <cell r="AQ24">
            <v>722344.01</v>
          </cell>
          <cell r="AR24">
            <v>264251.11189000052</v>
          </cell>
          <cell r="AS24">
            <v>602082.8318900005</v>
          </cell>
        </row>
        <row r="25">
          <cell r="B25" t="str">
            <v>100700730A</v>
          </cell>
          <cell r="G25" t="str">
            <v>NSGO</v>
          </cell>
          <cell r="H25" t="str">
            <v xml:space="preserve">EASTERN OKLAHOMA MEDICAL CENTER </v>
          </cell>
          <cell r="I25" t="str">
            <v xml:space="preserve">105 WALL STREET  </v>
          </cell>
          <cell r="J25" t="str">
            <v xml:space="preserve">POTEAU         </v>
          </cell>
          <cell r="K25" t="str">
            <v>OK</v>
          </cell>
          <cell r="L25" t="str">
            <v>74953</v>
          </cell>
          <cell r="M25">
            <v>0.35389999999999999</v>
          </cell>
          <cell r="N25" t="str">
            <v>I</v>
          </cell>
          <cell r="O25">
            <v>262</v>
          </cell>
          <cell r="P25">
            <v>262</v>
          </cell>
          <cell r="Q25">
            <v>840890.47</v>
          </cell>
          <cell r="R25">
            <v>420884.9</v>
          </cell>
          <cell r="S25">
            <v>22466.829999999998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1318992.3999999999</v>
          </cell>
          <cell r="Y25">
            <v>0</v>
          </cell>
          <cell r="AA25">
            <v>297591.13733299996</v>
          </cell>
          <cell r="AB25">
            <v>1762344.13</v>
          </cell>
          <cell r="AC25">
            <v>-1464752.9926669998</v>
          </cell>
          <cell r="AE25">
            <v>6285544.3699999927</v>
          </cell>
          <cell r="AF25">
            <v>1629507.3299999998</v>
          </cell>
          <cell r="AG25">
            <v>61362.417826798119</v>
          </cell>
          <cell r="AH25">
            <v>0</v>
          </cell>
          <cell r="AI25">
            <v>0</v>
          </cell>
          <cell r="AJ25">
            <v>1453350.38</v>
          </cell>
          <cell r="AL25">
            <v>2224454.1525429972</v>
          </cell>
          <cell r="AM25">
            <v>3144220.1278267978</v>
          </cell>
          <cell r="AN25">
            <v>-919765.97528380062</v>
          </cell>
          <cell r="AP25">
            <v>2522045.2898759972</v>
          </cell>
          <cell r="AQ25">
            <v>4906564.2578267977</v>
          </cell>
          <cell r="AR25">
            <v>-2384518.9679508004</v>
          </cell>
          <cell r="AS25">
            <v>387823.81204919936</v>
          </cell>
        </row>
        <row r="26">
          <cell r="B26" t="str">
            <v>100700800A</v>
          </cell>
          <cell r="G26" t="str">
            <v>NSGO</v>
          </cell>
          <cell r="H26" t="str">
            <v xml:space="preserve">FAIRVIEW HSP </v>
          </cell>
          <cell r="I26" t="str">
            <v xml:space="preserve">523 STATE RD  </v>
          </cell>
          <cell r="J26" t="str">
            <v xml:space="preserve">FAIRVIEW       </v>
          </cell>
          <cell r="K26" t="str">
            <v>OK</v>
          </cell>
          <cell r="L26" t="str">
            <v>73737</v>
          </cell>
          <cell r="M26">
            <v>0.52790000000000004</v>
          </cell>
          <cell r="N26" t="str">
            <v>I</v>
          </cell>
          <cell r="O26">
            <v>33</v>
          </cell>
          <cell r="P26">
            <v>33</v>
          </cell>
          <cell r="Q26">
            <v>139866.88</v>
          </cell>
          <cell r="R26">
            <v>48562.15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81518.880000000005</v>
          </cell>
          <cell r="Y26">
            <v>0</v>
          </cell>
          <cell r="AA26">
            <v>73835.725952000008</v>
          </cell>
          <cell r="AB26">
            <v>130081.03</v>
          </cell>
          <cell r="AC26">
            <v>-56245.304047999991</v>
          </cell>
          <cell r="AE26">
            <v>880922.41999999993</v>
          </cell>
          <cell r="AF26">
            <v>156770.63</v>
          </cell>
          <cell r="AG26">
            <v>14307.740000000002</v>
          </cell>
          <cell r="AH26">
            <v>0</v>
          </cell>
          <cell r="AI26">
            <v>0</v>
          </cell>
          <cell r="AJ26">
            <v>213328.59999999998</v>
          </cell>
          <cell r="AL26">
            <v>465038.94551799999</v>
          </cell>
          <cell r="AM26">
            <v>384406.97</v>
          </cell>
          <cell r="AN26">
            <v>80631.975518000021</v>
          </cell>
          <cell r="AP26">
            <v>538874.67146999994</v>
          </cell>
          <cell r="AQ26">
            <v>514488</v>
          </cell>
          <cell r="AR26">
            <v>24386.671469999943</v>
          </cell>
          <cell r="AS26">
            <v>319234.15146999992</v>
          </cell>
        </row>
        <row r="27">
          <cell r="B27" t="str">
            <v>100700780B</v>
          </cell>
          <cell r="G27" t="str">
            <v>NSGO</v>
          </cell>
          <cell r="H27" t="str">
            <v xml:space="preserve">HARMON MEM HSP </v>
          </cell>
          <cell r="I27" t="str">
            <v xml:space="preserve">400 E CHESTNUT  </v>
          </cell>
          <cell r="J27" t="str">
            <v xml:space="preserve">HOLLIS         </v>
          </cell>
          <cell r="K27" t="str">
            <v>OK</v>
          </cell>
          <cell r="L27" t="str">
            <v>73550</v>
          </cell>
          <cell r="M27">
            <v>0.58860000000000001</v>
          </cell>
          <cell r="N27" t="str">
            <v>I</v>
          </cell>
          <cell r="O27">
            <v>93</v>
          </cell>
          <cell r="P27">
            <v>93</v>
          </cell>
          <cell r="Q27">
            <v>363555.47</v>
          </cell>
          <cell r="R27">
            <v>132225.69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291980.18</v>
          </cell>
          <cell r="Y27">
            <v>0</v>
          </cell>
          <cell r="AA27">
            <v>213988.74964199998</v>
          </cell>
          <cell r="AB27">
            <v>424205.87</v>
          </cell>
          <cell r="AC27">
            <v>-210217.12035800001</v>
          </cell>
          <cell r="AE27">
            <v>1257934.2</v>
          </cell>
          <cell r="AF27">
            <v>187495.57</v>
          </cell>
          <cell r="AG27">
            <v>14895.894623029495</v>
          </cell>
          <cell r="AH27">
            <v>0</v>
          </cell>
          <cell r="AI27">
            <v>0</v>
          </cell>
          <cell r="AJ27">
            <v>802140.62000000011</v>
          </cell>
          <cell r="AL27">
            <v>740420.07011999993</v>
          </cell>
          <cell r="AM27">
            <v>1004532.0846230296</v>
          </cell>
          <cell r="AN27">
            <v>-264112.01450302964</v>
          </cell>
          <cell r="AP27">
            <v>954408.81976199988</v>
          </cell>
          <cell r="AQ27">
            <v>1428737.9546230296</v>
          </cell>
          <cell r="AR27">
            <v>-474329.13486102968</v>
          </cell>
          <cell r="AS27">
            <v>619791.66513897036</v>
          </cell>
        </row>
        <row r="28">
          <cell r="B28" t="str">
            <v>100699660A</v>
          </cell>
          <cell r="G28" t="str">
            <v>NSGO</v>
          </cell>
          <cell r="H28" t="str">
            <v xml:space="preserve">HARPER CO COM HSP </v>
          </cell>
          <cell r="I28" t="str">
            <v xml:space="preserve">1003 US HWY 64 NORTH  </v>
          </cell>
          <cell r="J28" t="str">
            <v xml:space="preserve">BUFFALO        </v>
          </cell>
          <cell r="K28" t="str">
            <v>OK</v>
          </cell>
          <cell r="L28" t="str">
            <v>73834</v>
          </cell>
          <cell r="M28">
            <v>0.51670000000000005</v>
          </cell>
          <cell r="N28" t="str">
            <v>I</v>
          </cell>
          <cell r="O28">
            <v>11</v>
          </cell>
          <cell r="P28">
            <v>11</v>
          </cell>
          <cell r="Q28">
            <v>43513.42</v>
          </cell>
          <cell r="R28">
            <v>22270.97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3015.6000000000004</v>
          </cell>
          <cell r="Y28">
            <v>0</v>
          </cell>
          <cell r="AA28">
            <v>22483.384114</v>
          </cell>
          <cell r="AB28">
            <v>25286.57</v>
          </cell>
          <cell r="AC28">
            <v>-2803.1858859999993</v>
          </cell>
          <cell r="AE28">
            <v>283112.42</v>
          </cell>
          <cell r="AF28">
            <v>56631.71</v>
          </cell>
          <cell r="AG28">
            <v>3227.85</v>
          </cell>
          <cell r="AH28">
            <v>0</v>
          </cell>
          <cell r="AI28">
            <v>0</v>
          </cell>
          <cell r="AJ28">
            <v>23313.620000000003</v>
          </cell>
          <cell r="AL28">
            <v>146284.18741400001</v>
          </cell>
          <cell r="AM28">
            <v>83173.179999999993</v>
          </cell>
          <cell r="AN28">
            <v>63111.007414000022</v>
          </cell>
          <cell r="AP28">
            <v>168767.571528</v>
          </cell>
          <cell r="AQ28">
            <v>108459.75</v>
          </cell>
          <cell r="AR28">
            <v>60307.821528</v>
          </cell>
          <cell r="AS28">
            <v>86637.041528000002</v>
          </cell>
        </row>
        <row r="29">
          <cell r="B29" t="str">
            <v>200539880B</v>
          </cell>
          <cell r="G29" t="str">
            <v>NSGO</v>
          </cell>
          <cell r="H29" t="str">
            <v xml:space="preserve">HOLDENVILLE GENERAL HOSPITAL </v>
          </cell>
          <cell r="I29" t="str">
            <v xml:space="preserve">100 MCDOUGAL DRIVE  </v>
          </cell>
          <cell r="J29" t="str">
            <v xml:space="preserve">HOLDENVILLE    </v>
          </cell>
          <cell r="K29" t="str">
            <v>OK</v>
          </cell>
          <cell r="L29" t="str">
            <v>74848</v>
          </cell>
          <cell r="M29">
            <v>0.41410000000000002</v>
          </cell>
          <cell r="N29" t="str">
            <v>I</v>
          </cell>
          <cell r="O29">
            <v>162</v>
          </cell>
          <cell r="P29">
            <v>162</v>
          </cell>
          <cell r="Q29">
            <v>803218.23</v>
          </cell>
          <cell r="R29">
            <v>235215.26</v>
          </cell>
          <cell r="S29">
            <v>1683.91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A29">
            <v>332612.66904300003</v>
          </cell>
          <cell r="AB29">
            <v>236899.17</v>
          </cell>
          <cell r="AC29">
            <v>95713.499043000018</v>
          </cell>
          <cell r="AE29">
            <v>2440159.34</v>
          </cell>
          <cell r="AF29">
            <v>608983.89999999898</v>
          </cell>
          <cell r="AG29">
            <v>37344.040894993836</v>
          </cell>
          <cell r="AH29">
            <v>0</v>
          </cell>
          <cell r="AI29">
            <v>0</v>
          </cell>
          <cell r="AJ29">
            <v>889882.72</v>
          </cell>
          <cell r="AL29">
            <v>1010469.982694</v>
          </cell>
          <cell r="AM29">
            <v>1536210.6608949928</v>
          </cell>
          <cell r="AN29">
            <v>-525740.67820099276</v>
          </cell>
          <cell r="AP29">
            <v>1343082.6517370001</v>
          </cell>
          <cell r="AQ29">
            <v>1773109.8308949927</v>
          </cell>
          <cell r="AR29">
            <v>-430027.17915799259</v>
          </cell>
          <cell r="AS29">
            <v>459855.54084200738</v>
          </cell>
        </row>
        <row r="30">
          <cell r="B30" t="str">
            <v>100699630A</v>
          </cell>
          <cell r="G30" t="str">
            <v>NSGO</v>
          </cell>
          <cell r="H30" t="str">
            <v xml:space="preserve">MEMORIAL HOSPITAL OF TEXAS COUNTY </v>
          </cell>
          <cell r="I30" t="str">
            <v xml:space="preserve">520 MEDICAL DR  </v>
          </cell>
          <cell r="J30" t="str">
            <v xml:space="preserve">GUYMON         </v>
          </cell>
          <cell r="K30" t="str">
            <v>OK</v>
          </cell>
          <cell r="L30" t="str">
            <v>73942</v>
          </cell>
          <cell r="M30">
            <v>0.39400000000000002</v>
          </cell>
          <cell r="N30" t="str">
            <v>I</v>
          </cell>
          <cell r="O30">
            <v>100</v>
          </cell>
          <cell r="P30">
            <v>100</v>
          </cell>
          <cell r="Q30">
            <v>912479.34</v>
          </cell>
          <cell r="R30">
            <v>145152.26999999999</v>
          </cell>
          <cell r="S30">
            <v>7420.04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95066.22</v>
          </cell>
          <cell r="Y30">
            <v>0</v>
          </cell>
          <cell r="AA30">
            <v>359516.85996000003</v>
          </cell>
          <cell r="AB30">
            <v>247638.53</v>
          </cell>
          <cell r="AC30">
            <v>111878.32996000003</v>
          </cell>
          <cell r="AE30">
            <v>2471456.67</v>
          </cell>
          <cell r="AF30">
            <v>365686.1399999999</v>
          </cell>
          <cell r="AG30">
            <v>37505.63054074291</v>
          </cell>
          <cell r="AH30">
            <v>0</v>
          </cell>
          <cell r="AI30">
            <v>0</v>
          </cell>
          <cell r="AJ30">
            <v>315314.69999999995</v>
          </cell>
          <cell r="AL30">
            <v>973753.92798000004</v>
          </cell>
          <cell r="AM30">
            <v>718506.47054074274</v>
          </cell>
          <cell r="AN30">
            <v>255247.4574392573</v>
          </cell>
          <cell r="AP30">
            <v>1333270.7879400002</v>
          </cell>
          <cell r="AQ30">
            <v>966145.00054074277</v>
          </cell>
          <cell r="AR30">
            <v>367125.78739925742</v>
          </cell>
          <cell r="AS30">
            <v>777506.70739925734</v>
          </cell>
        </row>
        <row r="31">
          <cell r="B31" t="str">
            <v>100699960A</v>
          </cell>
          <cell r="G31" t="str">
            <v>NSGO</v>
          </cell>
          <cell r="H31" t="str">
            <v xml:space="preserve">MERCY HEALTH LOVE COUNTY </v>
          </cell>
          <cell r="I31" t="str">
            <v xml:space="preserve">300 WANDA ST  </v>
          </cell>
          <cell r="J31" t="str">
            <v xml:space="preserve">MARIETTA       </v>
          </cell>
          <cell r="K31" t="str">
            <v>OK</v>
          </cell>
          <cell r="L31" t="str">
            <v>73448</v>
          </cell>
          <cell r="M31">
            <v>0.57420000000000004</v>
          </cell>
          <cell r="N31" t="str">
            <v>I</v>
          </cell>
          <cell r="O31">
            <v>42</v>
          </cell>
          <cell r="P31">
            <v>42</v>
          </cell>
          <cell r="Q31">
            <v>184254.3</v>
          </cell>
          <cell r="R31">
            <v>75636.459999999992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35133.479999999996</v>
          </cell>
          <cell r="Y31">
            <v>0</v>
          </cell>
          <cell r="AA31">
            <v>105798.81905999999</v>
          </cell>
          <cell r="AB31">
            <v>110769.93999999999</v>
          </cell>
          <cell r="AC31">
            <v>-4971.1209399999934</v>
          </cell>
          <cell r="AE31">
            <v>1908292.48</v>
          </cell>
          <cell r="AF31">
            <v>329780.73</v>
          </cell>
          <cell r="AG31">
            <v>26102.799999999999</v>
          </cell>
          <cell r="AH31">
            <v>0</v>
          </cell>
          <cell r="AI31">
            <v>0</v>
          </cell>
          <cell r="AJ31">
            <v>1041652.5</v>
          </cell>
          <cell r="AL31">
            <v>1095741.542016</v>
          </cell>
          <cell r="AM31">
            <v>1397536.03</v>
          </cell>
          <cell r="AN31">
            <v>-301794.48798400001</v>
          </cell>
          <cell r="AP31">
            <v>1201540.3610759999</v>
          </cell>
          <cell r="AQ31">
            <v>1508305.97</v>
          </cell>
          <cell r="AR31">
            <v>-306765.60892400006</v>
          </cell>
          <cell r="AS31">
            <v>770020.37107599992</v>
          </cell>
        </row>
        <row r="32">
          <cell r="B32" t="str">
            <v>100700250A</v>
          </cell>
          <cell r="G32" t="str">
            <v>NSGO</v>
          </cell>
          <cell r="H32" t="str">
            <v xml:space="preserve">OKEENE MUN HSP </v>
          </cell>
          <cell r="I32" t="str">
            <v xml:space="preserve">207 EAST F STREET  </v>
          </cell>
          <cell r="J32" t="str">
            <v xml:space="preserve">OKEENE         </v>
          </cell>
          <cell r="K32" t="str">
            <v>OK</v>
          </cell>
          <cell r="L32" t="str">
            <v>73763</v>
          </cell>
          <cell r="M32">
            <v>0.91710000000000003</v>
          </cell>
          <cell r="N32" t="str">
            <v>I</v>
          </cell>
          <cell r="O32">
            <v>9</v>
          </cell>
          <cell r="P32">
            <v>9</v>
          </cell>
          <cell r="Q32">
            <v>17876.2</v>
          </cell>
          <cell r="R32">
            <v>17078.650000000001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28125.58</v>
          </cell>
          <cell r="Y32">
            <v>0</v>
          </cell>
          <cell r="AA32">
            <v>16394.263020000002</v>
          </cell>
          <cell r="AB32">
            <v>45204.23</v>
          </cell>
          <cell r="AC32">
            <v>-28809.966980000001</v>
          </cell>
          <cell r="AE32">
            <v>547437.69999999995</v>
          </cell>
          <cell r="AF32">
            <v>132871.03</v>
          </cell>
          <cell r="AG32">
            <v>4186.3500000000004</v>
          </cell>
          <cell r="AH32">
            <v>0</v>
          </cell>
          <cell r="AI32">
            <v>0</v>
          </cell>
          <cell r="AJ32">
            <v>178151.38</v>
          </cell>
          <cell r="AL32">
            <v>502055.11466999998</v>
          </cell>
          <cell r="AM32">
            <v>315208.76</v>
          </cell>
          <cell r="AN32">
            <v>186846.35466999997</v>
          </cell>
          <cell r="AP32">
            <v>518449.37768999999</v>
          </cell>
          <cell r="AQ32">
            <v>360412.99</v>
          </cell>
          <cell r="AR32">
            <v>158036.38769</v>
          </cell>
          <cell r="AS32">
            <v>364313.34769000002</v>
          </cell>
        </row>
        <row r="33">
          <cell r="B33" t="str">
            <v>100690120A</v>
          </cell>
          <cell r="G33" t="str">
            <v>NSGO</v>
          </cell>
          <cell r="H33" t="str">
            <v xml:space="preserve">PAWHUSKA HSP INC </v>
          </cell>
          <cell r="I33" t="str">
            <v xml:space="preserve">1101 E 15TH ST  </v>
          </cell>
          <cell r="J33" t="str">
            <v xml:space="preserve">PAWHUSKA       </v>
          </cell>
          <cell r="K33" t="str">
            <v>OK</v>
          </cell>
          <cell r="L33" t="str">
            <v>74056</v>
          </cell>
          <cell r="M33">
            <v>0.69140000000000001</v>
          </cell>
          <cell r="N33" t="str">
            <v>I</v>
          </cell>
          <cell r="O33">
            <v>143</v>
          </cell>
          <cell r="P33">
            <v>143</v>
          </cell>
          <cell r="Q33">
            <v>661725.29</v>
          </cell>
          <cell r="R33">
            <v>117193.08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17663.7</v>
          </cell>
          <cell r="Y33">
            <v>0</v>
          </cell>
          <cell r="AA33">
            <v>457516.86550600006</v>
          </cell>
          <cell r="AB33">
            <v>134856.78</v>
          </cell>
          <cell r="AC33">
            <v>322660.08550600009</v>
          </cell>
          <cell r="AE33">
            <v>978631.61000000103</v>
          </cell>
          <cell r="AF33">
            <v>147431.9</v>
          </cell>
          <cell r="AG33">
            <v>5775.2990932956427</v>
          </cell>
          <cell r="AH33">
            <v>0</v>
          </cell>
          <cell r="AI33">
            <v>0</v>
          </cell>
          <cell r="AJ33">
            <v>199389.46000000002</v>
          </cell>
          <cell r="AL33">
            <v>676625.89515400073</v>
          </cell>
          <cell r="AM33">
            <v>352596.65909329569</v>
          </cell>
          <cell r="AN33">
            <v>324029.23606070504</v>
          </cell>
          <cell r="AP33">
            <v>1134142.7606600008</v>
          </cell>
          <cell r="AQ33">
            <v>487453.43909329572</v>
          </cell>
          <cell r="AR33">
            <v>646689.32156670513</v>
          </cell>
          <cell r="AS33">
            <v>863742.48156670504</v>
          </cell>
        </row>
        <row r="34">
          <cell r="B34" t="str">
            <v>100699820A</v>
          </cell>
          <cell r="G34" t="str">
            <v>NSGO</v>
          </cell>
          <cell r="H34" t="str">
            <v xml:space="preserve">ROGER MILLS MEMORIAL HOSPITAL </v>
          </cell>
          <cell r="I34" t="str">
            <v xml:space="preserve">501 S LL MALES  </v>
          </cell>
          <cell r="J34" t="str">
            <v xml:space="preserve">CHEYENNE       </v>
          </cell>
          <cell r="K34" t="str">
            <v>OK</v>
          </cell>
          <cell r="L34" t="str">
            <v>73628</v>
          </cell>
          <cell r="M34">
            <v>0.72789999999999999</v>
          </cell>
          <cell r="N34" t="str">
            <v>I</v>
          </cell>
          <cell r="O34">
            <v>81</v>
          </cell>
          <cell r="P34">
            <v>81</v>
          </cell>
          <cell r="Q34">
            <v>430943</v>
          </cell>
          <cell r="R34">
            <v>117190.59999999999</v>
          </cell>
          <cell r="S34">
            <v>30030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21890.839999999997</v>
          </cell>
          <cell r="Y34">
            <v>0</v>
          </cell>
          <cell r="AA34">
            <v>313683.40970000002</v>
          </cell>
          <cell r="AB34">
            <v>169111.43999999997</v>
          </cell>
          <cell r="AC34">
            <v>144571.96970000005</v>
          </cell>
          <cell r="AE34">
            <v>819340.23</v>
          </cell>
          <cell r="AF34">
            <v>129328.14</v>
          </cell>
          <cell r="AG34">
            <v>4362.2679627160969</v>
          </cell>
          <cell r="AH34">
            <v>0</v>
          </cell>
          <cell r="AI34">
            <v>0</v>
          </cell>
          <cell r="AJ34">
            <v>217452.97999999998</v>
          </cell>
          <cell r="AL34">
            <v>596397.75341699994</v>
          </cell>
          <cell r="AM34">
            <v>351143.38796271605</v>
          </cell>
          <cell r="AN34">
            <v>245254.36545428389</v>
          </cell>
          <cell r="AP34">
            <v>910081.1631169999</v>
          </cell>
          <cell r="AQ34">
            <v>520254.82796271599</v>
          </cell>
          <cell r="AR34">
            <v>389826.33515428391</v>
          </cell>
          <cell r="AS34">
            <v>629170.15515428386</v>
          </cell>
        </row>
        <row r="35">
          <cell r="B35" t="str">
            <v>100699830A</v>
          </cell>
          <cell r="G35" t="str">
            <v>NSGO</v>
          </cell>
          <cell r="H35" t="str">
            <v xml:space="preserve">SHARE MEMORIAL HOSPITAL </v>
          </cell>
          <cell r="I35" t="str">
            <v xml:space="preserve">800 SHARE DRIVE  </v>
          </cell>
          <cell r="J35" t="str">
            <v xml:space="preserve">ALVA           </v>
          </cell>
          <cell r="K35" t="str">
            <v>OK</v>
          </cell>
          <cell r="L35" t="str">
            <v>73717</v>
          </cell>
          <cell r="M35">
            <v>0.505</v>
          </cell>
          <cell r="N35" t="str">
            <v>I</v>
          </cell>
          <cell r="O35">
            <v>88</v>
          </cell>
          <cell r="P35">
            <v>88</v>
          </cell>
          <cell r="Q35">
            <v>206817.82</v>
          </cell>
          <cell r="R35">
            <v>84725.040000000008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2115.98</v>
          </cell>
          <cell r="Y35">
            <v>0</v>
          </cell>
          <cell r="AA35">
            <v>104442.9991</v>
          </cell>
          <cell r="AB35">
            <v>86841.02</v>
          </cell>
          <cell r="AC35">
            <v>17601.979099999997</v>
          </cell>
          <cell r="AE35">
            <v>977845.8899999999</v>
          </cell>
          <cell r="AF35">
            <v>198821.47000000003</v>
          </cell>
          <cell r="AG35">
            <v>13112.943893510126</v>
          </cell>
          <cell r="AH35">
            <v>0</v>
          </cell>
          <cell r="AI35">
            <v>0</v>
          </cell>
          <cell r="AJ35">
            <v>95619.920000000013</v>
          </cell>
          <cell r="AL35">
            <v>493812.17444999993</v>
          </cell>
          <cell r="AM35">
            <v>307554.33389351016</v>
          </cell>
          <cell r="AN35">
            <v>186257.84055648977</v>
          </cell>
          <cell r="AP35">
            <v>598255.17354999995</v>
          </cell>
          <cell r="AQ35">
            <v>394395.35389351018</v>
          </cell>
          <cell r="AR35">
            <v>203859.81965648977</v>
          </cell>
          <cell r="AS35">
            <v>301595.71965648979</v>
          </cell>
        </row>
        <row r="36">
          <cell r="B36" t="str">
            <v>100699870E</v>
          </cell>
          <cell r="G36" t="str">
            <v>NSGO</v>
          </cell>
          <cell r="H36" t="str">
            <v xml:space="preserve">WEATHERFORD HOSPITAL AUTHORITY </v>
          </cell>
          <cell r="I36" t="str">
            <v xml:space="preserve">3701 E MAIN ST  </v>
          </cell>
          <cell r="J36" t="str">
            <v xml:space="preserve">WEATHERFORD    </v>
          </cell>
          <cell r="K36" t="str">
            <v>OK</v>
          </cell>
          <cell r="L36" t="str">
            <v>73096</v>
          </cell>
          <cell r="M36">
            <v>0.4365</v>
          </cell>
          <cell r="N36" t="str">
            <v>I</v>
          </cell>
          <cell r="O36">
            <v>456</v>
          </cell>
          <cell r="P36">
            <v>456</v>
          </cell>
          <cell r="Q36">
            <v>1659876.15</v>
          </cell>
          <cell r="R36">
            <v>496387.49</v>
          </cell>
          <cell r="S36">
            <v>56639.5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850773.96</v>
          </cell>
          <cell r="Y36">
            <v>0</v>
          </cell>
          <cell r="AA36">
            <v>724535.9394749999</v>
          </cell>
          <cell r="AB36">
            <v>1403800.95</v>
          </cell>
          <cell r="AC36">
            <v>-679265.01052500005</v>
          </cell>
          <cell r="AE36">
            <v>5135621.21</v>
          </cell>
          <cell r="AF36">
            <v>1225511.1600000018</v>
          </cell>
          <cell r="AG36">
            <v>42747.766197602949</v>
          </cell>
          <cell r="AH36">
            <v>0</v>
          </cell>
          <cell r="AI36">
            <v>0</v>
          </cell>
          <cell r="AJ36">
            <v>373090.24</v>
          </cell>
          <cell r="AL36">
            <v>2241698.6581649999</v>
          </cell>
          <cell r="AM36">
            <v>1641349.1661976047</v>
          </cell>
          <cell r="AN36">
            <v>600349.49196739518</v>
          </cell>
          <cell r="AP36">
            <v>2966234.5976399998</v>
          </cell>
          <cell r="AQ36">
            <v>3045150.1161976047</v>
          </cell>
          <cell r="AR36">
            <v>-78915.518557604868</v>
          </cell>
          <cell r="AS36">
            <v>1144948.6814423951</v>
          </cell>
        </row>
        <row r="37">
          <cell r="B37" t="str">
            <v>100700030A</v>
          </cell>
          <cell r="C37" t="str">
            <v>100700030I</v>
          </cell>
          <cell r="G37" t="str">
            <v>Private</v>
          </cell>
          <cell r="H37" t="str">
            <v xml:space="preserve">ADAIR COUNTY HC INC </v>
          </cell>
          <cell r="I37" t="str">
            <v xml:space="preserve">1401 WEST LOCUST  </v>
          </cell>
          <cell r="J37" t="str">
            <v xml:space="preserve">STILWELL       </v>
          </cell>
          <cell r="K37" t="str">
            <v>OK</v>
          </cell>
          <cell r="L37" t="str">
            <v>74960</v>
          </cell>
          <cell r="M37">
            <v>0.51380000000000003</v>
          </cell>
          <cell r="N37" t="str">
            <v>I</v>
          </cell>
          <cell r="O37">
            <v>755</v>
          </cell>
          <cell r="P37">
            <v>755</v>
          </cell>
          <cell r="Q37">
            <v>2295913.13</v>
          </cell>
          <cell r="R37">
            <v>783841.98</v>
          </cell>
          <cell r="S37">
            <v>45827.24</v>
          </cell>
          <cell r="T37">
            <v>0</v>
          </cell>
          <cell r="U37">
            <v>165109</v>
          </cell>
          <cell r="V37">
            <v>0</v>
          </cell>
          <cell r="W37">
            <v>0</v>
          </cell>
          <cell r="X37">
            <v>882085.82999999984</v>
          </cell>
          <cell r="Y37">
            <v>0</v>
          </cell>
          <cell r="AA37">
            <v>1344749.166194</v>
          </cell>
          <cell r="AB37">
            <v>1711755.0499999998</v>
          </cell>
          <cell r="AC37">
            <v>-367005.88380599977</v>
          </cell>
          <cell r="AE37">
            <v>4608462.84</v>
          </cell>
          <cell r="AF37">
            <v>1056742.69</v>
          </cell>
          <cell r="AG37">
            <v>16773.093125508371</v>
          </cell>
          <cell r="AH37">
            <v>0</v>
          </cell>
          <cell r="AI37">
            <v>192819</v>
          </cell>
          <cell r="AJ37">
            <v>393043.08999999997</v>
          </cell>
          <cell r="AL37">
            <v>2560647.207192</v>
          </cell>
          <cell r="AM37">
            <v>1466558.8731255084</v>
          </cell>
          <cell r="AN37">
            <v>1094088.3340664916</v>
          </cell>
          <cell r="AP37">
            <v>3905396.3733860003</v>
          </cell>
          <cell r="AQ37">
            <v>3178313.9231255082</v>
          </cell>
          <cell r="AR37">
            <v>727082.45026049204</v>
          </cell>
          <cell r="AS37">
            <v>2002211.370260492</v>
          </cell>
        </row>
        <row r="38">
          <cell r="B38" t="str">
            <v>200435950A</v>
          </cell>
          <cell r="C38" t="str">
            <v>100697900A</v>
          </cell>
          <cell r="G38" t="str">
            <v>Private</v>
          </cell>
          <cell r="H38" t="str">
            <v xml:space="preserve">AHS CLAREMORE REGIONAL HOSPITAL, LLC </v>
          </cell>
          <cell r="I38" t="str">
            <v xml:space="preserve">1202 N MUSKOGEE PL  </v>
          </cell>
          <cell r="J38" t="str">
            <v xml:space="preserve">CLAREMORE      </v>
          </cell>
          <cell r="K38" t="str">
            <v>OK</v>
          </cell>
          <cell r="L38" t="str">
            <v>74017</v>
          </cell>
          <cell r="M38">
            <v>0.1326</v>
          </cell>
          <cell r="N38" t="str">
            <v>I</v>
          </cell>
          <cell r="O38">
            <v>2922</v>
          </cell>
          <cell r="P38">
            <v>2918</v>
          </cell>
          <cell r="Q38">
            <v>33136125.939999998</v>
          </cell>
          <cell r="R38">
            <v>4088882.55</v>
          </cell>
          <cell r="S38">
            <v>473210.87</v>
          </cell>
          <cell r="T38">
            <v>0</v>
          </cell>
          <cell r="U38">
            <v>457841</v>
          </cell>
          <cell r="V38">
            <v>0</v>
          </cell>
          <cell r="W38">
            <v>0</v>
          </cell>
          <cell r="X38">
            <v>2453366.23</v>
          </cell>
          <cell r="Y38">
            <v>0</v>
          </cell>
          <cell r="AA38">
            <v>4851691.2996439999</v>
          </cell>
          <cell r="AB38">
            <v>7015459.6500000004</v>
          </cell>
          <cell r="AC38">
            <v>-2163768.3503560005</v>
          </cell>
          <cell r="AE38">
            <v>51943524.559999891</v>
          </cell>
          <cell r="AF38">
            <v>3574473.5800000099</v>
          </cell>
          <cell r="AG38">
            <v>512120.97</v>
          </cell>
          <cell r="AH38">
            <v>0</v>
          </cell>
          <cell r="AI38">
            <v>1140624</v>
          </cell>
          <cell r="AJ38">
            <v>1012735.1900000001</v>
          </cell>
          <cell r="AL38">
            <v>8028335.3566559851</v>
          </cell>
          <cell r="AM38">
            <v>5099329.7400000105</v>
          </cell>
          <cell r="AN38">
            <v>2929005.6166559746</v>
          </cell>
          <cell r="AP38">
            <v>12880026.656299986</v>
          </cell>
          <cell r="AQ38">
            <v>12114789.390000012</v>
          </cell>
          <cell r="AR38">
            <v>765237.26629997417</v>
          </cell>
          <cell r="AS38">
            <v>4231338.6862999741</v>
          </cell>
        </row>
        <row r="39">
          <cell r="B39" t="str">
            <v>200045700C</v>
          </cell>
          <cell r="G39" t="str">
            <v>Private</v>
          </cell>
          <cell r="H39" t="str">
            <v xml:space="preserve">AHS HENRYETTA HOSPITAL, LLC </v>
          </cell>
          <cell r="I39" t="str">
            <v xml:space="preserve">2401 W. MAIN  </v>
          </cell>
          <cell r="J39" t="str">
            <v xml:space="preserve">HENRYETTA      </v>
          </cell>
          <cell r="K39" t="str">
            <v>OK</v>
          </cell>
          <cell r="L39" t="str">
            <v>74437</v>
          </cell>
          <cell r="M39">
            <v>0.17050000000000001</v>
          </cell>
          <cell r="N39" t="str">
            <v>I</v>
          </cell>
          <cell r="O39">
            <v>804</v>
          </cell>
          <cell r="P39">
            <v>804</v>
          </cell>
          <cell r="Q39">
            <v>3242577.47</v>
          </cell>
          <cell r="R39">
            <v>703067.67</v>
          </cell>
          <cell r="S39">
            <v>0</v>
          </cell>
          <cell r="T39">
            <v>0</v>
          </cell>
          <cell r="U39">
            <v>73574</v>
          </cell>
          <cell r="V39">
            <v>0</v>
          </cell>
          <cell r="W39">
            <v>0</v>
          </cell>
          <cell r="X39">
            <v>252390.86</v>
          </cell>
          <cell r="Y39">
            <v>0</v>
          </cell>
          <cell r="AA39">
            <v>626433.45863500005</v>
          </cell>
          <cell r="AB39">
            <v>955458.53</v>
          </cell>
          <cell r="AC39">
            <v>-329025.07136499998</v>
          </cell>
          <cell r="AE39">
            <v>15791114.59</v>
          </cell>
          <cell r="AF39">
            <v>1493487.2499999981</v>
          </cell>
          <cell r="AG39">
            <v>97912.43</v>
          </cell>
          <cell r="AH39">
            <v>0</v>
          </cell>
          <cell r="AI39">
            <v>342767</v>
          </cell>
          <cell r="AJ39">
            <v>362479.79</v>
          </cell>
          <cell r="AL39">
            <v>3035152.0375950001</v>
          </cell>
          <cell r="AM39">
            <v>1953879.4699999981</v>
          </cell>
          <cell r="AN39">
            <v>1081272.567595002</v>
          </cell>
          <cell r="AP39">
            <v>3661585.4962300002</v>
          </cell>
          <cell r="AQ39">
            <v>2909337.9999999981</v>
          </cell>
          <cell r="AR39">
            <v>752247.49623000203</v>
          </cell>
          <cell r="AS39">
            <v>1367118.1462300019</v>
          </cell>
        </row>
        <row r="40">
          <cell r="B40" t="str">
            <v>200439230A</v>
          </cell>
          <cell r="G40" t="str">
            <v>Private</v>
          </cell>
          <cell r="H40" t="str">
            <v xml:space="preserve">AHS SOUTHCREST HOSPITAL, LLC </v>
          </cell>
          <cell r="I40" t="str">
            <v xml:space="preserve">8801 SOUTH 101ST E AVE  </v>
          </cell>
          <cell r="J40" t="str">
            <v xml:space="preserve">TULSA          </v>
          </cell>
          <cell r="K40" t="str">
            <v>OK</v>
          </cell>
          <cell r="L40" t="str">
            <v>74133</v>
          </cell>
          <cell r="M40">
            <v>0.16300000000000001</v>
          </cell>
          <cell r="N40" t="str">
            <v>I</v>
          </cell>
          <cell r="O40">
            <v>10813</v>
          </cell>
          <cell r="P40">
            <v>10801</v>
          </cell>
          <cell r="Q40">
            <v>111390231.67</v>
          </cell>
          <cell r="R40">
            <v>13856097.550000001</v>
          </cell>
          <cell r="S40">
            <v>1414960.62</v>
          </cell>
          <cell r="T40">
            <v>0</v>
          </cell>
          <cell r="U40">
            <v>2752806</v>
          </cell>
          <cell r="V40">
            <v>0</v>
          </cell>
          <cell r="W40">
            <v>0</v>
          </cell>
          <cell r="X40">
            <v>8288927.1399999997</v>
          </cell>
          <cell r="Y40">
            <v>0</v>
          </cell>
          <cell r="AA40">
            <v>20909413.76221</v>
          </cell>
          <cell r="AB40">
            <v>23559985.310000002</v>
          </cell>
          <cell r="AC40">
            <v>-2650571.5477900021</v>
          </cell>
          <cell r="AE40">
            <v>62230755.540000096</v>
          </cell>
          <cell r="AF40">
            <v>5840042.0800000196</v>
          </cell>
          <cell r="AG40">
            <v>1066492.9300000002</v>
          </cell>
          <cell r="AH40">
            <v>0</v>
          </cell>
          <cell r="AI40">
            <v>2061711</v>
          </cell>
          <cell r="AJ40">
            <v>1542305.2300000002</v>
          </cell>
          <cell r="AL40">
            <v>12205324.153020017</v>
          </cell>
          <cell r="AM40">
            <v>8448840.2400000207</v>
          </cell>
          <cell r="AN40">
            <v>3756483.9130199961</v>
          </cell>
          <cell r="AP40">
            <v>33114737.915230017</v>
          </cell>
          <cell r="AQ40">
            <v>32008825.550000023</v>
          </cell>
          <cell r="AR40">
            <v>1105912.3652299941</v>
          </cell>
          <cell r="AS40">
            <v>10937144.735229995</v>
          </cell>
        </row>
        <row r="41">
          <cell r="B41" t="str">
            <v>100699370A</v>
          </cell>
          <cell r="G41" t="str">
            <v>Private</v>
          </cell>
          <cell r="H41" t="str">
            <v xml:space="preserve">ALLIANCEHEALTH DEACONESS </v>
          </cell>
          <cell r="I41" t="str">
            <v xml:space="preserve">5501 N PORTLAND  </v>
          </cell>
          <cell r="J41" t="str">
            <v xml:space="preserve">OKLAHOMA CITY  </v>
          </cell>
          <cell r="K41" t="str">
            <v>OK</v>
          </cell>
          <cell r="L41" t="str">
            <v>73112</v>
          </cell>
          <cell r="M41">
            <v>0.2281</v>
          </cell>
          <cell r="N41" t="str">
            <v>I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173325.24</v>
          </cell>
          <cell r="AF41">
            <v>9549.98</v>
          </cell>
          <cell r="AG41">
            <v>5.6843418860808002E-14</v>
          </cell>
          <cell r="AH41">
            <v>0</v>
          </cell>
          <cell r="AI41">
            <v>0</v>
          </cell>
          <cell r="AJ41">
            <v>0</v>
          </cell>
          <cell r="AL41">
            <v>39535.487243999996</v>
          </cell>
          <cell r="AM41">
            <v>9549.98</v>
          </cell>
          <cell r="AN41">
            <v>29985.507243999997</v>
          </cell>
          <cell r="AP41">
            <v>39535.487243999996</v>
          </cell>
          <cell r="AQ41">
            <v>9549.98</v>
          </cell>
          <cell r="AR41">
            <v>29985.507243999997</v>
          </cell>
          <cell r="AS41">
            <v>29985.507243999997</v>
          </cell>
        </row>
        <row r="42">
          <cell r="B42" t="str">
            <v>100696610B</v>
          </cell>
          <cell r="G42" t="str">
            <v>Private</v>
          </cell>
          <cell r="H42" t="str">
            <v xml:space="preserve">ALLIANCEHEALTH DURANT </v>
          </cell>
          <cell r="I42" t="str">
            <v xml:space="preserve">1800 UNIVERSITY  </v>
          </cell>
          <cell r="J42" t="str">
            <v xml:space="preserve">DURANT         </v>
          </cell>
          <cell r="K42" t="str">
            <v>OK</v>
          </cell>
          <cell r="L42" t="str">
            <v>74701</v>
          </cell>
          <cell r="M42">
            <v>6.4399999999999999E-2</v>
          </cell>
          <cell r="N42" t="str">
            <v>I</v>
          </cell>
          <cell r="O42">
            <v>8235</v>
          </cell>
          <cell r="P42">
            <v>8235</v>
          </cell>
          <cell r="Q42">
            <v>194045812.72999999</v>
          </cell>
          <cell r="R42">
            <v>9963059.6499999985</v>
          </cell>
          <cell r="S42">
            <v>1237061.07</v>
          </cell>
          <cell r="T42">
            <v>0</v>
          </cell>
          <cell r="U42">
            <v>987017</v>
          </cell>
          <cell r="V42">
            <v>0</v>
          </cell>
          <cell r="W42">
            <v>0</v>
          </cell>
          <cell r="X42">
            <v>6618269.2000000011</v>
          </cell>
          <cell r="Y42">
            <v>0</v>
          </cell>
          <cell r="AA42">
            <v>13483567.339811999</v>
          </cell>
          <cell r="AB42">
            <v>17818389.920000002</v>
          </cell>
          <cell r="AC42">
            <v>-4334822.5801880024</v>
          </cell>
          <cell r="AE42">
            <v>183911961.12</v>
          </cell>
          <cell r="AF42">
            <v>6809590.6799999755</v>
          </cell>
          <cell r="AG42">
            <v>1262683.242552422</v>
          </cell>
          <cell r="AH42">
            <v>0</v>
          </cell>
          <cell r="AI42">
            <v>1200336</v>
          </cell>
          <cell r="AJ42">
            <v>1878616.4600000002</v>
          </cell>
          <cell r="AL42">
            <v>13044266.296127999</v>
          </cell>
          <cell r="AM42">
            <v>9950890.3825523984</v>
          </cell>
          <cell r="AN42">
            <v>3093375.9135756008</v>
          </cell>
          <cell r="AP42">
            <v>26527833.63594</v>
          </cell>
          <cell r="AQ42">
            <v>27769280.302552402</v>
          </cell>
          <cell r="AR42">
            <v>-1241446.6666124016</v>
          </cell>
          <cell r="AS42">
            <v>7255438.9933875995</v>
          </cell>
        </row>
        <row r="43">
          <cell r="B43" t="str">
            <v>100699420A</v>
          </cell>
          <cell r="G43" t="str">
            <v>Private</v>
          </cell>
          <cell r="H43" t="str">
            <v xml:space="preserve">ALLIANCEHEALTH PONCA CITY </v>
          </cell>
          <cell r="I43" t="str">
            <v xml:space="preserve">1900 N 14 STREET  </v>
          </cell>
          <cell r="J43" t="str">
            <v xml:space="preserve">PONCA CITY     </v>
          </cell>
          <cell r="K43" t="str">
            <v>OK</v>
          </cell>
          <cell r="L43" t="str">
            <v>74601</v>
          </cell>
          <cell r="M43">
            <v>0.14399999999999999</v>
          </cell>
          <cell r="N43" t="str">
            <v>I</v>
          </cell>
          <cell r="O43">
            <v>2787</v>
          </cell>
          <cell r="P43">
            <v>2787</v>
          </cell>
          <cell r="Q43">
            <v>35858004.07</v>
          </cell>
          <cell r="R43">
            <v>3560806.04</v>
          </cell>
          <cell r="S43">
            <v>449663.93</v>
          </cell>
          <cell r="T43">
            <v>0</v>
          </cell>
          <cell r="U43">
            <v>405633</v>
          </cell>
          <cell r="V43">
            <v>0</v>
          </cell>
          <cell r="W43">
            <v>0</v>
          </cell>
          <cell r="X43">
            <v>2735096.98</v>
          </cell>
          <cell r="Y43">
            <v>0</v>
          </cell>
          <cell r="AA43">
            <v>5569185.5860799998</v>
          </cell>
          <cell r="AB43">
            <v>6745566.9500000002</v>
          </cell>
          <cell r="AC43">
            <v>-1176381.3639200004</v>
          </cell>
          <cell r="AE43">
            <v>48801690.820000008</v>
          </cell>
          <cell r="AF43">
            <v>3587831.8899999899</v>
          </cell>
          <cell r="AG43">
            <v>523851.42000000004</v>
          </cell>
          <cell r="AH43">
            <v>0</v>
          </cell>
          <cell r="AI43">
            <v>822905</v>
          </cell>
          <cell r="AJ43">
            <v>979669.90999999992</v>
          </cell>
          <cell r="AL43">
            <v>7850348.4780800007</v>
          </cell>
          <cell r="AM43">
            <v>5091353.2199999895</v>
          </cell>
          <cell r="AN43">
            <v>2758995.2580800112</v>
          </cell>
          <cell r="AP43">
            <v>13419534.064160001</v>
          </cell>
          <cell r="AQ43">
            <v>11836920.169999991</v>
          </cell>
          <cell r="AR43">
            <v>1582613.8941600099</v>
          </cell>
          <cell r="AS43">
            <v>5297380.7841600105</v>
          </cell>
        </row>
        <row r="44">
          <cell r="B44" t="str">
            <v>200196450C</v>
          </cell>
          <cell r="G44" t="str">
            <v>Private</v>
          </cell>
          <cell r="H44" t="str">
            <v xml:space="preserve">ALLIANCEHEALTH SEMINOLE </v>
          </cell>
          <cell r="I44" t="str">
            <v xml:space="preserve">2401 W WRANGLER BLVD  </v>
          </cell>
          <cell r="J44" t="str">
            <v xml:space="preserve">SEMINOLE       </v>
          </cell>
          <cell r="K44" t="str">
            <v>OK</v>
          </cell>
          <cell r="L44" t="str">
            <v>74868</v>
          </cell>
          <cell r="M44">
            <v>0.18149999999999999</v>
          </cell>
          <cell r="N44" t="str">
            <v>I</v>
          </cell>
          <cell r="O44">
            <v>324</v>
          </cell>
          <cell r="P44">
            <v>324</v>
          </cell>
          <cell r="Q44">
            <v>2928964.7600000002</v>
          </cell>
          <cell r="R44">
            <v>503752.02</v>
          </cell>
          <cell r="S44">
            <v>0</v>
          </cell>
          <cell r="T44">
            <v>0</v>
          </cell>
          <cell r="U44">
            <v>40716</v>
          </cell>
          <cell r="V44">
            <v>0</v>
          </cell>
          <cell r="W44">
            <v>0</v>
          </cell>
          <cell r="X44">
            <v>266685.05</v>
          </cell>
          <cell r="Y44">
            <v>0</v>
          </cell>
          <cell r="AA44">
            <v>572323.10394000006</v>
          </cell>
          <cell r="AB44">
            <v>770437.07000000007</v>
          </cell>
          <cell r="AC44">
            <v>-198113.96606000001</v>
          </cell>
          <cell r="AE44">
            <v>16990627.02999999</v>
          </cell>
          <cell r="AF44">
            <v>2067921.1400000001</v>
          </cell>
          <cell r="AG44">
            <v>152193.29999999999</v>
          </cell>
          <cell r="AH44">
            <v>0</v>
          </cell>
          <cell r="AI44">
            <v>281932</v>
          </cell>
          <cell r="AJ44">
            <v>577239.61999999988</v>
          </cell>
          <cell r="AL44">
            <v>3365730.8059449983</v>
          </cell>
          <cell r="AM44">
            <v>2797354.0599999996</v>
          </cell>
          <cell r="AN44">
            <v>568376.74594499869</v>
          </cell>
          <cell r="AP44">
            <v>3938053.9098849986</v>
          </cell>
          <cell r="AQ44">
            <v>3567791.13</v>
          </cell>
          <cell r="AR44">
            <v>370262.77988499869</v>
          </cell>
          <cell r="AS44">
            <v>1214187.4498849986</v>
          </cell>
        </row>
        <row r="45">
          <cell r="B45" t="str">
            <v>200019120A</v>
          </cell>
          <cell r="G45" t="str">
            <v>Private</v>
          </cell>
          <cell r="H45" t="str">
            <v xml:space="preserve">ALLIANCEHEALTH WOODWARD </v>
          </cell>
          <cell r="I45" t="str">
            <v xml:space="preserve">900 17TH ST  </v>
          </cell>
          <cell r="J45" t="str">
            <v xml:space="preserve">WOODWARD       </v>
          </cell>
          <cell r="K45" t="str">
            <v>OK</v>
          </cell>
          <cell r="L45" t="str">
            <v>73801</v>
          </cell>
          <cell r="M45">
            <v>0.13220000000000001</v>
          </cell>
          <cell r="N45" t="str">
            <v>I</v>
          </cell>
          <cell r="O45">
            <v>1182</v>
          </cell>
          <cell r="P45">
            <v>1182</v>
          </cell>
          <cell r="Q45">
            <v>13249878.6</v>
          </cell>
          <cell r="R45">
            <v>1259082.08</v>
          </cell>
          <cell r="S45">
            <v>291752.61</v>
          </cell>
          <cell r="T45">
            <v>0</v>
          </cell>
          <cell r="U45">
            <v>229533</v>
          </cell>
          <cell r="V45">
            <v>0</v>
          </cell>
          <cell r="W45">
            <v>0</v>
          </cell>
          <cell r="X45">
            <v>874779.2</v>
          </cell>
          <cell r="Y45">
            <v>0</v>
          </cell>
          <cell r="AA45">
            <v>1981166.9509200002</v>
          </cell>
          <cell r="AB45">
            <v>2425613.8899999997</v>
          </cell>
          <cell r="AC45">
            <v>-444446.93907999946</v>
          </cell>
          <cell r="AE45">
            <v>24767919.369999997</v>
          </cell>
          <cell r="AF45">
            <v>1861298.9699999997</v>
          </cell>
          <cell r="AG45">
            <v>406911.259554527</v>
          </cell>
          <cell r="AH45">
            <v>0</v>
          </cell>
          <cell r="AI45">
            <v>741395</v>
          </cell>
          <cell r="AJ45">
            <v>532682.46</v>
          </cell>
          <cell r="AL45">
            <v>4015713.9407139998</v>
          </cell>
          <cell r="AM45">
            <v>2800892.6895545265</v>
          </cell>
          <cell r="AN45">
            <v>1214821.2511594733</v>
          </cell>
          <cell r="AP45">
            <v>5996880.8916340005</v>
          </cell>
          <cell r="AQ45">
            <v>5226506.5795545261</v>
          </cell>
          <cell r="AR45">
            <v>770374.31207947433</v>
          </cell>
          <cell r="AS45">
            <v>2177835.9720794745</v>
          </cell>
        </row>
        <row r="46">
          <cell r="B46" t="str">
            <v>200102450A</v>
          </cell>
          <cell r="G46" t="str">
            <v>Private</v>
          </cell>
          <cell r="H46" t="str">
            <v xml:space="preserve">BAILEY MEDICAL CENTER LLC </v>
          </cell>
          <cell r="I46" t="str">
            <v xml:space="preserve">10502 N 110TH E AVE  </v>
          </cell>
          <cell r="J46" t="str">
            <v xml:space="preserve">OWASSO         </v>
          </cell>
          <cell r="K46" t="str">
            <v>OK</v>
          </cell>
          <cell r="L46" t="str">
            <v>74055</v>
          </cell>
          <cell r="M46">
            <v>0.13600000000000001</v>
          </cell>
          <cell r="N46" t="str">
            <v>I</v>
          </cell>
          <cell r="O46">
            <v>535</v>
          </cell>
          <cell r="P46">
            <v>535</v>
          </cell>
          <cell r="Q46">
            <v>6843136.1500000004</v>
          </cell>
          <cell r="R46">
            <v>621642.09</v>
          </cell>
          <cell r="S46">
            <v>669959.22</v>
          </cell>
          <cell r="T46">
            <v>0</v>
          </cell>
          <cell r="U46">
            <v>395001</v>
          </cell>
          <cell r="V46">
            <v>0</v>
          </cell>
          <cell r="W46">
            <v>0</v>
          </cell>
          <cell r="X46">
            <v>445219.18</v>
          </cell>
          <cell r="Y46">
            <v>0</v>
          </cell>
          <cell r="AA46">
            <v>1325667.5164000001</v>
          </cell>
          <cell r="AB46">
            <v>1736820.49</v>
          </cell>
          <cell r="AC46">
            <v>-411152.97359999991</v>
          </cell>
          <cell r="AE46">
            <v>31183677.639999997</v>
          </cell>
          <cell r="AF46">
            <v>2527079.91</v>
          </cell>
          <cell r="AG46">
            <v>549418.88</v>
          </cell>
          <cell r="AH46">
            <v>0</v>
          </cell>
          <cell r="AI46">
            <v>955702</v>
          </cell>
          <cell r="AJ46">
            <v>621747.61</v>
          </cell>
          <cell r="AL46">
            <v>5196682.1590400003</v>
          </cell>
          <cell r="AM46">
            <v>3698246.4</v>
          </cell>
          <cell r="AN46">
            <v>1498435.7590400004</v>
          </cell>
          <cell r="AP46">
            <v>6522349.6754400004</v>
          </cell>
          <cell r="AQ46">
            <v>5435066.8899999997</v>
          </cell>
          <cell r="AR46">
            <v>1087282.7854400007</v>
          </cell>
          <cell r="AS46">
            <v>2154249.5754400007</v>
          </cell>
        </row>
        <row r="47">
          <cell r="B47" t="str">
            <v>200668710A</v>
          </cell>
          <cell r="G47" t="str">
            <v>Private</v>
          </cell>
          <cell r="H47" t="str">
            <v xml:space="preserve">BLACKWELL REGIONAL HOSPITAL </v>
          </cell>
          <cell r="I47" t="str">
            <v xml:space="preserve">710 S 13TH ST  </v>
          </cell>
          <cell r="J47" t="str">
            <v xml:space="preserve">BLACKWELL      </v>
          </cell>
          <cell r="K47" t="str">
            <v>OK</v>
          </cell>
          <cell r="L47" t="str">
            <v>74631</v>
          </cell>
          <cell r="M47">
            <v>0.18329999999999999</v>
          </cell>
          <cell r="N47" t="str">
            <v>I</v>
          </cell>
          <cell r="O47">
            <v>123</v>
          </cell>
          <cell r="P47">
            <v>123</v>
          </cell>
          <cell r="Q47">
            <v>848250.5</v>
          </cell>
          <cell r="R47">
            <v>144246.78999999998</v>
          </cell>
          <cell r="S47">
            <v>0</v>
          </cell>
          <cell r="T47">
            <v>0</v>
          </cell>
          <cell r="U47">
            <v>51975</v>
          </cell>
          <cell r="V47">
            <v>0</v>
          </cell>
          <cell r="W47">
            <v>0</v>
          </cell>
          <cell r="X47">
            <v>184181</v>
          </cell>
          <cell r="Y47">
            <v>0</v>
          </cell>
          <cell r="AA47">
            <v>207459.31664999999</v>
          </cell>
          <cell r="AB47">
            <v>328427.78999999998</v>
          </cell>
          <cell r="AC47">
            <v>-120968.47334999999</v>
          </cell>
          <cell r="AE47">
            <v>6893146.8499999996</v>
          </cell>
          <cell r="AF47">
            <v>666438.18999999808</v>
          </cell>
          <cell r="AG47">
            <v>53631.455828776947</v>
          </cell>
          <cell r="AH47">
            <v>0</v>
          </cell>
          <cell r="AI47">
            <v>162894</v>
          </cell>
          <cell r="AJ47">
            <v>235643.91</v>
          </cell>
          <cell r="AL47">
            <v>1426407.8176049998</v>
          </cell>
          <cell r="AM47">
            <v>955713.55582877505</v>
          </cell>
          <cell r="AN47">
            <v>470694.26177622471</v>
          </cell>
          <cell r="AP47">
            <v>1633867.1342549997</v>
          </cell>
          <cell r="AQ47">
            <v>1284141.3458287751</v>
          </cell>
          <cell r="AR47">
            <v>349725.78842622461</v>
          </cell>
          <cell r="AS47">
            <v>769550.69842622464</v>
          </cell>
        </row>
        <row r="48">
          <cell r="B48" t="str">
            <v>200573000A</v>
          </cell>
          <cell r="C48" t="str">
            <v>200697510F</v>
          </cell>
          <cell r="G48" t="str">
            <v>Private</v>
          </cell>
          <cell r="H48" t="str">
            <v xml:space="preserve">BRISTOW ENDEAVOR HEALTHCARE, LLC </v>
          </cell>
          <cell r="I48" t="str">
            <v>700 W. 7TH STREET  SUITE 6</v>
          </cell>
          <cell r="J48" t="str">
            <v xml:space="preserve">BRISTOW        </v>
          </cell>
          <cell r="K48" t="str">
            <v>OK</v>
          </cell>
          <cell r="L48" t="str">
            <v>74010</v>
          </cell>
          <cell r="M48">
            <v>0.1913</v>
          </cell>
          <cell r="N48" t="str">
            <v>I</v>
          </cell>
          <cell r="O48">
            <v>243</v>
          </cell>
          <cell r="P48">
            <v>243</v>
          </cell>
          <cell r="Q48">
            <v>14522563.790000001</v>
          </cell>
          <cell r="R48">
            <v>1443271.56</v>
          </cell>
          <cell r="S48">
            <v>72000.25</v>
          </cell>
          <cell r="T48">
            <v>0</v>
          </cell>
          <cell r="U48">
            <v>515383</v>
          </cell>
          <cell r="V48">
            <v>0</v>
          </cell>
          <cell r="W48">
            <v>0</v>
          </cell>
          <cell r="X48">
            <v>1217766.28</v>
          </cell>
          <cell r="Y48">
            <v>0</v>
          </cell>
          <cell r="AA48">
            <v>3293549.4530270002</v>
          </cell>
          <cell r="AB48">
            <v>2733038.09</v>
          </cell>
          <cell r="AC48">
            <v>560511.36302700033</v>
          </cell>
          <cell r="AE48">
            <v>27917417.660000023</v>
          </cell>
          <cell r="AF48">
            <v>2924858.5199999996</v>
          </cell>
          <cell r="AG48">
            <v>214118.9069249632</v>
          </cell>
          <cell r="AH48">
            <v>0</v>
          </cell>
          <cell r="AI48">
            <v>669699</v>
          </cell>
          <cell r="AJ48">
            <v>699019.21</v>
          </cell>
          <cell r="AL48">
            <v>6010300.9983580038</v>
          </cell>
          <cell r="AM48">
            <v>3837996.6369249625</v>
          </cell>
          <cell r="AN48">
            <v>2172304.3614330413</v>
          </cell>
          <cell r="AP48">
            <v>9303850.4513850044</v>
          </cell>
          <cell r="AQ48">
            <v>6571034.7269249624</v>
          </cell>
          <cell r="AR48">
            <v>2732815.7244600421</v>
          </cell>
          <cell r="AS48">
            <v>4649601.2144600423</v>
          </cell>
        </row>
        <row r="49">
          <cell r="B49" t="str">
            <v>100700010G</v>
          </cell>
          <cell r="G49" t="str">
            <v>Private</v>
          </cell>
          <cell r="H49" t="str">
            <v xml:space="preserve">CLINTON HMA LLC </v>
          </cell>
          <cell r="I49" t="str">
            <v xml:space="preserve">100 N 30TH ST  </v>
          </cell>
          <cell r="J49" t="str">
            <v xml:space="preserve">CLINTON        </v>
          </cell>
          <cell r="K49" t="str">
            <v>OK</v>
          </cell>
          <cell r="L49" t="str">
            <v>73601</v>
          </cell>
          <cell r="M49">
            <v>0.2097</v>
          </cell>
          <cell r="N49" t="str">
            <v>I</v>
          </cell>
          <cell r="O49">
            <v>761</v>
          </cell>
          <cell r="P49">
            <v>761</v>
          </cell>
          <cell r="Q49">
            <v>6786211.7599999998</v>
          </cell>
          <cell r="R49">
            <v>961007.86</v>
          </cell>
          <cell r="S49">
            <v>121996.08</v>
          </cell>
          <cell r="T49">
            <v>0</v>
          </cell>
          <cell r="U49">
            <v>166397</v>
          </cell>
          <cell r="V49">
            <v>0</v>
          </cell>
          <cell r="W49">
            <v>0</v>
          </cell>
          <cell r="X49">
            <v>791906.20000000007</v>
          </cell>
          <cell r="Y49">
            <v>0</v>
          </cell>
          <cell r="AA49">
            <v>1589465.606072</v>
          </cell>
          <cell r="AB49">
            <v>1874910.1400000001</v>
          </cell>
          <cell r="AC49">
            <v>-285444.53392800014</v>
          </cell>
          <cell r="AE49">
            <v>14527098.370000033</v>
          </cell>
          <cell r="AF49">
            <v>1347485.77</v>
          </cell>
          <cell r="AG49">
            <v>232893.3</v>
          </cell>
          <cell r="AH49">
            <v>0</v>
          </cell>
          <cell r="AI49">
            <v>315580</v>
          </cell>
          <cell r="AJ49">
            <v>374477.90999999992</v>
          </cell>
          <cell r="AL49">
            <v>3361912.5281890067</v>
          </cell>
          <cell r="AM49">
            <v>1954856.98</v>
          </cell>
          <cell r="AN49">
            <v>1407055.5481890067</v>
          </cell>
          <cell r="AP49">
            <v>4951378.1342610065</v>
          </cell>
          <cell r="AQ49">
            <v>3829767.12</v>
          </cell>
          <cell r="AR49">
            <v>1121611.0142610064</v>
          </cell>
          <cell r="AS49">
            <v>2287995.1242610067</v>
          </cell>
        </row>
        <row r="50">
          <cell r="B50" t="str">
            <v>100746230C</v>
          </cell>
          <cell r="G50" t="str">
            <v>Private</v>
          </cell>
          <cell r="H50" t="str">
            <v xml:space="preserve">COMMUNITY HOSPITAL, LLC </v>
          </cell>
          <cell r="I50" t="str">
            <v xml:space="preserve">9800 BROADWAY EXTENSION  </v>
          </cell>
          <cell r="J50" t="str">
            <v xml:space="preserve">OKLAHOMA CITY  </v>
          </cell>
          <cell r="K50" t="str">
            <v>OK</v>
          </cell>
          <cell r="L50" t="str">
            <v>73114</v>
          </cell>
          <cell r="M50">
            <v>0.1701</v>
          </cell>
          <cell r="N50" t="str">
            <v>I</v>
          </cell>
          <cell r="O50">
            <v>26</v>
          </cell>
          <cell r="P50">
            <v>26</v>
          </cell>
          <cell r="Q50">
            <v>877548.84</v>
          </cell>
          <cell r="R50">
            <v>145157.07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A50">
            <v>149271.057684</v>
          </cell>
          <cell r="AB50">
            <v>145157.07</v>
          </cell>
          <cell r="AC50">
            <v>4113.9876839999924</v>
          </cell>
          <cell r="AE50">
            <v>4850394.57</v>
          </cell>
          <cell r="AF50">
            <v>625033.73</v>
          </cell>
          <cell r="AG50">
            <v>111091.13102346916</v>
          </cell>
          <cell r="AH50">
            <v>0</v>
          </cell>
          <cell r="AI50">
            <v>0</v>
          </cell>
          <cell r="AJ50">
            <v>0</v>
          </cell>
          <cell r="AL50">
            <v>825052.11635700008</v>
          </cell>
          <cell r="AM50">
            <v>736124.86102346913</v>
          </cell>
          <cell r="AN50">
            <v>88927.255333530949</v>
          </cell>
          <cell r="AP50">
            <v>974323.17404100008</v>
          </cell>
          <cell r="AQ50">
            <v>881281.93102346919</v>
          </cell>
          <cell r="AR50">
            <v>93041.243017530884</v>
          </cell>
          <cell r="AS50">
            <v>93041.243017530884</v>
          </cell>
        </row>
        <row r="51">
          <cell r="B51" t="str">
            <v>200693850A</v>
          </cell>
          <cell r="G51" t="str">
            <v>Private</v>
          </cell>
          <cell r="H51" t="str">
            <v xml:space="preserve">CURAHEALTH OKLAHOMA CITY </v>
          </cell>
          <cell r="I51" t="str">
            <v xml:space="preserve">1407 NORTH ROBINSON AVENUE  </v>
          </cell>
          <cell r="J51" t="str">
            <v xml:space="preserve">OKLAHOMA CITY  </v>
          </cell>
          <cell r="K51" t="str">
            <v>OK</v>
          </cell>
          <cell r="L51" t="str">
            <v>73103</v>
          </cell>
          <cell r="M51">
            <v>0.2404</v>
          </cell>
          <cell r="N51" t="str">
            <v>I</v>
          </cell>
          <cell r="O51">
            <v>697</v>
          </cell>
          <cell r="P51">
            <v>697</v>
          </cell>
          <cell r="Q51">
            <v>4748627.42</v>
          </cell>
          <cell r="R51">
            <v>967635.5</v>
          </cell>
          <cell r="S51">
            <v>37666.300000000003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>
            <v>1141570.031768</v>
          </cell>
          <cell r="AB51">
            <v>1005301.8</v>
          </cell>
          <cell r="AC51">
            <v>136268.23176799994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1141570.031768</v>
          </cell>
          <cell r="AQ51">
            <v>1005301.8</v>
          </cell>
          <cell r="AR51">
            <v>136268.23176799994</v>
          </cell>
          <cell r="AS51">
            <v>136268.23176799994</v>
          </cell>
        </row>
        <row r="52">
          <cell r="B52" t="str">
            <v>100700120A</v>
          </cell>
          <cell r="C52" t="str">
            <v>100700120N</v>
          </cell>
          <cell r="G52" t="str">
            <v>Private</v>
          </cell>
          <cell r="H52" t="str">
            <v xml:space="preserve">DUNCAN REGIONAL HOSPITAL </v>
          </cell>
          <cell r="I52" t="str">
            <v xml:space="preserve">1407 N WHISENANT DR  </v>
          </cell>
          <cell r="J52" t="str">
            <v xml:space="preserve">DUNCAN         </v>
          </cell>
          <cell r="K52" t="str">
            <v>OK</v>
          </cell>
          <cell r="L52" t="str">
            <v>73533</v>
          </cell>
          <cell r="M52">
            <v>0.19639999999999999</v>
          </cell>
          <cell r="N52" t="str">
            <v>I</v>
          </cell>
          <cell r="O52">
            <v>6450</v>
          </cell>
          <cell r="P52">
            <v>6450</v>
          </cell>
          <cell r="Q52">
            <v>40519246.899999999</v>
          </cell>
          <cell r="R52">
            <v>4977529.8499999996</v>
          </cell>
          <cell r="S52">
            <v>467452.86</v>
          </cell>
          <cell r="T52">
            <v>0</v>
          </cell>
          <cell r="U52">
            <v>738952</v>
          </cell>
          <cell r="V52">
            <v>0</v>
          </cell>
          <cell r="W52">
            <v>0</v>
          </cell>
          <cell r="X52">
            <v>3116580.6600000006</v>
          </cell>
          <cell r="Y52">
            <v>0</v>
          </cell>
          <cell r="AA52">
            <v>8696932.0911599994</v>
          </cell>
          <cell r="AB52">
            <v>8561563.370000001</v>
          </cell>
          <cell r="AC52">
            <v>135368.72115999833</v>
          </cell>
          <cell r="AE52">
            <v>52129386.930000141</v>
          </cell>
          <cell r="AF52">
            <v>6416947.4100000253</v>
          </cell>
          <cell r="AG52">
            <v>613352.31772810756</v>
          </cell>
          <cell r="AH52">
            <v>0</v>
          </cell>
          <cell r="AI52">
            <v>1510648</v>
          </cell>
          <cell r="AJ52">
            <v>1714564.17</v>
          </cell>
          <cell r="AL52">
            <v>11748859.593052028</v>
          </cell>
          <cell r="AM52">
            <v>8744863.8977281339</v>
          </cell>
          <cell r="AN52">
            <v>3003995.6953238938</v>
          </cell>
          <cell r="AP52">
            <v>20445791.684212029</v>
          </cell>
          <cell r="AQ52">
            <v>17306427.267728135</v>
          </cell>
          <cell r="AR52">
            <v>3139364.416483894</v>
          </cell>
          <cell r="AS52">
            <v>7970509.2464838941</v>
          </cell>
        </row>
        <row r="53">
          <cell r="B53" t="str">
            <v>100699410A</v>
          </cell>
          <cell r="C53" t="str">
            <v>100699410G</v>
          </cell>
          <cell r="D53" t="str">
            <v>100699410F</v>
          </cell>
          <cell r="G53" t="str">
            <v>Private</v>
          </cell>
          <cell r="H53" t="str">
            <v xml:space="preserve">GREAT PLAINS REGIONAL MEDICAL CENTER </v>
          </cell>
          <cell r="I53" t="str">
            <v xml:space="preserve">1801 WEST THIRD  </v>
          </cell>
          <cell r="J53" t="str">
            <v xml:space="preserve">ELK CITY       </v>
          </cell>
          <cell r="K53" t="str">
            <v>OK</v>
          </cell>
          <cell r="L53" t="str">
            <v>73644</v>
          </cell>
          <cell r="M53">
            <v>0.25580000000000003</v>
          </cell>
          <cell r="N53" t="str">
            <v>I</v>
          </cell>
          <cell r="O53">
            <v>2094</v>
          </cell>
          <cell r="P53">
            <v>2094</v>
          </cell>
          <cell r="Q53">
            <v>14101507.019999998</v>
          </cell>
          <cell r="R53">
            <v>2659378.1599999997</v>
          </cell>
          <cell r="S53">
            <v>366692.54</v>
          </cell>
          <cell r="T53">
            <v>0</v>
          </cell>
          <cell r="U53">
            <v>265290</v>
          </cell>
          <cell r="V53">
            <v>0</v>
          </cell>
          <cell r="W53">
            <v>0</v>
          </cell>
          <cell r="X53">
            <v>1509966.6500000001</v>
          </cell>
          <cell r="Y53">
            <v>0</v>
          </cell>
          <cell r="AA53">
            <v>3872455.495716</v>
          </cell>
          <cell r="AB53">
            <v>4536037.3499999996</v>
          </cell>
          <cell r="AC53">
            <v>-663581.85428399965</v>
          </cell>
          <cell r="AE53">
            <v>21793609.310000092</v>
          </cell>
          <cell r="AF53">
            <v>3527850.59</v>
          </cell>
          <cell r="AG53">
            <v>389732.89564266498</v>
          </cell>
          <cell r="AH53">
            <v>0</v>
          </cell>
          <cell r="AI53">
            <v>642466</v>
          </cell>
          <cell r="AJ53">
            <v>852790.4</v>
          </cell>
          <cell r="AL53">
            <v>6217271.2614980238</v>
          </cell>
          <cell r="AM53">
            <v>4770373.8856426654</v>
          </cell>
          <cell r="AN53">
            <v>1446897.3758553583</v>
          </cell>
          <cell r="AP53">
            <v>10089726.757214025</v>
          </cell>
          <cell r="AQ53">
            <v>9306411.2356426641</v>
          </cell>
          <cell r="AR53">
            <v>783315.52157136053</v>
          </cell>
          <cell r="AS53">
            <v>3146072.5715713608</v>
          </cell>
        </row>
        <row r="54">
          <cell r="B54" t="str">
            <v>200044190A</v>
          </cell>
          <cell r="G54" t="str">
            <v>Private</v>
          </cell>
          <cell r="H54" t="str">
            <v xml:space="preserve">HILLCREST HOSPITAL CUSHING </v>
          </cell>
          <cell r="I54" t="str">
            <v xml:space="preserve">1027 E CHERRY ST  </v>
          </cell>
          <cell r="J54" t="str">
            <v xml:space="preserve">CUSHING        </v>
          </cell>
          <cell r="K54" t="str">
            <v>OK</v>
          </cell>
          <cell r="L54" t="str">
            <v>74023</v>
          </cell>
          <cell r="M54">
            <v>0.20480000000000001</v>
          </cell>
          <cell r="N54" t="str">
            <v>I</v>
          </cell>
          <cell r="O54">
            <v>612</v>
          </cell>
          <cell r="P54">
            <v>612</v>
          </cell>
          <cell r="Q54">
            <v>3994753.29</v>
          </cell>
          <cell r="R54">
            <v>621431.98</v>
          </cell>
          <cell r="S54">
            <v>32192.080000000002</v>
          </cell>
          <cell r="T54">
            <v>0</v>
          </cell>
          <cell r="U54">
            <v>156697</v>
          </cell>
          <cell r="V54">
            <v>0</v>
          </cell>
          <cell r="W54">
            <v>0</v>
          </cell>
          <cell r="X54">
            <v>219188.81000000003</v>
          </cell>
          <cell r="Y54">
            <v>0</v>
          </cell>
          <cell r="AA54">
            <v>974822.47379200009</v>
          </cell>
          <cell r="AB54">
            <v>872812.87</v>
          </cell>
          <cell r="AC54">
            <v>102009.6037920001</v>
          </cell>
          <cell r="AE54">
            <v>17426984.589999929</v>
          </cell>
          <cell r="AF54">
            <v>1646211.8699999989</v>
          </cell>
          <cell r="AG54">
            <v>115532.31999999999</v>
          </cell>
          <cell r="AH54">
            <v>0</v>
          </cell>
          <cell r="AI54">
            <v>364387</v>
          </cell>
          <cell r="AJ54">
            <v>571535.96000000008</v>
          </cell>
          <cell r="AL54">
            <v>3933433.4440319855</v>
          </cell>
          <cell r="AM54">
            <v>2333280.149999999</v>
          </cell>
          <cell r="AN54">
            <v>1600153.2940319865</v>
          </cell>
          <cell r="AP54">
            <v>4908255.9178239852</v>
          </cell>
          <cell r="AQ54">
            <v>3206093.0199999991</v>
          </cell>
          <cell r="AR54">
            <v>1702162.8978239861</v>
          </cell>
          <cell r="AS54">
            <v>2492887.6678239862</v>
          </cell>
        </row>
        <row r="55">
          <cell r="B55" t="str">
            <v>200735850A</v>
          </cell>
          <cell r="G55" t="str">
            <v>Private</v>
          </cell>
          <cell r="H55" t="str">
            <v xml:space="preserve">HILLCREST HOSPITAL PRYOR </v>
          </cell>
          <cell r="I55" t="str">
            <v xml:space="preserve">111 N. BAILEY STREET  </v>
          </cell>
          <cell r="J55" t="str">
            <v xml:space="preserve">PRYOR          </v>
          </cell>
          <cell r="K55" t="str">
            <v>OK</v>
          </cell>
          <cell r="L55" t="str">
            <v>74361</v>
          </cell>
          <cell r="M55">
            <v>0.15490000000000001</v>
          </cell>
          <cell r="N55" t="str">
            <v>I</v>
          </cell>
          <cell r="O55">
            <v>455</v>
          </cell>
          <cell r="P55">
            <v>455</v>
          </cell>
          <cell r="Q55">
            <v>3394812.2800000003</v>
          </cell>
          <cell r="R55">
            <v>523893.94999999995</v>
          </cell>
          <cell r="S55">
            <v>325</v>
          </cell>
          <cell r="T55">
            <v>0</v>
          </cell>
          <cell r="U55">
            <v>107028</v>
          </cell>
          <cell r="V55">
            <v>0</v>
          </cell>
          <cell r="W55">
            <v>0</v>
          </cell>
          <cell r="X55">
            <v>350658.18000000005</v>
          </cell>
          <cell r="Y55">
            <v>0</v>
          </cell>
          <cell r="AA55">
            <v>632884.42217200005</v>
          </cell>
          <cell r="AB55">
            <v>874877.13</v>
          </cell>
          <cell r="AC55">
            <v>-241992.70782799996</v>
          </cell>
          <cell r="AE55">
            <v>25109462.18</v>
          </cell>
          <cell r="AF55">
            <v>2729469.48999999</v>
          </cell>
          <cell r="AG55">
            <v>260966.27000000002</v>
          </cell>
          <cell r="AH55">
            <v>0</v>
          </cell>
          <cell r="AI55">
            <v>440037</v>
          </cell>
          <cell r="AJ55">
            <v>635293.45000000007</v>
          </cell>
          <cell r="AL55">
            <v>4329492.6916819997</v>
          </cell>
          <cell r="AM55">
            <v>3625729.2099999902</v>
          </cell>
          <cell r="AN55">
            <v>703763.48168200953</v>
          </cell>
          <cell r="AP55">
            <v>4962377.1138539994</v>
          </cell>
          <cell r="AQ55">
            <v>4500606.3399999905</v>
          </cell>
          <cell r="AR55">
            <v>461770.77385400888</v>
          </cell>
          <cell r="AS55">
            <v>1447722.403854009</v>
          </cell>
        </row>
        <row r="56">
          <cell r="B56" t="str">
            <v>200044210A</v>
          </cell>
          <cell r="C56" t="str">
            <v>200044210B</v>
          </cell>
          <cell r="G56" t="str">
            <v>Private</v>
          </cell>
          <cell r="H56" t="str">
            <v xml:space="preserve">HILLCREST MEDICAL CENTER </v>
          </cell>
          <cell r="I56" t="str">
            <v xml:space="preserve">1120 S UTICA AVE  </v>
          </cell>
          <cell r="J56" t="str">
            <v xml:space="preserve">TULSA          </v>
          </cell>
          <cell r="K56" t="str">
            <v>OK</v>
          </cell>
          <cell r="L56" t="str">
            <v>74104</v>
          </cell>
          <cell r="M56">
            <v>0.14510000000000001</v>
          </cell>
          <cell r="N56" t="str">
            <v>I</v>
          </cell>
          <cell r="O56">
            <v>48978</v>
          </cell>
          <cell r="P56">
            <v>48920</v>
          </cell>
          <cell r="Q56">
            <v>682622141.05000007</v>
          </cell>
          <cell r="R56">
            <v>64033157.149999999</v>
          </cell>
          <cell r="S56">
            <v>2381257.1</v>
          </cell>
          <cell r="T56">
            <v>369015.51</v>
          </cell>
          <cell r="U56">
            <v>8139049</v>
          </cell>
          <cell r="V56">
            <v>455153</v>
          </cell>
          <cell r="W56">
            <v>0</v>
          </cell>
          <cell r="X56">
            <v>38973422.939999998</v>
          </cell>
          <cell r="Y56">
            <v>0</v>
          </cell>
          <cell r="AA56">
            <v>107556537.17635502</v>
          </cell>
          <cell r="AB56">
            <v>106212005.69999999</v>
          </cell>
          <cell r="AC56">
            <v>1344531.4763550311</v>
          </cell>
          <cell r="AE56">
            <v>208314672.53999943</v>
          </cell>
          <cell r="AF56">
            <v>16849881.82000006</v>
          </cell>
          <cell r="AG56">
            <v>1279155.3199999998</v>
          </cell>
          <cell r="AH56">
            <v>0</v>
          </cell>
          <cell r="AI56">
            <v>4885839</v>
          </cell>
          <cell r="AJ56">
            <v>3518548.6799999997</v>
          </cell>
          <cell r="AL56">
            <v>35112297.98555392</v>
          </cell>
          <cell r="AM56">
            <v>21647585.82000006</v>
          </cell>
          <cell r="AN56">
            <v>13464712.16555386</v>
          </cell>
          <cell r="AP56">
            <v>142668835.16190892</v>
          </cell>
          <cell r="AQ56">
            <v>127859591.52000004</v>
          </cell>
          <cell r="AR56">
            <v>14809243.641908884</v>
          </cell>
          <cell r="AS56">
            <v>57301215.261908881</v>
          </cell>
        </row>
        <row r="57">
          <cell r="B57" t="str">
            <v>100806400C</v>
          </cell>
          <cell r="C57" t="str">
            <v>100806400X</v>
          </cell>
          <cell r="D57" t="str">
            <v>100690810A</v>
          </cell>
          <cell r="E57" t="str">
            <v>100806400X</v>
          </cell>
          <cell r="F57" t="str">
            <v>100690810A</v>
          </cell>
          <cell r="G57" t="str">
            <v>Private</v>
          </cell>
          <cell r="H57" t="str">
            <v xml:space="preserve">INTEGRIS BAPTIST MEDICAL C </v>
          </cell>
          <cell r="I57" t="str">
            <v xml:space="preserve">3300 NW EXPRESSWAY  </v>
          </cell>
          <cell r="J57" t="str">
            <v xml:space="preserve">OKLAHOMA CITY  </v>
          </cell>
          <cell r="K57" t="str">
            <v>OK</v>
          </cell>
          <cell r="L57" t="str">
            <v>73112</v>
          </cell>
          <cell r="M57">
            <v>0.16220000000000001</v>
          </cell>
          <cell r="N57" t="str">
            <v>I</v>
          </cell>
          <cell r="O57">
            <v>49877</v>
          </cell>
          <cell r="P57">
            <v>49872</v>
          </cell>
          <cell r="Q57">
            <v>681947643.4599998</v>
          </cell>
          <cell r="R57">
            <v>67677663.239999995</v>
          </cell>
          <cell r="S57">
            <v>7125493.4800000004</v>
          </cell>
          <cell r="T57">
            <v>143465.22</v>
          </cell>
          <cell r="U57">
            <v>12564653</v>
          </cell>
          <cell r="V57">
            <v>542165</v>
          </cell>
          <cell r="W57">
            <v>0</v>
          </cell>
          <cell r="X57">
            <v>51899572.339999996</v>
          </cell>
          <cell r="Y57">
            <v>516163.15</v>
          </cell>
          <cell r="AA57">
            <v>123320025.98921198</v>
          </cell>
          <cell r="AB57">
            <v>127904522.43000001</v>
          </cell>
          <cell r="AC57">
            <v>-4584496.4407880306</v>
          </cell>
          <cell r="AE57">
            <v>263718149.12</v>
          </cell>
          <cell r="AF57">
            <v>22117056.800000198</v>
          </cell>
          <cell r="AG57">
            <v>3039253.31</v>
          </cell>
          <cell r="AH57">
            <v>0</v>
          </cell>
          <cell r="AI57">
            <v>8960010</v>
          </cell>
          <cell r="AJ57">
            <v>6131984.0199999996</v>
          </cell>
          <cell r="AL57">
            <v>51735093.787264004</v>
          </cell>
          <cell r="AM57">
            <v>31288294.130000196</v>
          </cell>
          <cell r="AN57">
            <v>20446799.657263808</v>
          </cell>
          <cell r="AP57">
            <v>175055119.77647597</v>
          </cell>
          <cell r="AQ57">
            <v>159192816.56000021</v>
          </cell>
          <cell r="AR57">
            <v>15862303.216475755</v>
          </cell>
          <cell r="AS57">
            <v>73893859.576475754</v>
          </cell>
        </row>
        <row r="58">
          <cell r="B58" t="str">
            <v>100689250A</v>
          </cell>
          <cell r="G58" t="str">
            <v>Private Hospital Based Psych Level II - Combined</v>
          </cell>
          <cell r="H58" t="str">
            <v xml:space="preserve">SPENCER ACUTE LEVEL 2 </v>
          </cell>
          <cell r="I58" t="str">
            <v xml:space="preserve">2601 N SPENCER ROAD  </v>
          </cell>
          <cell r="J58" t="str">
            <v xml:space="preserve">SPENCER        </v>
          </cell>
          <cell r="K58" t="str">
            <v>OK</v>
          </cell>
          <cell r="L58" t="str">
            <v>73084</v>
          </cell>
          <cell r="M58">
            <v>0.20290095911784031</v>
          </cell>
          <cell r="N58" t="str">
            <v>I</v>
          </cell>
          <cell r="O58">
            <v>10236</v>
          </cell>
          <cell r="P58">
            <v>10236</v>
          </cell>
          <cell r="Q58">
            <v>14643639.689999999</v>
          </cell>
          <cell r="R58">
            <v>3564170.44</v>
          </cell>
          <cell r="S58">
            <v>5233.8900000000003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A58">
            <v>2971208.5380770736</v>
          </cell>
          <cell r="AB58">
            <v>3569404.33</v>
          </cell>
          <cell r="AC58">
            <v>-598195.79192292644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2971208.5380770736</v>
          </cell>
          <cell r="AQ58">
            <v>3569404.33</v>
          </cell>
          <cell r="AR58">
            <v>-598195.79192292644</v>
          </cell>
          <cell r="AS58">
            <v>-598195.79192292644</v>
          </cell>
        </row>
        <row r="59">
          <cell r="B59" t="str">
            <v>100689250B</v>
          </cell>
          <cell r="G59" t="str">
            <v>Private Hospital Based Psych Level II - Combined</v>
          </cell>
          <cell r="H59" t="str">
            <v xml:space="preserve">SPENCER STAR ACUTE LEVEL 2 </v>
          </cell>
          <cell r="I59" t="str">
            <v xml:space="preserve">2601 N SPENCER ROAD  </v>
          </cell>
          <cell r="J59" t="str">
            <v xml:space="preserve">OKLAHOMA CITY  </v>
          </cell>
          <cell r="K59" t="str">
            <v>OK</v>
          </cell>
          <cell r="L59" t="str">
            <v>73084</v>
          </cell>
          <cell r="M59">
            <v>0.20290095911784031</v>
          </cell>
          <cell r="N59" t="str">
            <v>I</v>
          </cell>
          <cell r="O59">
            <v>12097</v>
          </cell>
          <cell r="P59">
            <v>12097</v>
          </cell>
          <cell r="Q59">
            <v>14194140.77</v>
          </cell>
          <cell r="R59">
            <v>3808086.36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AA59">
            <v>2880004.7760866405</v>
          </cell>
          <cell r="AB59">
            <v>3808086.36</v>
          </cell>
          <cell r="AC59">
            <v>-928081.58391335933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2880004.7760866405</v>
          </cell>
          <cell r="AQ59">
            <v>3808086.36</v>
          </cell>
          <cell r="AR59">
            <v>-928081.58391335933</v>
          </cell>
          <cell r="AS59">
            <v>-928081.58391335933</v>
          </cell>
        </row>
        <row r="60">
          <cell r="B60" t="str">
            <v>100699500A</v>
          </cell>
          <cell r="C60" t="str">
            <v>200285100D</v>
          </cell>
          <cell r="G60" t="str">
            <v>Private</v>
          </cell>
          <cell r="H60" t="str">
            <v xml:space="preserve">INTEGRIS BASS MEM BAP </v>
          </cell>
          <cell r="I60" t="str">
            <v xml:space="preserve">600 SOUTH MONROE  </v>
          </cell>
          <cell r="J60" t="str">
            <v xml:space="preserve">ENID           </v>
          </cell>
          <cell r="K60" t="str">
            <v>OK</v>
          </cell>
          <cell r="L60" t="str">
            <v>73701</v>
          </cell>
          <cell r="M60">
            <v>0.17549999999999999</v>
          </cell>
          <cell r="N60" t="str">
            <v>I</v>
          </cell>
          <cell r="O60">
            <v>4162</v>
          </cell>
          <cell r="P60">
            <v>4162</v>
          </cell>
          <cell r="Q60">
            <v>38153423.500000007</v>
          </cell>
          <cell r="R60">
            <v>4244533.7699999996</v>
          </cell>
          <cell r="S60">
            <v>741220.7300000001</v>
          </cell>
          <cell r="T60">
            <v>0</v>
          </cell>
          <cell r="U60">
            <v>920579</v>
          </cell>
          <cell r="V60">
            <v>1619</v>
          </cell>
          <cell r="W60">
            <v>0</v>
          </cell>
          <cell r="X60">
            <v>5774009.29</v>
          </cell>
          <cell r="Y60">
            <v>0</v>
          </cell>
          <cell r="AA60">
            <v>7616504.8242500005</v>
          </cell>
          <cell r="AB60">
            <v>10761382.789999999</v>
          </cell>
          <cell r="AC60">
            <v>-3144877.9657499986</v>
          </cell>
          <cell r="AE60">
            <v>60651232.829999998</v>
          </cell>
          <cell r="AF60">
            <v>4866406.4800000153</v>
          </cell>
          <cell r="AG60">
            <v>324630</v>
          </cell>
          <cell r="AH60">
            <v>0</v>
          </cell>
          <cell r="AI60">
            <v>1368085</v>
          </cell>
          <cell r="AJ60">
            <v>1099362.22</v>
          </cell>
          <cell r="AL60">
            <v>12012376.361664999</v>
          </cell>
          <cell r="AM60">
            <v>6290398.7000000151</v>
          </cell>
          <cell r="AN60">
            <v>5721977.6616649842</v>
          </cell>
          <cell r="AP60">
            <v>19628881.185915001</v>
          </cell>
          <cell r="AQ60">
            <v>17051781.490000013</v>
          </cell>
          <cell r="AR60">
            <v>2577099.6959149875</v>
          </cell>
          <cell r="AS60">
            <v>9450471.2059149873</v>
          </cell>
        </row>
        <row r="61">
          <cell r="B61" t="str">
            <v>200285100B</v>
          </cell>
          <cell r="G61" t="str">
            <v>Private Hospital Based Psych Level II - Combined</v>
          </cell>
          <cell r="H61" t="str">
            <v xml:space="preserve">MEADOWLAKE CHILD/ADOLESCENT ACUTE LEVEL 2 </v>
          </cell>
          <cell r="I61" t="str">
            <v xml:space="preserve">2216 S VAN BUREN  </v>
          </cell>
          <cell r="J61" t="str">
            <v xml:space="preserve">ENID           </v>
          </cell>
          <cell r="K61" t="str">
            <v>OK</v>
          </cell>
          <cell r="L61" t="str">
            <v>73701</v>
          </cell>
          <cell r="M61">
            <v>0.2451637599099383</v>
          </cell>
          <cell r="N61" t="str">
            <v>I</v>
          </cell>
          <cell r="O61">
            <v>5408</v>
          </cell>
          <cell r="P61">
            <v>5408</v>
          </cell>
          <cell r="Q61">
            <v>9159181.4600000009</v>
          </cell>
          <cell r="R61">
            <v>1583179.42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AA61">
            <v>2245499.3644309985</v>
          </cell>
          <cell r="AB61">
            <v>1583179.42</v>
          </cell>
          <cell r="AC61">
            <v>662319.94443099853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2245499.3644309985</v>
          </cell>
          <cell r="AQ61">
            <v>1583179.42</v>
          </cell>
          <cell r="AR61">
            <v>662319.94443099853</v>
          </cell>
          <cell r="AS61">
            <v>662319.94443099853</v>
          </cell>
        </row>
        <row r="62">
          <cell r="B62" t="str">
            <v>200285100C</v>
          </cell>
          <cell r="G62" t="str">
            <v>Private Hospital Based Psych Level II - Combined</v>
          </cell>
          <cell r="H62" t="str">
            <v xml:space="preserve">MEADOWLAKE CHILD/ADOLESCENT DUAL ACUTE LEVEL 2 </v>
          </cell>
          <cell r="I62" t="str">
            <v xml:space="preserve">2216 S VAN BUREN  </v>
          </cell>
          <cell r="J62" t="str">
            <v xml:space="preserve">ENID           </v>
          </cell>
          <cell r="K62" t="str">
            <v>OK</v>
          </cell>
          <cell r="L62" t="str">
            <v>73701</v>
          </cell>
          <cell r="M62">
            <v>0.2451637599099383</v>
          </cell>
          <cell r="N62" t="str">
            <v>I</v>
          </cell>
          <cell r="O62">
            <v>1921</v>
          </cell>
          <cell r="P62">
            <v>1921</v>
          </cell>
          <cell r="Q62">
            <v>3549750.18</v>
          </cell>
          <cell r="R62">
            <v>554318.1</v>
          </cell>
          <cell r="S62">
            <v>19337.419999999998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AA62">
            <v>870270.10086978029</v>
          </cell>
          <cell r="AB62">
            <v>573655.52</v>
          </cell>
          <cell r="AC62">
            <v>296614.58086978027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L62">
            <v>0</v>
          </cell>
          <cell r="AM62">
            <v>0</v>
          </cell>
          <cell r="AN62">
            <v>0</v>
          </cell>
          <cell r="AP62">
            <v>870270.10086978029</v>
          </cell>
          <cell r="AQ62">
            <v>573655.52</v>
          </cell>
          <cell r="AR62">
            <v>296614.58086978027</v>
          </cell>
          <cell r="AS62">
            <v>296614.58086978027</v>
          </cell>
        </row>
        <row r="63">
          <cell r="B63" t="str">
            <v>100700610A</v>
          </cell>
          <cell r="G63" t="str">
            <v>Private</v>
          </cell>
          <cell r="H63" t="str">
            <v xml:space="preserve">INTEGRIS CANADIAN VALLEY HOSPITAL </v>
          </cell>
          <cell r="I63" t="str">
            <v xml:space="preserve">1201 HEALTH CENTER PARKWAY  </v>
          </cell>
          <cell r="J63" t="str">
            <v xml:space="preserve">YUKON          </v>
          </cell>
          <cell r="K63" t="str">
            <v>OK</v>
          </cell>
          <cell r="L63" t="str">
            <v>73099</v>
          </cell>
          <cell r="M63">
            <v>0.1404</v>
          </cell>
          <cell r="N63" t="str">
            <v>I</v>
          </cell>
          <cell r="O63">
            <v>5085</v>
          </cell>
          <cell r="P63">
            <v>5084</v>
          </cell>
          <cell r="Q63">
            <v>50063759.399999999</v>
          </cell>
          <cell r="R63">
            <v>5646751.6299999999</v>
          </cell>
          <cell r="S63">
            <v>637721.72</v>
          </cell>
          <cell r="T63">
            <v>0</v>
          </cell>
          <cell r="U63">
            <v>603367</v>
          </cell>
          <cell r="V63">
            <v>0</v>
          </cell>
          <cell r="W63">
            <v>0</v>
          </cell>
          <cell r="X63">
            <v>3353218.0799999996</v>
          </cell>
          <cell r="Y63">
            <v>0</v>
          </cell>
          <cell r="AA63">
            <v>7632318.8197599994</v>
          </cell>
          <cell r="AB63">
            <v>9637691.4299999997</v>
          </cell>
          <cell r="AC63">
            <v>-2005372.6102400003</v>
          </cell>
          <cell r="AE63">
            <v>53966073.409999996</v>
          </cell>
          <cell r="AF63">
            <v>3917711.3300000201</v>
          </cell>
          <cell r="AG63">
            <v>671636.26</v>
          </cell>
          <cell r="AH63">
            <v>0</v>
          </cell>
          <cell r="AI63">
            <v>1008965</v>
          </cell>
          <cell r="AJ63">
            <v>1098716.5499999998</v>
          </cell>
          <cell r="AL63">
            <v>8585801.7067639995</v>
          </cell>
          <cell r="AM63">
            <v>5688064.1400000202</v>
          </cell>
          <cell r="AN63">
            <v>2897737.5667639794</v>
          </cell>
          <cell r="AP63">
            <v>16218120.526524</v>
          </cell>
          <cell r="AQ63">
            <v>15325755.570000019</v>
          </cell>
          <cell r="AR63">
            <v>892364.95652398095</v>
          </cell>
          <cell r="AS63">
            <v>5344299.5865239808</v>
          </cell>
        </row>
        <row r="64">
          <cell r="B64" t="str">
            <v>200834400A</v>
          </cell>
          <cell r="C64" t="str">
            <v>200834400C</v>
          </cell>
          <cell r="D64" t="str">
            <v>200834400B</v>
          </cell>
          <cell r="E64" t="str">
            <v>200834400D</v>
          </cell>
          <cell r="G64" t="str">
            <v>Private</v>
          </cell>
          <cell r="H64" t="str">
            <v xml:space="preserve">INTEGRIS COMMUNITY HOSPITAL COUNCIL CROSSING </v>
          </cell>
          <cell r="I64" t="str">
            <v xml:space="preserve">9417 N. COUNCIL RD  </v>
          </cell>
          <cell r="J64" t="str">
            <v xml:space="preserve">OKLAHOMA CITY  </v>
          </cell>
          <cell r="K64" t="str">
            <v>OK</v>
          </cell>
          <cell r="L64" t="str">
            <v>73162</v>
          </cell>
          <cell r="M64">
            <v>0.1903</v>
          </cell>
          <cell r="N64" t="str">
            <v>I</v>
          </cell>
          <cell r="O64">
            <v>38</v>
          </cell>
          <cell r="P64">
            <v>38</v>
          </cell>
          <cell r="Q64">
            <v>170106.97000000003</v>
          </cell>
          <cell r="R64">
            <v>26669</v>
          </cell>
          <cell r="S64">
            <v>0</v>
          </cell>
          <cell r="T64">
            <v>0</v>
          </cell>
          <cell r="U64">
            <v>24992</v>
          </cell>
          <cell r="V64">
            <v>0</v>
          </cell>
          <cell r="W64">
            <v>0</v>
          </cell>
          <cell r="X64">
            <v>33525.089999999997</v>
          </cell>
          <cell r="Y64">
            <v>0</v>
          </cell>
          <cell r="AA64">
            <v>57363.356391000008</v>
          </cell>
          <cell r="AB64">
            <v>60194.09</v>
          </cell>
          <cell r="AC64">
            <v>-2830.7336089999881</v>
          </cell>
          <cell r="AE64">
            <v>62198275.159999974</v>
          </cell>
          <cell r="AF64">
            <v>5797145.8699999778</v>
          </cell>
          <cell r="AG64">
            <v>205860.56000000003</v>
          </cell>
          <cell r="AH64">
            <v>0</v>
          </cell>
          <cell r="AI64">
            <v>399920</v>
          </cell>
          <cell r="AJ64">
            <v>801187.07000000007</v>
          </cell>
          <cell r="AL64">
            <v>12236251.762947995</v>
          </cell>
          <cell r="AM64">
            <v>6804193.4999999776</v>
          </cell>
          <cell r="AN64">
            <v>5432058.2629480176</v>
          </cell>
          <cell r="AP64">
            <v>12293615.119338995</v>
          </cell>
          <cell r="AQ64">
            <v>6864387.5899999775</v>
          </cell>
          <cell r="AR64">
            <v>5429227.5293390173</v>
          </cell>
          <cell r="AS64">
            <v>6263939.6893390175</v>
          </cell>
        </row>
        <row r="65">
          <cell r="B65" t="str">
            <v>100699700A</v>
          </cell>
          <cell r="G65" t="str">
            <v>Private</v>
          </cell>
          <cell r="H65" t="str">
            <v xml:space="preserve">INTEGRIS GROVE HOSPITAL </v>
          </cell>
          <cell r="I65" t="str">
            <v xml:space="preserve">1001 E 18TH STREET  </v>
          </cell>
          <cell r="J65" t="str">
            <v xml:space="preserve">GROVE          </v>
          </cell>
          <cell r="K65" t="str">
            <v>OK</v>
          </cell>
          <cell r="L65" t="str">
            <v>74344</v>
          </cell>
          <cell r="M65">
            <v>0.17979999999999999</v>
          </cell>
          <cell r="N65" t="str">
            <v>I</v>
          </cell>
          <cell r="O65">
            <v>2232</v>
          </cell>
          <cell r="P65">
            <v>2232</v>
          </cell>
          <cell r="Q65">
            <v>22613059.390000001</v>
          </cell>
          <cell r="R65">
            <v>2823500.4</v>
          </cell>
          <cell r="S65">
            <v>260442.84</v>
          </cell>
          <cell r="T65">
            <v>0</v>
          </cell>
          <cell r="U65">
            <v>320883</v>
          </cell>
          <cell r="V65">
            <v>0</v>
          </cell>
          <cell r="W65">
            <v>0</v>
          </cell>
          <cell r="X65">
            <v>1654736.1600000001</v>
          </cell>
          <cell r="Y65">
            <v>0</v>
          </cell>
          <cell r="AA65">
            <v>4386711.0783219999</v>
          </cell>
          <cell r="AB65">
            <v>4738679.4000000004</v>
          </cell>
          <cell r="AC65">
            <v>-351968.3216780005</v>
          </cell>
          <cell r="AE65">
            <v>31425427.82</v>
          </cell>
          <cell r="AF65">
            <v>3287345.3799999901</v>
          </cell>
          <cell r="AG65">
            <v>407703.45999999996</v>
          </cell>
          <cell r="AH65">
            <v>0</v>
          </cell>
          <cell r="AI65">
            <v>722393</v>
          </cell>
          <cell r="AJ65">
            <v>874184.01000000013</v>
          </cell>
          <cell r="AL65">
            <v>6372684.9220359996</v>
          </cell>
          <cell r="AM65">
            <v>4569232.8499999903</v>
          </cell>
          <cell r="AN65">
            <v>1803452.0720360093</v>
          </cell>
          <cell r="AP65">
            <v>10759396.000358</v>
          </cell>
          <cell r="AQ65">
            <v>9307912.2499999907</v>
          </cell>
          <cell r="AR65">
            <v>1451483.7503580097</v>
          </cell>
          <cell r="AS65">
            <v>3980403.9203580101</v>
          </cell>
        </row>
        <row r="66">
          <cell r="B66" t="str">
            <v>200405550A</v>
          </cell>
          <cell r="G66" t="str">
            <v>Private</v>
          </cell>
          <cell r="H66" t="str">
            <v xml:space="preserve">INTEGRIS HEALTH EDMOND, INC. </v>
          </cell>
          <cell r="I66" t="str">
            <v xml:space="preserve">4801 INTEGRIS PARKWAY  </v>
          </cell>
          <cell r="J66" t="str">
            <v xml:space="preserve">EDMOND         </v>
          </cell>
          <cell r="K66" t="str">
            <v>OK</v>
          </cell>
          <cell r="L66" t="str">
            <v>73034</v>
          </cell>
          <cell r="M66">
            <v>0.1492</v>
          </cell>
          <cell r="N66" t="str">
            <v>I</v>
          </cell>
          <cell r="O66">
            <v>3733</v>
          </cell>
          <cell r="P66">
            <v>3733</v>
          </cell>
          <cell r="Q66">
            <v>42000488.479999997</v>
          </cell>
          <cell r="R66">
            <v>4617588.49</v>
          </cell>
          <cell r="S66">
            <v>351929.84</v>
          </cell>
          <cell r="T66">
            <v>0</v>
          </cell>
          <cell r="U66">
            <v>574692</v>
          </cell>
          <cell r="V66">
            <v>0</v>
          </cell>
          <cell r="W66">
            <v>0</v>
          </cell>
          <cell r="X66">
            <v>1746769.8999999997</v>
          </cell>
          <cell r="Y66">
            <v>0</v>
          </cell>
          <cell r="AA66">
            <v>6841164.8812159998</v>
          </cell>
          <cell r="AB66">
            <v>6716288.2299999995</v>
          </cell>
          <cell r="AC66">
            <v>124876.65121600032</v>
          </cell>
          <cell r="AE66">
            <v>37126432.230000004</v>
          </cell>
          <cell r="AF66">
            <v>2858982.6699999897</v>
          </cell>
          <cell r="AG66">
            <v>620546.22</v>
          </cell>
          <cell r="AH66">
            <v>0</v>
          </cell>
          <cell r="AI66">
            <v>1019034</v>
          </cell>
          <cell r="AJ66">
            <v>647816.52</v>
          </cell>
          <cell r="AL66">
            <v>6558297.6887160009</v>
          </cell>
          <cell r="AM66">
            <v>4127345.4099999894</v>
          </cell>
          <cell r="AN66">
            <v>2430952.2787160114</v>
          </cell>
          <cell r="AP66">
            <v>13399462.569932001</v>
          </cell>
          <cell r="AQ66">
            <v>10843633.639999989</v>
          </cell>
          <cell r="AR66">
            <v>2555828.9299320113</v>
          </cell>
          <cell r="AS66">
            <v>4950415.3499320112</v>
          </cell>
        </row>
        <row r="67">
          <cell r="B67" t="str">
            <v>100699440A</v>
          </cell>
          <cell r="G67" t="str">
            <v>Private</v>
          </cell>
          <cell r="H67" t="str">
            <v xml:space="preserve">INTEGRIS MIAMI HOSPITAL </v>
          </cell>
          <cell r="I67" t="str">
            <v xml:space="preserve">200 SECOND AVE SW  </v>
          </cell>
          <cell r="J67" t="str">
            <v xml:space="preserve">MIAMI          </v>
          </cell>
          <cell r="K67" t="str">
            <v>OK</v>
          </cell>
          <cell r="L67" t="str">
            <v>74354</v>
          </cell>
          <cell r="M67">
            <v>0.21929999999999999</v>
          </cell>
          <cell r="N67" t="str">
            <v>I</v>
          </cell>
          <cell r="O67">
            <v>1754</v>
          </cell>
          <cell r="P67">
            <v>1754</v>
          </cell>
          <cell r="Q67">
            <v>16753566.68</v>
          </cell>
          <cell r="R67">
            <v>2224124.98</v>
          </cell>
          <cell r="S67">
            <v>326562.43</v>
          </cell>
          <cell r="T67">
            <v>0</v>
          </cell>
          <cell r="U67">
            <v>348855</v>
          </cell>
          <cell r="V67">
            <v>0</v>
          </cell>
          <cell r="W67">
            <v>0</v>
          </cell>
          <cell r="X67">
            <v>1505307.5599999996</v>
          </cell>
          <cell r="Y67">
            <v>0</v>
          </cell>
          <cell r="AA67">
            <v>4022912.1729239998</v>
          </cell>
          <cell r="AB67">
            <v>4055994.9699999997</v>
          </cell>
          <cell r="AC67">
            <v>-33082.797075999901</v>
          </cell>
          <cell r="AE67">
            <v>29286076.07</v>
          </cell>
          <cell r="AF67">
            <v>3306622.9499999797</v>
          </cell>
          <cell r="AG67">
            <v>365923.92</v>
          </cell>
          <cell r="AH67">
            <v>0</v>
          </cell>
          <cell r="AI67">
            <v>605196</v>
          </cell>
          <cell r="AJ67">
            <v>863749.91</v>
          </cell>
          <cell r="AL67">
            <v>7027632.4821509998</v>
          </cell>
          <cell r="AM67">
            <v>4536296.7799999798</v>
          </cell>
          <cell r="AN67">
            <v>2491335.7021510201</v>
          </cell>
          <cell r="AP67">
            <v>11050544.655074999</v>
          </cell>
          <cell r="AQ67">
            <v>8592291.7499999795</v>
          </cell>
          <cell r="AR67">
            <v>2458252.9050750192</v>
          </cell>
          <cell r="AS67">
            <v>4827310.375075019</v>
          </cell>
        </row>
        <row r="68">
          <cell r="B68" t="str">
            <v>100700200A</v>
          </cell>
          <cell r="C68" t="str">
            <v>100700200R</v>
          </cell>
          <cell r="G68" t="str">
            <v>Private</v>
          </cell>
          <cell r="H68" t="str">
            <v xml:space="preserve">INTEGRIS SOUTHWEST MEDICAL CENTER </v>
          </cell>
          <cell r="I68" t="str">
            <v xml:space="preserve">4401 S WESTERN  </v>
          </cell>
          <cell r="J68" t="str">
            <v xml:space="preserve">OKLAHOMA CITY  </v>
          </cell>
          <cell r="K68" t="str">
            <v>OK</v>
          </cell>
          <cell r="L68" t="str">
            <v>73109</v>
          </cell>
          <cell r="M68">
            <v>0.14990000000000001</v>
          </cell>
          <cell r="N68" t="str">
            <v>I</v>
          </cell>
          <cell r="O68">
            <v>23909</v>
          </cell>
          <cell r="P68">
            <v>23900</v>
          </cell>
          <cell r="Q68">
            <v>285298785.24000001</v>
          </cell>
          <cell r="R68">
            <v>26804260.909999996</v>
          </cell>
          <cell r="S68">
            <v>1501415.08</v>
          </cell>
          <cell r="T68">
            <v>0</v>
          </cell>
          <cell r="U68">
            <v>3263735</v>
          </cell>
          <cell r="V68">
            <v>62864</v>
          </cell>
          <cell r="W68">
            <v>0</v>
          </cell>
          <cell r="X68">
            <v>13702059.300000001</v>
          </cell>
          <cell r="Y68">
            <v>0</v>
          </cell>
          <cell r="AA68">
            <v>46030022.907476</v>
          </cell>
          <cell r="AB68">
            <v>42070599.289999992</v>
          </cell>
          <cell r="AC68">
            <v>3959423.6174760088</v>
          </cell>
          <cell r="AE68">
            <v>149436260.73000008</v>
          </cell>
          <cell r="AF68">
            <v>13082301.22000001</v>
          </cell>
          <cell r="AG68">
            <v>1106867.42</v>
          </cell>
          <cell r="AH68">
            <v>0</v>
          </cell>
          <cell r="AI68">
            <v>2482837</v>
          </cell>
          <cell r="AJ68">
            <v>3451807.74</v>
          </cell>
          <cell r="AL68">
            <v>24883332.483427014</v>
          </cell>
          <cell r="AM68">
            <v>17640976.38000001</v>
          </cell>
          <cell r="AN68">
            <v>7242356.1034270041</v>
          </cell>
          <cell r="AP68">
            <v>70913355.390903011</v>
          </cell>
          <cell r="AQ68">
            <v>59711575.670000002</v>
          </cell>
          <cell r="AR68">
            <v>11201779.720903009</v>
          </cell>
          <cell r="AS68">
            <v>28355646.760903008</v>
          </cell>
        </row>
        <row r="69">
          <cell r="B69" t="str">
            <v>100699490A</v>
          </cell>
          <cell r="C69" t="str">
            <v>100699490J</v>
          </cell>
          <cell r="D69" t="str">
            <v>100699490K</v>
          </cell>
          <cell r="G69" t="str">
            <v>Private</v>
          </cell>
          <cell r="H69" t="str">
            <v xml:space="preserve">JANE PHILLIPS EP HSP </v>
          </cell>
          <cell r="I69" t="str">
            <v xml:space="preserve">3500 SE FRANK PHILLIPS BLVD  </v>
          </cell>
          <cell r="J69" t="str">
            <v xml:space="preserve">BARTLESVILLE   </v>
          </cell>
          <cell r="K69" t="str">
            <v>OK</v>
          </cell>
          <cell r="L69" t="str">
            <v>74006</v>
          </cell>
          <cell r="M69">
            <v>0.23499999999999999</v>
          </cell>
          <cell r="N69" t="str">
            <v>I</v>
          </cell>
          <cell r="O69">
            <v>3358</v>
          </cell>
          <cell r="P69">
            <v>3358</v>
          </cell>
          <cell r="Q69">
            <v>20242043.25</v>
          </cell>
          <cell r="R69">
            <v>5766695.0800000001</v>
          </cell>
          <cell r="S69">
            <v>99820.19</v>
          </cell>
          <cell r="T69">
            <v>0</v>
          </cell>
          <cell r="U69">
            <v>843060</v>
          </cell>
          <cell r="V69">
            <v>0</v>
          </cell>
          <cell r="W69">
            <v>0</v>
          </cell>
          <cell r="X69">
            <v>3137201.2799999993</v>
          </cell>
          <cell r="Y69">
            <v>0</v>
          </cell>
          <cell r="AA69">
            <v>5599940.1637499994</v>
          </cell>
          <cell r="AB69">
            <v>9003716.5500000007</v>
          </cell>
          <cell r="AC69">
            <v>-3403776.3862500014</v>
          </cell>
          <cell r="AE69">
            <v>38378791.599999838</v>
          </cell>
          <cell r="AF69">
            <v>5303406.93</v>
          </cell>
          <cell r="AG69">
            <v>235730.93256029501</v>
          </cell>
          <cell r="AH69">
            <v>0</v>
          </cell>
          <cell r="AI69">
            <v>1994641</v>
          </cell>
          <cell r="AJ69">
            <v>1316967.54</v>
          </cell>
          <cell r="AL69">
            <v>11013657.025999961</v>
          </cell>
          <cell r="AM69">
            <v>6856105.4025602946</v>
          </cell>
          <cell r="AN69">
            <v>4157551.6234396668</v>
          </cell>
          <cell r="AP69">
            <v>16613597.18974996</v>
          </cell>
          <cell r="AQ69">
            <v>15859821.952560294</v>
          </cell>
          <cell r="AR69">
            <v>753775.23718966544</v>
          </cell>
          <cell r="AS69">
            <v>5207944.0571896648</v>
          </cell>
        </row>
        <row r="70">
          <cell r="B70" t="str">
            <v>200509290A</v>
          </cell>
          <cell r="C70" t="str">
            <v>200509290E</v>
          </cell>
          <cell r="G70" t="str">
            <v>Private</v>
          </cell>
          <cell r="H70" t="str">
            <v xml:space="preserve">MERCY HOSPITAL ADA, INC. </v>
          </cell>
          <cell r="I70" t="str">
            <v xml:space="preserve">430 NORTH MONTE VISTA  </v>
          </cell>
          <cell r="J70" t="str">
            <v xml:space="preserve">ADA            </v>
          </cell>
          <cell r="K70" t="str">
            <v>OK</v>
          </cell>
          <cell r="L70" t="str">
            <v>74820</v>
          </cell>
          <cell r="M70">
            <v>0.26629999999999998</v>
          </cell>
          <cell r="N70" t="str">
            <v>I</v>
          </cell>
          <cell r="O70">
            <v>4528</v>
          </cell>
          <cell r="P70">
            <v>4525</v>
          </cell>
          <cell r="Q70">
            <v>27994526.23</v>
          </cell>
          <cell r="R70">
            <v>6015128.3800000008</v>
          </cell>
          <cell r="S70">
            <v>436499.73</v>
          </cell>
          <cell r="T70">
            <v>0</v>
          </cell>
          <cell r="U70">
            <v>761302</v>
          </cell>
          <cell r="V70">
            <v>0</v>
          </cell>
          <cell r="W70">
            <v>0</v>
          </cell>
          <cell r="X70">
            <v>4038310.7300000004</v>
          </cell>
          <cell r="Y70">
            <v>0</v>
          </cell>
          <cell r="AA70">
            <v>8216244.3350489996</v>
          </cell>
          <cell r="AB70">
            <v>10489938.840000002</v>
          </cell>
          <cell r="AC70">
            <v>-2273694.5049510021</v>
          </cell>
          <cell r="AE70">
            <v>33981139.210000001</v>
          </cell>
          <cell r="AF70">
            <v>4869433.8199999994</v>
          </cell>
          <cell r="AG70">
            <v>556085.12</v>
          </cell>
          <cell r="AH70">
            <v>0</v>
          </cell>
          <cell r="AI70">
            <v>1449026</v>
          </cell>
          <cell r="AJ70">
            <v>1497000.9299999997</v>
          </cell>
          <cell r="AL70">
            <v>10498203.371623</v>
          </cell>
          <cell r="AM70">
            <v>6922519.8699999992</v>
          </cell>
          <cell r="AN70">
            <v>3575683.5016230009</v>
          </cell>
          <cell r="AP70">
            <v>18714447.706671998</v>
          </cell>
          <cell r="AQ70">
            <v>17412458.710000001</v>
          </cell>
          <cell r="AR70">
            <v>1301988.996671997</v>
          </cell>
          <cell r="AS70">
            <v>6837300.6566719972</v>
          </cell>
        </row>
        <row r="71">
          <cell r="B71" t="str">
            <v>200320810D</v>
          </cell>
          <cell r="G71" t="str">
            <v>Private</v>
          </cell>
          <cell r="H71" t="str">
            <v xml:space="preserve">MERCY HOSPITAL EL RENO INC </v>
          </cell>
          <cell r="I71" t="str">
            <v xml:space="preserve">2115 PARKVIEW DRIVE  </v>
          </cell>
          <cell r="J71" t="str">
            <v xml:space="preserve">EL RENO        </v>
          </cell>
          <cell r="K71" t="str">
            <v>OK</v>
          </cell>
          <cell r="L71" t="str">
            <v>73036</v>
          </cell>
          <cell r="M71">
            <v>0.33300000000000002</v>
          </cell>
          <cell r="N71" t="str">
            <v>I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10313.719999999999</v>
          </cell>
          <cell r="AF71">
            <v>1688.54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L71">
            <v>3434.4687599999997</v>
          </cell>
          <cell r="AM71">
            <v>1688.54</v>
          </cell>
          <cell r="AN71">
            <v>1745.9287599999998</v>
          </cell>
          <cell r="AP71">
            <v>3434.4687599999997</v>
          </cell>
          <cell r="AQ71">
            <v>1688.54</v>
          </cell>
          <cell r="AR71">
            <v>1745.9287599999998</v>
          </cell>
          <cell r="AS71">
            <v>1745.9287599999998</v>
          </cell>
        </row>
        <row r="72">
          <cell r="B72" t="str">
            <v>100699390A</v>
          </cell>
          <cell r="G72" t="str">
            <v>Private</v>
          </cell>
          <cell r="H72" t="str">
            <v xml:space="preserve">MERCY HOSPITAL OKLAHOMA CITY </v>
          </cell>
          <cell r="I72" t="str">
            <v xml:space="preserve">4300 WEST MEMORIAL RD  </v>
          </cell>
          <cell r="J72" t="str">
            <v xml:space="preserve">OKLAHOMA CITY  </v>
          </cell>
          <cell r="K72" t="str">
            <v>OK</v>
          </cell>
          <cell r="L72" t="str">
            <v>73120</v>
          </cell>
          <cell r="M72">
            <v>0.20680000000000001</v>
          </cell>
          <cell r="N72" t="str">
            <v>I</v>
          </cell>
          <cell r="O72">
            <v>22120</v>
          </cell>
          <cell r="P72">
            <v>22106</v>
          </cell>
          <cell r="Q72">
            <v>161634586.46000001</v>
          </cell>
          <cell r="R72">
            <v>23451572.41</v>
          </cell>
          <cell r="S72">
            <v>4332718.7300000004</v>
          </cell>
          <cell r="T72">
            <v>0</v>
          </cell>
          <cell r="U72">
            <v>4803371</v>
          </cell>
          <cell r="V72">
            <v>0</v>
          </cell>
          <cell r="W72">
            <v>0</v>
          </cell>
          <cell r="X72">
            <v>15004630.76</v>
          </cell>
          <cell r="Y72">
            <v>0</v>
          </cell>
          <cell r="AA72">
            <v>38229403.479928002</v>
          </cell>
          <cell r="AB72">
            <v>42788921.899999999</v>
          </cell>
          <cell r="AC72">
            <v>-4559518.4200719967</v>
          </cell>
          <cell r="AE72">
            <v>125924484.95000002</v>
          </cell>
          <cell r="AF72">
            <v>16674913.27999999</v>
          </cell>
          <cell r="AG72">
            <v>2002376.9496588525</v>
          </cell>
          <cell r="AH72">
            <v>0</v>
          </cell>
          <cell r="AI72">
            <v>7337603</v>
          </cell>
          <cell r="AJ72">
            <v>3357081.9200000004</v>
          </cell>
          <cell r="AL72">
            <v>33378786.487660006</v>
          </cell>
          <cell r="AM72">
            <v>22034372.149658844</v>
          </cell>
          <cell r="AN72">
            <v>11344414.338001162</v>
          </cell>
          <cell r="AP72">
            <v>71608189.967588007</v>
          </cell>
          <cell r="AQ72">
            <v>64823294.049658842</v>
          </cell>
          <cell r="AR72">
            <v>6784895.9179291651</v>
          </cell>
          <cell r="AS72">
            <v>25146608.597929165</v>
          </cell>
        </row>
        <row r="73">
          <cell r="B73" t="str">
            <v>100262320C</v>
          </cell>
          <cell r="C73" t="str">
            <v>100262320G</v>
          </cell>
          <cell r="G73" t="str">
            <v>Private</v>
          </cell>
          <cell r="H73" t="str">
            <v xml:space="preserve">MERCY MEMORIAL HEALTH CTR </v>
          </cell>
          <cell r="I73" t="str">
            <v xml:space="preserve">1011 14TH AVE NORTHWEST  </v>
          </cell>
          <cell r="J73" t="str">
            <v xml:space="preserve">ARDMORE        </v>
          </cell>
          <cell r="K73" t="str">
            <v>OK</v>
          </cell>
          <cell r="L73" t="str">
            <v>73401</v>
          </cell>
          <cell r="M73">
            <v>0.22589999999999999</v>
          </cell>
          <cell r="N73" t="str">
            <v>I</v>
          </cell>
          <cell r="O73">
            <v>5871</v>
          </cell>
          <cell r="P73">
            <v>5871</v>
          </cell>
          <cell r="Q73">
            <v>44592297.209999993</v>
          </cell>
          <cell r="R73">
            <v>7584245.8000000007</v>
          </cell>
          <cell r="S73">
            <v>608246.18999999994</v>
          </cell>
          <cell r="T73">
            <v>0</v>
          </cell>
          <cell r="U73">
            <v>1356099</v>
          </cell>
          <cell r="V73">
            <v>0</v>
          </cell>
          <cell r="W73">
            <v>0</v>
          </cell>
          <cell r="X73">
            <v>5635170.1200000001</v>
          </cell>
          <cell r="Y73">
            <v>0</v>
          </cell>
          <cell r="AA73">
            <v>11429498.939738998</v>
          </cell>
          <cell r="AB73">
            <v>13827662.109999999</v>
          </cell>
          <cell r="AC73">
            <v>-2398163.1702610012</v>
          </cell>
          <cell r="AE73">
            <v>57816679.689999998</v>
          </cell>
          <cell r="AF73">
            <v>8440236.1600000188</v>
          </cell>
          <cell r="AG73">
            <v>611192.48</v>
          </cell>
          <cell r="AH73">
            <v>0</v>
          </cell>
          <cell r="AI73">
            <v>2200004</v>
          </cell>
          <cell r="AJ73">
            <v>2107992.5</v>
          </cell>
          <cell r="AL73">
            <v>15260791.941970998</v>
          </cell>
          <cell r="AM73">
            <v>11159421.140000019</v>
          </cell>
          <cell r="AN73">
            <v>4101370.8019709792</v>
          </cell>
          <cell r="AP73">
            <v>26690290.881709997</v>
          </cell>
          <cell r="AQ73">
            <v>24987083.250000019</v>
          </cell>
          <cell r="AR73">
            <v>1703207.631709978</v>
          </cell>
          <cell r="AS73">
            <v>9446370.251709979</v>
          </cell>
        </row>
        <row r="74">
          <cell r="B74" t="str">
            <v>200423910P</v>
          </cell>
          <cell r="C74" t="str">
            <v>100700490I</v>
          </cell>
          <cell r="D74" t="str">
            <v>100700490A</v>
          </cell>
          <cell r="G74" t="str">
            <v>Private</v>
          </cell>
          <cell r="H74" t="str">
            <v xml:space="preserve">MIDWEST REGIONAL MEDICAL </v>
          </cell>
          <cell r="I74" t="str">
            <v xml:space="preserve">2825 PARKLAWN DR  </v>
          </cell>
          <cell r="J74" t="str">
            <v xml:space="preserve">MIDWEST CITY   </v>
          </cell>
          <cell r="K74" t="str">
            <v>OK</v>
          </cell>
          <cell r="L74" t="str">
            <v>73110</v>
          </cell>
          <cell r="M74">
            <v>8.2400000000000001E-2</v>
          </cell>
          <cell r="N74" t="str">
            <v>I</v>
          </cell>
          <cell r="O74">
            <v>10555</v>
          </cell>
          <cell r="P74">
            <v>10555</v>
          </cell>
          <cell r="Q74">
            <v>188326385.11000001</v>
          </cell>
          <cell r="R74">
            <v>10235546.059999999</v>
          </cell>
          <cell r="S74">
            <v>159140.68999999997</v>
          </cell>
          <cell r="T74">
            <v>0</v>
          </cell>
          <cell r="U74">
            <v>1389290</v>
          </cell>
          <cell r="V74">
            <v>0</v>
          </cell>
          <cell r="W74">
            <v>0</v>
          </cell>
          <cell r="X74">
            <v>7204575.96</v>
          </cell>
          <cell r="Y74">
            <v>0</v>
          </cell>
          <cell r="AA74">
            <v>16907384.133064002</v>
          </cell>
          <cell r="AB74">
            <v>17599262.709999997</v>
          </cell>
          <cell r="AC74">
            <v>-691878.57693599537</v>
          </cell>
          <cell r="AE74">
            <v>119009388.5499998</v>
          </cell>
          <cell r="AF74">
            <v>4575119.4099999797</v>
          </cell>
          <cell r="AG74">
            <v>216658.06</v>
          </cell>
          <cell r="AH74">
            <v>0</v>
          </cell>
          <cell r="AI74">
            <v>1173789</v>
          </cell>
          <cell r="AJ74">
            <v>1495193.2700000003</v>
          </cell>
          <cell r="AL74">
            <v>10980162.616519984</v>
          </cell>
          <cell r="AM74">
            <v>6286970.7399999797</v>
          </cell>
          <cell r="AN74">
            <v>4693191.8765200041</v>
          </cell>
          <cell r="AP74">
            <v>27887546.749583986</v>
          </cell>
          <cell r="AQ74">
            <v>23886233.449999977</v>
          </cell>
          <cell r="AR74">
            <v>4001313.2995840088</v>
          </cell>
          <cell r="AS74">
            <v>12701082.529584009</v>
          </cell>
        </row>
        <row r="75">
          <cell r="B75" t="str">
            <v>200035670C</v>
          </cell>
          <cell r="G75" t="str">
            <v>Private</v>
          </cell>
          <cell r="H75" t="str">
            <v xml:space="preserve">NORTHWEST SURGICAL HOSPITAL </v>
          </cell>
          <cell r="I75" t="str">
            <v xml:space="preserve">9204 N MAY AVE  </v>
          </cell>
          <cell r="J75" t="str">
            <v xml:space="preserve">OKLAHOMA CITY  </v>
          </cell>
          <cell r="K75" t="str">
            <v>OK</v>
          </cell>
          <cell r="L75" t="str">
            <v>73120</v>
          </cell>
          <cell r="M75">
            <v>0.18490000000000001</v>
          </cell>
          <cell r="N75" t="str">
            <v>I</v>
          </cell>
          <cell r="O75">
            <v>19</v>
          </cell>
          <cell r="P75">
            <v>19</v>
          </cell>
          <cell r="Q75">
            <v>858761.79</v>
          </cell>
          <cell r="R75">
            <v>137515.54999999999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AA75">
            <v>158785.05497100001</v>
          </cell>
          <cell r="AB75">
            <v>137515.54999999999</v>
          </cell>
          <cell r="AC75">
            <v>21269.504971000017</v>
          </cell>
          <cell r="AE75">
            <v>2127500.1500000004</v>
          </cell>
          <cell r="AF75">
            <v>290256.83999999997</v>
          </cell>
          <cell r="AG75">
            <v>49001.439733486943</v>
          </cell>
          <cell r="AH75">
            <v>0</v>
          </cell>
          <cell r="AI75">
            <v>0</v>
          </cell>
          <cell r="AJ75">
            <v>0</v>
          </cell>
          <cell r="AL75">
            <v>393374.77773500007</v>
          </cell>
          <cell r="AM75">
            <v>339258.27973348694</v>
          </cell>
          <cell r="AN75">
            <v>54116.49800151313</v>
          </cell>
          <cell r="AP75">
            <v>552159.83270600007</v>
          </cell>
          <cell r="AQ75">
            <v>476773.82973348693</v>
          </cell>
          <cell r="AR75">
            <v>75386.002972513146</v>
          </cell>
          <cell r="AS75">
            <v>75386.002972513146</v>
          </cell>
        </row>
        <row r="76">
          <cell r="B76" t="str">
            <v>200280620A</v>
          </cell>
          <cell r="G76" t="str">
            <v>Private</v>
          </cell>
          <cell r="H76" t="str">
            <v xml:space="preserve">OKLAHOMA HEART HOSPITAL SOUTH, LLC </v>
          </cell>
          <cell r="I76" t="str">
            <v xml:space="preserve">5200 EAST I-240 SERVICE RD  </v>
          </cell>
          <cell r="J76" t="str">
            <v xml:space="preserve">OKLAHOMA CITY  </v>
          </cell>
          <cell r="K76" t="str">
            <v>OK</v>
          </cell>
          <cell r="L76" t="str">
            <v>73135</v>
          </cell>
          <cell r="M76">
            <v>0.2213</v>
          </cell>
          <cell r="N76" t="str">
            <v>I</v>
          </cell>
          <cell r="O76">
            <v>1791</v>
          </cell>
          <cell r="P76">
            <v>1777</v>
          </cell>
          <cell r="Q76">
            <v>29216920.780000001</v>
          </cell>
          <cell r="R76">
            <v>5435209.7799999993</v>
          </cell>
          <cell r="S76">
            <v>37559.24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6465704.5686140005</v>
          </cell>
          <cell r="AB76">
            <v>5472769.0199999996</v>
          </cell>
          <cell r="AC76">
            <v>992935.5486140009</v>
          </cell>
          <cell r="AE76">
            <v>22910746.77</v>
          </cell>
          <cell r="AF76">
            <v>2834687.2299999995</v>
          </cell>
          <cell r="AG76">
            <v>161025.6354053719</v>
          </cell>
          <cell r="AH76">
            <v>0</v>
          </cell>
          <cell r="AI76">
            <v>0</v>
          </cell>
          <cell r="AJ76">
            <v>0</v>
          </cell>
          <cell r="AL76">
            <v>5070148.2602009997</v>
          </cell>
          <cell r="AM76">
            <v>2995712.8654053714</v>
          </cell>
          <cell r="AN76">
            <v>2074435.3947956283</v>
          </cell>
          <cell r="AP76">
            <v>11535852.828815</v>
          </cell>
          <cell r="AQ76">
            <v>8468481.885405371</v>
          </cell>
          <cell r="AR76">
            <v>3067370.9434096292</v>
          </cell>
          <cell r="AS76">
            <v>3067370.9434096292</v>
          </cell>
        </row>
        <row r="77">
          <cell r="B77" t="str">
            <v>200242900A</v>
          </cell>
          <cell r="G77" t="str">
            <v>Private</v>
          </cell>
          <cell r="H77" t="str">
            <v xml:space="preserve">OKLAHOMA STATE UNIVERSITY MEDICAL TRUST </v>
          </cell>
          <cell r="I77" t="str">
            <v xml:space="preserve">744 W 9TH ST  </v>
          </cell>
          <cell r="J77" t="str">
            <v xml:space="preserve">TULSA          </v>
          </cell>
          <cell r="K77" t="str">
            <v>OK</v>
          </cell>
          <cell r="L77" t="str">
            <v>74127</v>
          </cell>
          <cell r="M77">
            <v>0.22209999999999999</v>
          </cell>
          <cell r="N77" t="str">
            <v>I</v>
          </cell>
          <cell r="O77">
            <v>11488</v>
          </cell>
          <cell r="P77">
            <v>11488</v>
          </cell>
          <cell r="Q77">
            <v>105339981.11</v>
          </cell>
          <cell r="R77">
            <v>18589515.16</v>
          </cell>
          <cell r="S77">
            <v>373520.44999999995</v>
          </cell>
          <cell r="T77">
            <v>0</v>
          </cell>
          <cell r="U77">
            <v>1710349</v>
          </cell>
          <cell r="V77">
            <v>191098</v>
          </cell>
          <cell r="W77">
            <v>18475458</v>
          </cell>
          <cell r="X77">
            <v>8875578.2800000012</v>
          </cell>
          <cell r="Y77">
            <v>0</v>
          </cell>
          <cell r="AA77">
            <v>25106358.804531001</v>
          </cell>
          <cell r="AB77">
            <v>46505169.890000001</v>
          </cell>
          <cell r="AC77">
            <v>-21398811.085469</v>
          </cell>
          <cell r="AE77">
            <v>61002654.619999737</v>
          </cell>
          <cell r="AF77">
            <v>8595801.9200000092</v>
          </cell>
          <cell r="AG77">
            <v>458923.75136626331</v>
          </cell>
          <cell r="AH77">
            <v>0</v>
          </cell>
          <cell r="AI77">
            <v>1026829</v>
          </cell>
          <cell r="AJ77">
            <v>1931460.12</v>
          </cell>
          <cell r="AL77">
            <v>14575518.591101941</v>
          </cell>
          <cell r="AM77">
            <v>10986185.791366272</v>
          </cell>
          <cell r="AN77">
            <v>3589332.799735669</v>
          </cell>
          <cell r="AP77">
            <v>39681877.395632938</v>
          </cell>
          <cell r="AQ77">
            <v>57491355.681366272</v>
          </cell>
          <cell r="AR77">
            <v>-17809478.285733335</v>
          </cell>
          <cell r="AS77">
            <v>-7002439.8857333334</v>
          </cell>
        </row>
        <row r="78">
          <cell r="B78" t="str">
            <v>100700360A</v>
          </cell>
          <cell r="G78" t="str">
            <v>Private</v>
          </cell>
          <cell r="H78" t="str">
            <v xml:space="preserve">OKMULGEE MEMORIAL HSP </v>
          </cell>
          <cell r="I78" t="str">
            <v>1401 MORRIS DRIVE  ATT: ADMINISTRATION</v>
          </cell>
          <cell r="J78" t="str">
            <v xml:space="preserve">OKMULGEE       </v>
          </cell>
          <cell r="K78" t="str">
            <v>OK</v>
          </cell>
          <cell r="L78" t="str">
            <v>74447</v>
          </cell>
          <cell r="M78">
            <v>0.24260000000000001</v>
          </cell>
          <cell r="N78" t="str">
            <v>I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E78">
            <v>-4.5474735088646402E-13</v>
          </cell>
          <cell r="AF78">
            <v>-8.5265128291211997E-14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L78">
            <v>-1.1032170732505617E-13</v>
          </cell>
          <cell r="AM78">
            <v>-8.5265128291211997E-14</v>
          </cell>
          <cell r="AN78">
            <v>-2.5056579033844178E-14</v>
          </cell>
          <cell r="AP78">
            <v>-1.1032170732505617E-13</v>
          </cell>
          <cell r="AQ78">
            <v>-8.5265128291211997E-14</v>
          </cell>
          <cell r="AR78">
            <v>-2.5056579033844178E-14</v>
          </cell>
          <cell r="AS78">
            <v>-2.5056579033844178E-14</v>
          </cell>
        </row>
        <row r="79">
          <cell r="B79" t="str">
            <v>100699570A</v>
          </cell>
          <cell r="C79" t="str">
            <v>100699570N</v>
          </cell>
          <cell r="G79" t="str">
            <v>Private</v>
          </cell>
          <cell r="H79" t="str">
            <v xml:space="preserve">SAINT FRANCIS HOSPITAL </v>
          </cell>
          <cell r="I79" t="str">
            <v xml:space="preserve">6161 S YALE  </v>
          </cell>
          <cell r="J79" t="str">
            <v xml:space="preserve">TULSA          </v>
          </cell>
          <cell r="K79" t="str">
            <v>OK</v>
          </cell>
          <cell r="L79" t="str">
            <v>74136</v>
          </cell>
          <cell r="M79">
            <v>0.21079999999999999</v>
          </cell>
          <cell r="N79" t="str">
            <v>I</v>
          </cell>
          <cell r="O79">
            <v>91931</v>
          </cell>
          <cell r="P79">
            <v>91851</v>
          </cell>
          <cell r="Q79">
            <v>748860893.70999992</v>
          </cell>
          <cell r="R79">
            <v>119746384.41</v>
          </cell>
          <cell r="S79">
            <v>9179539.3900000006</v>
          </cell>
          <cell r="T79">
            <v>1652.33</v>
          </cell>
          <cell r="U79">
            <v>14404956</v>
          </cell>
          <cell r="V79">
            <v>561040</v>
          </cell>
          <cell r="W79">
            <v>0</v>
          </cell>
          <cell r="X79">
            <v>76019574.819999993</v>
          </cell>
          <cell r="Y79">
            <v>0</v>
          </cell>
          <cell r="AA79">
            <v>172266484.72406799</v>
          </cell>
          <cell r="AB79">
            <v>205508190.94999999</v>
          </cell>
          <cell r="AC79">
            <v>-33241706.225932002</v>
          </cell>
          <cell r="AE79">
            <v>259915937.29999509</v>
          </cell>
          <cell r="AF79">
            <v>37592547.240000293</v>
          </cell>
          <cell r="AG79">
            <v>3274913.6707602083</v>
          </cell>
          <cell r="AH79">
            <v>84817.01</v>
          </cell>
          <cell r="AI79">
            <v>10667907</v>
          </cell>
          <cell r="AJ79">
            <v>10526241.559999999</v>
          </cell>
          <cell r="AL79">
            <v>65543003.592838958</v>
          </cell>
          <cell r="AM79">
            <v>51478519.480760492</v>
          </cell>
          <cell r="AN79">
            <v>14064484.112078466</v>
          </cell>
          <cell r="AP79">
            <v>237809488.31690693</v>
          </cell>
          <cell r="AQ79">
            <v>256986710.43076047</v>
          </cell>
          <cell r="AR79">
            <v>-19177222.113853544</v>
          </cell>
          <cell r="AS79">
            <v>67368594.266146451</v>
          </cell>
        </row>
        <row r="80">
          <cell r="B80" t="str">
            <v>200700900A</v>
          </cell>
          <cell r="C80" t="str">
            <v>200700900B</v>
          </cell>
          <cell r="D80" t="str">
            <v>200700900C</v>
          </cell>
          <cell r="E80" t="str">
            <v>100700630A</v>
          </cell>
          <cell r="G80" t="str">
            <v>Private</v>
          </cell>
          <cell r="H80" t="str">
            <v xml:space="preserve">SAINT FRANCIS HOSPITAL MUSKOGEE INC </v>
          </cell>
          <cell r="I80" t="str">
            <v xml:space="preserve">300 ROCKEFELLER DRIVE  </v>
          </cell>
          <cell r="J80" t="str">
            <v xml:space="preserve">MUSKOGEE       </v>
          </cell>
          <cell r="K80" t="str">
            <v>OK</v>
          </cell>
          <cell r="L80" t="str">
            <v>74401</v>
          </cell>
          <cell r="M80">
            <v>0.21110000000000001</v>
          </cell>
          <cell r="N80" t="str">
            <v>I</v>
          </cell>
          <cell r="O80">
            <v>15472</v>
          </cell>
          <cell r="P80">
            <v>15472</v>
          </cell>
          <cell r="Q80">
            <v>102538980.69000001</v>
          </cell>
          <cell r="R80">
            <v>17641736.219999999</v>
          </cell>
          <cell r="S80">
            <v>1170603.1100000001</v>
          </cell>
          <cell r="T80">
            <v>9203.84</v>
          </cell>
          <cell r="U80">
            <v>1600079</v>
          </cell>
          <cell r="V80">
            <v>0</v>
          </cell>
          <cell r="W80">
            <v>0</v>
          </cell>
          <cell r="X80">
            <v>10845880.289999999</v>
          </cell>
          <cell r="Y80">
            <v>0</v>
          </cell>
          <cell r="AA80">
            <v>23255261.663659003</v>
          </cell>
          <cell r="AB80">
            <v>29667423.459999997</v>
          </cell>
          <cell r="AC80">
            <v>-6412161.7963409945</v>
          </cell>
          <cell r="AE80">
            <v>82490002.160000205</v>
          </cell>
          <cell r="AF80">
            <v>11215024.009999994</v>
          </cell>
          <cell r="AG80">
            <v>682483.56818930607</v>
          </cell>
          <cell r="AH80">
            <v>70444</v>
          </cell>
          <cell r="AI80">
            <v>1437922</v>
          </cell>
          <cell r="AJ80">
            <v>2781501.2500000005</v>
          </cell>
          <cell r="AL80">
            <v>18922005.455976043</v>
          </cell>
          <cell r="AM80">
            <v>14749452.8281893</v>
          </cell>
          <cell r="AN80">
            <v>4172552.6277867425</v>
          </cell>
          <cell r="AP80">
            <v>42177267.119635046</v>
          </cell>
          <cell r="AQ80">
            <v>44416876.288189299</v>
          </cell>
          <cell r="AR80">
            <v>-2239609.1685542539</v>
          </cell>
          <cell r="AS80">
            <v>11387772.371445745</v>
          </cell>
        </row>
        <row r="81">
          <cell r="B81" t="str">
            <v>200031310A</v>
          </cell>
          <cell r="G81" t="str">
            <v>Private</v>
          </cell>
          <cell r="H81" t="str">
            <v xml:space="preserve">SAINT FRANCIS HOSPITAL SOUTH </v>
          </cell>
          <cell r="I81" t="str">
            <v xml:space="preserve">10501 E 91ST S  </v>
          </cell>
          <cell r="J81" t="str">
            <v xml:space="preserve">TULSA          </v>
          </cell>
          <cell r="K81" t="str">
            <v>OK</v>
          </cell>
          <cell r="L81" t="str">
            <v>74133</v>
          </cell>
          <cell r="M81">
            <v>0.18870000000000001</v>
          </cell>
          <cell r="N81" t="str">
            <v>I</v>
          </cell>
          <cell r="O81">
            <v>7360</v>
          </cell>
          <cell r="P81">
            <v>7360</v>
          </cell>
          <cell r="Q81">
            <v>52747517.5</v>
          </cell>
          <cell r="R81">
            <v>9868603.2799999993</v>
          </cell>
          <cell r="S81">
            <v>506784.32</v>
          </cell>
          <cell r="T81">
            <v>0</v>
          </cell>
          <cell r="U81">
            <v>1038224</v>
          </cell>
          <cell r="V81">
            <v>0</v>
          </cell>
          <cell r="W81">
            <v>0</v>
          </cell>
          <cell r="X81">
            <v>4636884.3</v>
          </cell>
          <cell r="Y81">
            <v>0</v>
          </cell>
          <cell r="AA81">
            <v>10991680.55225</v>
          </cell>
          <cell r="AB81">
            <v>15012271.899999999</v>
          </cell>
          <cell r="AC81">
            <v>-4020591.3477499988</v>
          </cell>
          <cell r="AE81">
            <v>57475472.300000459</v>
          </cell>
          <cell r="AF81">
            <v>6795542.4900000039</v>
          </cell>
          <cell r="AG81">
            <v>1085255.3579173014</v>
          </cell>
          <cell r="AH81">
            <v>0</v>
          </cell>
          <cell r="AI81">
            <v>1850335</v>
          </cell>
          <cell r="AJ81">
            <v>1439963.51</v>
          </cell>
          <cell r="AL81">
            <v>12695956.623010088</v>
          </cell>
          <cell r="AM81">
            <v>9320761.3579173051</v>
          </cell>
          <cell r="AN81">
            <v>3375195.2650927827</v>
          </cell>
          <cell r="AP81">
            <v>23687637.175260089</v>
          </cell>
          <cell r="AQ81">
            <v>24333033.257917304</v>
          </cell>
          <cell r="AR81">
            <v>-645396.08265721425</v>
          </cell>
          <cell r="AS81">
            <v>5431451.7273427853</v>
          </cell>
        </row>
        <row r="82">
          <cell r="B82" t="str">
            <v>100697950B</v>
          </cell>
          <cell r="C82" t="str">
            <v>100697950I</v>
          </cell>
          <cell r="D82" t="str">
            <v>100697950H</v>
          </cell>
          <cell r="G82" t="str">
            <v>Private</v>
          </cell>
          <cell r="H82" t="str">
            <v xml:space="preserve">SOUTHWESTERN MEDICAL CENT </v>
          </cell>
          <cell r="I82" t="str">
            <v xml:space="preserve">5602 SW LEE BLVD  </v>
          </cell>
          <cell r="J82" t="str">
            <v xml:space="preserve">LAWTON         </v>
          </cell>
          <cell r="K82" t="str">
            <v>OK</v>
          </cell>
          <cell r="L82" t="str">
            <v>73505</v>
          </cell>
          <cell r="M82">
            <v>0.15759999999999999</v>
          </cell>
          <cell r="N82" t="str">
            <v>I</v>
          </cell>
          <cell r="O82">
            <v>4583</v>
          </cell>
          <cell r="P82">
            <v>4583</v>
          </cell>
          <cell r="Q82">
            <v>36637184.07</v>
          </cell>
          <cell r="R82">
            <v>4808482.4700000007</v>
          </cell>
          <cell r="S82">
            <v>959689.98</v>
          </cell>
          <cell r="T82">
            <v>0</v>
          </cell>
          <cell r="U82">
            <v>909374</v>
          </cell>
          <cell r="V82">
            <v>0</v>
          </cell>
          <cell r="W82">
            <v>0</v>
          </cell>
          <cell r="X82">
            <v>5965046.4399999995</v>
          </cell>
          <cell r="Y82">
            <v>0</v>
          </cell>
          <cell r="AA82">
            <v>6683394.2094319994</v>
          </cell>
          <cell r="AB82">
            <v>11733218.890000001</v>
          </cell>
          <cell r="AC82">
            <v>-5049824.6805680012</v>
          </cell>
          <cell r="AE82">
            <v>30936108.77</v>
          </cell>
          <cell r="AF82">
            <v>2982408.9599999897</v>
          </cell>
          <cell r="AG82">
            <v>310757.30052404868</v>
          </cell>
          <cell r="AH82">
            <v>0</v>
          </cell>
          <cell r="AI82">
            <v>1036346</v>
          </cell>
          <cell r="AJ82">
            <v>1089531.19</v>
          </cell>
          <cell r="AL82">
            <v>5911876.7421519998</v>
          </cell>
          <cell r="AM82">
            <v>4382697.4505240377</v>
          </cell>
          <cell r="AN82">
            <v>1529179.2916279621</v>
          </cell>
          <cell r="AP82">
            <v>12595270.951584</v>
          </cell>
          <cell r="AQ82">
            <v>16115916.340524038</v>
          </cell>
          <cell r="AR82">
            <v>-3520645.3889400382</v>
          </cell>
          <cell r="AS82">
            <v>3533932.2410599613</v>
          </cell>
        </row>
        <row r="83">
          <cell r="B83" t="str">
            <v>100697950M</v>
          </cell>
          <cell r="G83" t="str">
            <v>Private Hospital Based Psych Level II - Combined</v>
          </cell>
          <cell r="H83" t="str">
            <v xml:space="preserve">SOUTHWESTERN MEDICAL CENTER LLC </v>
          </cell>
          <cell r="I83" t="str">
            <v xml:space="preserve">1602 SW 82ND STREET  </v>
          </cell>
          <cell r="J83" t="str">
            <v xml:space="preserve">LAWTON         </v>
          </cell>
          <cell r="K83" t="str">
            <v>OK</v>
          </cell>
          <cell r="L83" t="str">
            <v>73505</v>
          </cell>
          <cell r="M83">
            <v>0.23234523286107292</v>
          </cell>
          <cell r="N83" t="str">
            <v>I</v>
          </cell>
          <cell r="O83">
            <v>6054</v>
          </cell>
          <cell r="P83">
            <v>6054</v>
          </cell>
          <cell r="Q83">
            <v>10435558.699999999</v>
          </cell>
          <cell r="R83">
            <v>1762379.61</v>
          </cell>
          <cell r="S83">
            <v>28206.23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2424652.3161868951</v>
          </cell>
          <cell r="AB83">
            <v>1790585.84</v>
          </cell>
          <cell r="AC83">
            <v>634066.47618689504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L83">
            <v>0</v>
          </cell>
          <cell r="AM83">
            <v>0</v>
          </cell>
          <cell r="AN83">
            <v>0</v>
          </cell>
          <cell r="AP83">
            <v>2424652.3161868951</v>
          </cell>
          <cell r="AQ83">
            <v>1790585.84</v>
          </cell>
          <cell r="AR83">
            <v>634066.47618689504</v>
          </cell>
          <cell r="AS83">
            <v>634066.47618689504</v>
          </cell>
        </row>
        <row r="84">
          <cell r="B84" t="str">
            <v>100691720C</v>
          </cell>
          <cell r="G84" t="str">
            <v>Private</v>
          </cell>
          <cell r="H84" t="str">
            <v xml:space="preserve">SOUTHWESTERN REGIONAL MEDICAL CENTER </v>
          </cell>
          <cell r="I84" t="str">
            <v xml:space="preserve">10109 EAST 79TH ST  </v>
          </cell>
          <cell r="J84" t="str">
            <v xml:space="preserve">TULSA          </v>
          </cell>
          <cell r="K84" t="str">
            <v>OK</v>
          </cell>
          <cell r="L84" t="str">
            <v>74133</v>
          </cell>
          <cell r="M84">
            <v>0.20760000000000001</v>
          </cell>
          <cell r="N84" t="str">
            <v>I</v>
          </cell>
          <cell r="O84">
            <v>94</v>
          </cell>
          <cell r="P84">
            <v>94</v>
          </cell>
          <cell r="Q84">
            <v>1600867.08</v>
          </cell>
          <cell r="R84">
            <v>181620.17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332340.00580800005</v>
          </cell>
          <cell r="AB84">
            <v>181620.17</v>
          </cell>
          <cell r="AC84">
            <v>150719.83580800003</v>
          </cell>
          <cell r="AE84">
            <v>7700544.8299999991</v>
          </cell>
          <cell r="AF84">
            <v>875632.47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L84">
            <v>1598633.1067079999</v>
          </cell>
          <cell r="AM84">
            <v>875632.47</v>
          </cell>
          <cell r="AN84">
            <v>723000.63670799998</v>
          </cell>
          <cell r="AP84">
            <v>1930973.1125159999</v>
          </cell>
          <cell r="AQ84">
            <v>1057252.6399999999</v>
          </cell>
          <cell r="AR84">
            <v>873720.47251600004</v>
          </cell>
          <cell r="AS84">
            <v>873720.47251600004</v>
          </cell>
        </row>
        <row r="85">
          <cell r="B85" t="str">
            <v>100699540A</v>
          </cell>
          <cell r="C85" t="str">
            <v>100699540T</v>
          </cell>
          <cell r="G85" t="str">
            <v>Private</v>
          </cell>
          <cell r="H85" t="str">
            <v xml:space="preserve">ST ANTHONY HSP </v>
          </cell>
          <cell r="I85" t="str">
            <v xml:space="preserve">1000 N LEE AVE  </v>
          </cell>
          <cell r="J85" t="str">
            <v xml:space="preserve">OKLAHOMA CITY  </v>
          </cell>
          <cell r="K85" t="str">
            <v>OK</v>
          </cell>
          <cell r="L85" t="str">
            <v>73102</v>
          </cell>
          <cell r="M85">
            <v>0.1711</v>
          </cell>
          <cell r="N85" t="str">
            <v>I</v>
          </cell>
          <cell r="O85">
            <v>43562</v>
          </cell>
          <cell r="P85">
            <v>43562</v>
          </cell>
          <cell r="Q85">
            <v>349079007.23000002</v>
          </cell>
          <cell r="R85">
            <v>43030975.629999995</v>
          </cell>
          <cell r="S85">
            <v>2790541.2399999998</v>
          </cell>
          <cell r="T85">
            <v>77369.27</v>
          </cell>
          <cell r="U85">
            <v>6223810</v>
          </cell>
          <cell r="V85">
            <v>961868</v>
          </cell>
          <cell r="W85">
            <v>0</v>
          </cell>
          <cell r="X85">
            <v>40116638.82</v>
          </cell>
          <cell r="Y85">
            <v>0</v>
          </cell>
          <cell r="AA85">
            <v>66028597.407053009</v>
          </cell>
          <cell r="AB85">
            <v>86977392.960000008</v>
          </cell>
          <cell r="AC85">
            <v>-20948795.552947</v>
          </cell>
          <cell r="AE85">
            <v>248806354.87999901</v>
          </cell>
          <cell r="AF85">
            <v>24418656.640000738</v>
          </cell>
          <cell r="AG85">
            <v>1877844.0439427821</v>
          </cell>
          <cell r="AH85">
            <v>0</v>
          </cell>
          <cell r="AI85">
            <v>7960473</v>
          </cell>
          <cell r="AJ85">
            <v>5258659.05</v>
          </cell>
          <cell r="AL85">
            <v>50531240.319967829</v>
          </cell>
          <cell r="AM85">
            <v>31555159.733943522</v>
          </cell>
          <cell r="AN85">
            <v>18976080.586024307</v>
          </cell>
          <cell r="AP85">
            <v>116559837.72702083</v>
          </cell>
          <cell r="AQ85">
            <v>118532552.69394353</v>
          </cell>
          <cell r="AR85">
            <v>-1972714.9669227004</v>
          </cell>
          <cell r="AS85">
            <v>43402582.903077297</v>
          </cell>
        </row>
        <row r="86">
          <cell r="B86" t="str">
            <v>100699540J</v>
          </cell>
          <cell r="G86" t="str">
            <v>Private Hospital Based Psych Level II - Combined</v>
          </cell>
          <cell r="H86" t="str">
            <v xml:space="preserve">SSM HEALTH BEHAVIORAL HEALTH-OKC-RTC-HR </v>
          </cell>
          <cell r="I86" t="str">
            <v xml:space="preserve">1000 N LEE AVE  </v>
          </cell>
          <cell r="J86" t="str">
            <v xml:space="preserve">OKLAHOMA CITY  </v>
          </cell>
          <cell r="K86" t="str">
            <v>OK</v>
          </cell>
          <cell r="L86" t="str">
            <v>73102</v>
          </cell>
          <cell r="M86">
            <v>0.235796465546149</v>
          </cell>
          <cell r="N86" t="str">
            <v>I</v>
          </cell>
          <cell r="O86">
            <v>18910</v>
          </cell>
          <cell r="P86">
            <v>18910</v>
          </cell>
          <cell r="Q86">
            <v>27724406.129999999</v>
          </cell>
          <cell r="R86">
            <v>5698083.4100000001</v>
          </cell>
          <cell r="S86">
            <v>16005.9</v>
          </cell>
          <cell r="T86">
            <v>169570.18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6706887.1548199868</v>
          </cell>
          <cell r="AB86">
            <v>5883659.4900000002</v>
          </cell>
          <cell r="AC86">
            <v>823227.66481998656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L86">
            <v>0</v>
          </cell>
          <cell r="AM86">
            <v>0</v>
          </cell>
          <cell r="AN86">
            <v>0</v>
          </cell>
          <cell r="AP86">
            <v>6706887.1548199868</v>
          </cell>
          <cell r="AQ86">
            <v>5883659.4900000002</v>
          </cell>
          <cell r="AR86">
            <v>823227.66481998656</v>
          </cell>
          <cell r="AS86">
            <v>823227.66481998656</v>
          </cell>
        </row>
        <row r="87">
          <cell r="B87" t="str">
            <v>100699540L</v>
          </cell>
          <cell r="G87" t="str">
            <v>Private Hospital Based Psych Level II - Combined</v>
          </cell>
          <cell r="H87" t="str">
            <v xml:space="preserve">SSM HEALTH ST. ANTHONY SOUTH-JSOP </v>
          </cell>
          <cell r="I87" t="str">
            <v xml:space="preserve">2129 SW 59TH ST  </v>
          </cell>
          <cell r="J87" t="str">
            <v xml:space="preserve">OKLAHOMA CITY  </v>
          </cell>
          <cell r="K87" t="str">
            <v>OK</v>
          </cell>
          <cell r="L87" t="str">
            <v>73119</v>
          </cell>
          <cell r="M87">
            <v>0.235796465546149</v>
          </cell>
          <cell r="N87" t="str">
            <v>I</v>
          </cell>
          <cell r="O87">
            <v>8707</v>
          </cell>
          <cell r="P87">
            <v>8700</v>
          </cell>
          <cell r="Q87">
            <v>11819227.49</v>
          </cell>
          <cell r="R87">
            <v>2550743.13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2786932.0676278821</v>
          </cell>
          <cell r="AB87">
            <v>2550743.13</v>
          </cell>
          <cell r="AC87">
            <v>236188.93762788223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L87">
            <v>0</v>
          </cell>
          <cell r="AM87">
            <v>0</v>
          </cell>
          <cell r="AN87">
            <v>0</v>
          </cell>
          <cell r="AP87">
            <v>2786932.0676278821</v>
          </cell>
          <cell r="AQ87">
            <v>2550743.13</v>
          </cell>
          <cell r="AR87">
            <v>236188.93762788223</v>
          </cell>
          <cell r="AS87">
            <v>236188.93762788223</v>
          </cell>
        </row>
        <row r="88">
          <cell r="B88" t="str">
            <v>200310990A</v>
          </cell>
          <cell r="G88" t="str">
            <v>Private</v>
          </cell>
          <cell r="H88" t="str">
            <v xml:space="preserve">ST JOHN BROKEN ARROW, INC </v>
          </cell>
          <cell r="I88" t="str">
            <v xml:space="preserve">1000 W BOISE CIRCLE  </v>
          </cell>
          <cell r="J88" t="str">
            <v xml:space="preserve">BROKEN ARROW   </v>
          </cell>
          <cell r="K88" t="str">
            <v>OK</v>
          </cell>
          <cell r="L88" t="str">
            <v>74012</v>
          </cell>
          <cell r="M88">
            <v>0.20730000000000001</v>
          </cell>
          <cell r="N88" t="str">
            <v>I</v>
          </cell>
          <cell r="O88">
            <v>728</v>
          </cell>
          <cell r="P88">
            <v>728</v>
          </cell>
          <cell r="Q88">
            <v>3932286</v>
          </cell>
          <cell r="R88">
            <v>994063.78</v>
          </cell>
          <cell r="S88">
            <v>34965.199999999997</v>
          </cell>
          <cell r="T88">
            <v>0</v>
          </cell>
          <cell r="U88">
            <v>480877</v>
          </cell>
          <cell r="V88">
            <v>0</v>
          </cell>
          <cell r="W88">
            <v>0</v>
          </cell>
          <cell r="X88">
            <v>374736.87</v>
          </cell>
          <cell r="Y88">
            <v>0</v>
          </cell>
          <cell r="AA88">
            <v>1296039.8878000001</v>
          </cell>
          <cell r="AB88">
            <v>1403765.85</v>
          </cell>
          <cell r="AC88">
            <v>-107725.96219999995</v>
          </cell>
          <cell r="AE88">
            <v>29038181.889999896</v>
          </cell>
          <cell r="AF88">
            <v>3835875.5099999961</v>
          </cell>
          <cell r="AG88">
            <v>274366.5688843372</v>
          </cell>
          <cell r="AH88">
            <v>0</v>
          </cell>
          <cell r="AI88">
            <v>1079043</v>
          </cell>
          <cell r="AJ88">
            <v>920781.55000000016</v>
          </cell>
          <cell r="AL88">
            <v>7098658.1057969788</v>
          </cell>
          <cell r="AM88">
            <v>5031023.6288843332</v>
          </cell>
          <cell r="AN88">
            <v>2067634.4769126456</v>
          </cell>
          <cell r="AP88">
            <v>8394697.9935969785</v>
          </cell>
          <cell r="AQ88">
            <v>6434789.4788843337</v>
          </cell>
          <cell r="AR88">
            <v>1959908.5147126447</v>
          </cell>
          <cell r="AS88">
            <v>3255426.9347126451</v>
          </cell>
        </row>
        <row r="89">
          <cell r="B89" t="str">
            <v>100699400A</v>
          </cell>
          <cell r="G89" t="str">
            <v>Private</v>
          </cell>
          <cell r="H89" t="str">
            <v xml:space="preserve">ST JOHN MED CTR </v>
          </cell>
          <cell r="I89" t="str">
            <v xml:space="preserve">1923 S UTICA AVENUE  </v>
          </cell>
          <cell r="J89" t="str">
            <v xml:space="preserve">TULSA          </v>
          </cell>
          <cell r="K89" t="str">
            <v>OK</v>
          </cell>
          <cell r="L89" t="str">
            <v>74104</v>
          </cell>
          <cell r="M89">
            <v>0.2424</v>
          </cell>
          <cell r="N89" t="str">
            <v>I</v>
          </cell>
          <cell r="O89">
            <v>40175</v>
          </cell>
          <cell r="P89">
            <v>40165</v>
          </cell>
          <cell r="Q89">
            <v>290265700.5</v>
          </cell>
          <cell r="R89">
            <v>57561628.090000004</v>
          </cell>
          <cell r="S89">
            <v>2065918.43</v>
          </cell>
          <cell r="T89">
            <v>0</v>
          </cell>
          <cell r="U89">
            <v>8288051</v>
          </cell>
          <cell r="V89">
            <v>532107</v>
          </cell>
          <cell r="W89">
            <v>0</v>
          </cell>
          <cell r="X89">
            <v>28815868.379999995</v>
          </cell>
          <cell r="Y89">
            <v>0</v>
          </cell>
          <cell r="AA89">
            <v>78648456.801200002</v>
          </cell>
          <cell r="AB89">
            <v>88975521.900000006</v>
          </cell>
          <cell r="AC89">
            <v>-10327065.098800004</v>
          </cell>
          <cell r="AE89">
            <v>93051132.999999017</v>
          </cell>
          <cell r="AF89">
            <v>11576265.850000001</v>
          </cell>
          <cell r="AG89">
            <v>937744.72451692214</v>
          </cell>
          <cell r="AH89">
            <v>0</v>
          </cell>
          <cell r="AI89">
            <v>5438058</v>
          </cell>
          <cell r="AJ89">
            <v>2698705.44</v>
          </cell>
          <cell r="AL89">
            <v>27993652.639199764</v>
          </cell>
          <cell r="AM89">
            <v>15212716.014516924</v>
          </cell>
          <cell r="AN89">
            <v>12780936.62468284</v>
          </cell>
          <cell r="AP89">
            <v>106642109.44039977</v>
          </cell>
          <cell r="AQ89">
            <v>104188237.91451693</v>
          </cell>
          <cell r="AR89">
            <v>2453871.5258828402</v>
          </cell>
          <cell r="AS89">
            <v>33968445.345882833</v>
          </cell>
        </row>
        <row r="90">
          <cell r="B90" t="str">
            <v>200106410A</v>
          </cell>
          <cell r="G90" t="str">
            <v>Private</v>
          </cell>
          <cell r="H90" t="str">
            <v xml:space="preserve">ST JOHN OWASSO </v>
          </cell>
          <cell r="I90" t="str">
            <v xml:space="preserve">12451 E 100TH ST NORTH  </v>
          </cell>
          <cell r="J90" t="str">
            <v xml:space="preserve">OWASSO         </v>
          </cell>
          <cell r="K90" t="str">
            <v>OK</v>
          </cell>
          <cell r="L90" t="str">
            <v>74055</v>
          </cell>
          <cell r="M90">
            <v>0.21060000000000001</v>
          </cell>
          <cell r="N90" t="str">
            <v>I</v>
          </cell>
          <cell r="O90">
            <v>1187</v>
          </cell>
          <cell r="P90">
            <v>1187</v>
          </cell>
          <cell r="Q90">
            <v>7360106.4699999997</v>
          </cell>
          <cell r="R90">
            <v>1238799.9100000001</v>
          </cell>
          <cell r="S90">
            <v>285868.12</v>
          </cell>
          <cell r="T90">
            <v>0</v>
          </cell>
          <cell r="U90">
            <v>195897</v>
          </cell>
          <cell r="V90">
            <v>0</v>
          </cell>
          <cell r="W90">
            <v>0</v>
          </cell>
          <cell r="X90">
            <v>1103762.01</v>
          </cell>
          <cell r="Y90">
            <v>0</v>
          </cell>
          <cell r="AA90">
            <v>1745935.422582</v>
          </cell>
          <cell r="AB90">
            <v>2628430.04</v>
          </cell>
          <cell r="AC90">
            <v>-882494.61741800001</v>
          </cell>
          <cell r="AE90">
            <v>16332317.269999992</v>
          </cell>
          <cell r="AF90">
            <v>2069856.5399999898</v>
          </cell>
          <cell r="AG90">
            <v>206482.88026781753</v>
          </cell>
          <cell r="AH90">
            <v>0</v>
          </cell>
          <cell r="AI90">
            <v>751451</v>
          </cell>
          <cell r="AJ90">
            <v>503322.47999999986</v>
          </cell>
          <cell r="AL90">
            <v>4191037.0170619986</v>
          </cell>
          <cell r="AM90">
            <v>2779661.9002678073</v>
          </cell>
          <cell r="AN90">
            <v>1411375.1167941913</v>
          </cell>
          <cell r="AP90">
            <v>5936972.4396439986</v>
          </cell>
          <cell r="AQ90">
            <v>5408091.9402678069</v>
          </cell>
          <cell r="AR90">
            <v>528880.49937619176</v>
          </cell>
          <cell r="AS90">
            <v>2135964.9893761915</v>
          </cell>
        </row>
        <row r="91">
          <cell r="B91" t="str">
            <v>100690020A</v>
          </cell>
          <cell r="C91" t="str">
            <v>100690020C</v>
          </cell>
          <cell r="D91" t="str">
            <v>200980810A</v>
          </cell>
          <cell r="G91" t="str">
            <v>Private</v>
          </cell>
          <cell r="H91" t="str">
            <v xml:space="preserve">ST MARY'S REGIONAL MEDICAL CENTER </v>
          </cell>
          <cell r="I91" t="str">
            <v xml:space="preserve">305 S 5TH ST  </v>
          </cell>
          <cell r="J91" t="str">
            <v xml:space="preserve">ENID           </v>
          </cell>
          <cell r="K91" t="str">
            <v>OK</v>
          </cell>
          <cell r="L91" t="str">
            <v>73701</v>
          </cell>
          <cell r="M91">
            <v>0.14199999999999999</v>
          </cell>
          <cell r="N91" t="str">
            <v>I</v>
          </cell>
          <cell r="O91">
            <v>5098</v>
          </cell>
          <cell r="P91">
            <v>5098</v>
          </cell>
          <cell r="Q91">
            <v>45334331.270000003</v>
          </cell>
          <cell r="R91">
            <v>4455859.9300000006</v>
          </cell>
          <cell r="S91">
            <v>166518.28</v>
          </cell>
          <cell r="T91">
            <v>0</v>
          </cell>
          <cell r="U91">
            <v>1393943</v>
          </cell>
          <cell r="V91">
            <v>0</v>
          </cell>
          <cell r="W91">
            <v>0</v>
          </cell>
          <cell r="X91">
            <v>2320883.77</v>
          </cell>
          <cell r="Y91">
            <v>0</v>
          </cell>
          <cell r="AA91">
            <v>7831418.0403399998</v>
          </cell>
          <cell r="AB91">
            <v>6943261.9800000004</v>
          </cell>
          <cell r="AC91">
            <v>888156.06033999939</v>
          </cell>
          <cell r="AE91">
            <v>36655279.769999996</v>
          </cell>
          <cell r="AF91">
            <v>2872085.57</v>
          </cell>
          <cell r="AG91">
            <v>83284.712389321081</v>
          </cell>
          <cell r="AH91">
            <v>0</v>
          </cell>
          <cell r="AI91">
            <v>1501623</v>
          </cell>
          <cell r="AJ91">
            <v>709968.84000000008</v>
          </cell>
          <cell r="AL91">
            <v>6706672.7273399988</v>
          </cell>
          <cell r="AM91">
            <v>3665339.1223893212</v>
          </cell>
          <cell r="AN91">
            <v>3041333.6049506776</v>
          </cell>
          <cell r="AP91">
            <v>14538090.767679999</v>
          </cell>
          <cell r="AQ91">
            <v>10608601.102389321</v>
          </cell>
          <cell r="AR91">
            <v>3929489.6652906779</v>
          </cell>
          <cell r="AS91">
            <v>6960342.2752906773</v>
          </cell>
        </row>
        <row r="92">
          <cell r="B92" t="str">
            <v>200292720A</v>
          </cell>
          <cell r="G92" t="str">
            <v>Private</v>
          </cell>
          <cell r="H92" t="str">
            <v xml:space="preserve">SUMMIT MEDICAL CENTER, LLC </v>
          </cell>
          <cell r="I92" t="str">
            <v xml:space="preserve">1800 S RENAISSANCE BLVD  </v>
          </cell>
          <cell r="J92" t="str">
            <v xml:space="preserve">EDMOND         </v>
          </cell>
          <cell r="K92" t="str">
            <v>OK</v>
          </cell>
          <cell r="L92" t="str">
            <v>73013</v>
          </cell>
          <cell r="M92">
            <v>0.10489999999999999</v>
          </cell>
          <cell r="N92" t="str">
            <v>I</v>
          </cell>
          <cell r="O92">
            <v>14</v>
          </cell>
          <cell r="P92">
            <v>14</v>
          </cell>
          <cell r="Q92">
            <v>106071.95000000001</v>
          </cell>
          <cell r="R92">
            <v>24568.49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A92">
            <v>11126.947555000001</v>
          </cell>
          <cell r="AB92">
            <v>24568.49</v>
          </cell>
          <cell r="AC92">
            <v>-13441.542445000001</v>
          </cell>
          <cell r="AE92">
            <v>34158111.469999999</v>
          </cell>
          <cell r="AF92">
            <v>2929062.1400000206</v>
          </cell>
          <cell r="AG92">
            <v>285397.48929126054</v>
          </cell>
          <cell r="AH92">
            <v>0</v>
          </cell>
          <cell r="AI92">
            <v>0</v>
          </cell>
          <cell r="AJ92">
            <v>0</v>
          </cell>
          <cell r="AL92">
            <v>3583185.8932029996</v>
          </cell>
          <cell r="AM92">
            <v>3214459.6292912811</v>
          </cell>
          <cell r="AN92">
            <v>368726.2639117185</v>
          </cell>
          <cell r="AP92">
            <v>3594312.8407579996</v>
          </cell>
          <cell r="AQ92">
            <v>3239028.1192912813</v>
          </cell>
          <cell r="AR92">
            <v>355284.72146671824</v>
          </cell>
          <cell r="AS92">
            <v>355284.72146671824</v>
          </cell>
        </row>
        <row r="93">
          <cell r="B93" t="str">
            <v>100740840B</v>
          </cell>
          <cell r="G93" t="str">
            <v>Private</v>
          </cell>
          <cell r="H93" t="str">
            <v xml:space="preserve">UNITY HEALTH CENTER </v>
          </cell>
          <cell r="I93" t="str">
            <v xml:space="preserve">1102 W MACARTHUR  </v>
          </cell>
          <cell r="J93" t="str">
            <v xml:space="preserve">SHAWNEE        </v>
          </cell>
          <cell r="K93" t="str">
            <v>OK</v>
          </cell>
          <cell r="L93" t="str">
            <v>74804</v>
          </cell>
          <cell r="M93">
            <v>0.22090000000000001</v>
          </cell>
          <cell r="N93" t="str">
            <v>I</v>
          </cell>
          <cell r="O93">
            <v>5155</v>
          </cell>
          <cell r="P93">
            <v>5155</v>
          </cell>
          <cell r="Q93">
            <v>28566300.800000001</v>
          </cell>
          <cell r="R93">
            <v>6467605.75</v>
          </cell>
          <cell r="S93">
            <v>947492.22</v>
          </cell>
          <cell r="T93">
            <v>0</v>
          </cell>
          <cell r="U93">
            <v>648190</v>
          </cell>
          <cell r="V93">
            <v>0</v>
          </cell>
          <cell r="W93">
            <v>0</v>
          </cell>
          <cell r="X93">
            <v>3746790.45</v>
          </cell>
          <cell r="Y93">
            <v>0</v>
          </cell>
          <cell r="AA93">
            <v>6958485.8467200007</v>
          </cell>
          <cell r="AB93">
            <v>11161888.42</v>
          </cell>
          <cell r="AC93">
            <v>-4203402.5732799992</v>
          </cell>
          <cell r="AE93">
            <v>45422638.100000158</v>
          </cell>
          <cell r="AF93">
            <v>7186832.4799998216</v>
          </cell>
          <cell r="AG93">
            <v>802098.20276837447</v>
          </cell>
          <cell r="AH93">
            <v>0</v>
          </cell>
          <cell r="AI93">
            <v>2617531</v>
          </cell>
          <cell r="AJ93">
            <v>1824387.32</v>
          </cell>
          <cell r="AL93">
            <v>12651391.756290035</v>
          </cell>
          <cell r="AM93">
            <v>9813318.0027681962</v>
          </cell>
          <cell r="AN93">
            <v>2838073.7535218392</v>
          </cell>
          <cell r="AP93">
            <v>19609877.603010036</v>
          </cell>
          <cell r="AQ93">
            <v>20975206.422768198</v>
          </cell>
          <cell r="AR93">
            <v>-1365328.8197581619</v>
          </cell>
          <cell r="AS93">
            <v>4205848.9502418386</v>
          </cell>
        </row>
        <row r="94">
          <cell r="B94" t="str">
            <v>100700440A</v>
          </cell>
          <cell r="G94" t="str">
            <v>Private</v>
          </cell>
          <cell r="H94" t="str">
            <v xml:space="preserve">ALLIANCE HEALTH MADILL </v>
          </cell>
          <cell r="I94" t="str">
            <v xml:space="preserve">901 S 5TH AVE.  </v>
          </cell>
          <cell r="J94" t="str">
            <v xml:space="preserve">MADILL         </v>
          </cell>
          <cell r="K94" t="str">
            <v>OK</v>
          </cell>
          <cell r="L94" t="str">
            <v>73446</v>
          </cell>
          <cell r="M94">
            <v>0.2417</v>
          </cell>
          <cell r="N94" t="str">
            <v>I</v>
          </cell>
          <cell r="O94">
            <v>80</v>
          </cell>
          <cell r="P94">
            <v>80</v>
          </cell>
          <cell r="Q94">
            <v>816962.58000000007</v>
          </cell>
          <cell r="R94">
            <v>182130.96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50566.92</v>
          </cell>
          <cell r="Y94">
            <v>0</v>
          </cell>
          <cell r="AA94">
            <v>197459.85558600002</v>
          </cell>
          <cell r="AB94">
            <v>232697.88</v>
          </cell>
          <cell r="AC94">
            <v>-35238.024413999985</v>
          </cell>
          <cell r="AE94">
            <v>8140657.7599999793</v>
          </cell>
          <cell r="AF94">
            <v>949091.15999999701</v>
          </cell>
          <cell r="AG94">
            <v>55263.53</v>
          </cell>
          <cell r="AH94">
            <v>0</v>
          </cell>
          <cell r="AI94">
            <v>0</v>
          </cell>
          <cell r="AJ94">
            <v>966095.48</v>
          </cell>
          <cell r="AL94">
            <v>1967596.9805919949</v>
          </cell>
          <cell r="AM94">
            <v>1970450.1699999971</v>
          </cell>
          <cell r="AN94">
            <v>-2853.1894080021884</v>
          </cell>
          <cell r="AP94">
            <v>2165056.836177995</v>
          </cell>
          <cell r="AQ94">
            <v>2203148.049999997</v>
          </cell>
          <cell r="AR94">
            <v>-38091.213822002057</v>
          </cell>
          <cell r="AS94">
            <v>978571.18617799797</v>
          </cell>
        </row>
        <row r="95">
          <cell r="B95" t="str">
            <v>200910710B</v>
          </cell>
          <cell r="C95" t="str">
            <v>200259440A</v>
          </cell>
          <cell r="G95" t="str">
            <v>Private</v>
          </cell>
          <cell r="H95" t="str">
            <v xml:space="preserve">DRUMRIGHT COMMUNITY HOSPITAL LLC </v>
          </cell>
          <cell r="I95" t="str">
            <v xml:space="preserve">610 W BYPASS  </v>
          </cell>
          <cell r="J95" t="str">
            <v xml:space="preserve">DRUMRIGHT      </v>
          </cell>
          <cell r="K95" t="str">
            <v>OK</v>
          </cell>
          <cell r="L95" t="str">
            <v>74030</v>
          </cell>
          <cell r="M95">
            <v>0.54520000000000002</v>
          </cell>
          <cell r="O95">
            <v>361</v>
          </cell>
          <cell r="P95">
            <v>361</v>
          </cell>
          <cell r="Q95">
            <v>949509.24</v>
          </cell>
          <cell r="R95">
            <v>261598.34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436091.69999999995</v>
          </cell>
          <cell r="Y95">
            <v>0</v>
          </cell>
          <cell r="AA95">
            <v>517672.43764800002</v>
          </cell>
          <cell r="AB95">
            <v>697690.03999999992</v>
          </cell>
          <cell r="AC95">
            <v>-180017.6023519999</v>
          </cell>
          <cell r="AE95">
            <v>2558127.5699999998</v>
          </cell>
          <cell r="AF95">
            <v>378550.38999999996</v>
          </cell>
          <cell r="AG95">
            <v>16023.263545357258</v>
          </cell>
          <cell r="AH95">
            <v>0</v>
          </cell>
          <cell r="AI95">
            <v>0</v>
          </cell>
          <cell r="AJ95">
            <v>464191.28</v>
          </cell>
          <cell r="AL95">
            <v>1394691.1511639999</v>
          </cell>
          <cell r="AM95">
            <v>858764.93354535731</v>
          </cell>
          <cell r="AN95">
            <v>535926.21761864261</v>
          </cell>
          <cell r="AP95">
            <v>1912363.5888119999</v>
          </cell>
          <cell r="AQ95">
            <v>1556454.9735453571</v>
          </cell>
          <cell r="AR95">
            <v>355908.61526664277</v>
          </cell>
          <cell r="AS95">
            <v>1256191.5952666427</v>
          </cell>
        </row>
        <row r="96">
          <cell r="B96" t="str">
            <v>100700120Q</v>
          </cell>
          <cell r="G96" t="str">
            <v>Private</v>
          </cell>
          <cell r="H96" t="str">
            <v xml:space="preserve">DUNCAN REGIONAL HOSPITAL INC </v>
          </cell>
          <cell r="I96" t="str">
            <v xml:space="preserve">U.S. HIGHWAYS 70 &amp; 81  </v>
          </cell>
          <cell r="J96" t="str">
            <v xml:space="preserve">WAURIKA        </v>
          </cell>
          <cell r="K96" t="str">
            <v>OK</v>
          </cell>
          <cell r="L96" t="str">
            <v>73573</v>
          </cell>
          <cell r="M96">
            <v>0.75329999999999997</v>
          </cell>
          <cell r="N96" t="str">
            <v>I</v>
          </cell>
          <cell r="O96">
            <v>4</v>
          </cell>
          <cell r="P96">
            <v>4</v>
          </cell>
          <cell r="Q96">
            <v>17930.650000000001</v>
          </cell>
          <cell r="R96">
            <v>10648.05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13507.158645000001</v>
          </cell>
          <cell r="AB96">
            <v>10648.05</v>
          </cell>
          <cell r="AC96">
            <v>2859.1086450000021</v>
          </cell>
          <cell r="AE96">
            <v>1673473.9700000002</v>
          </cell>
          <cell r="AF96">
            <v>245130.74000000002</v>
          </cell>
          <cell r="AG96">
            <v>13644.81</v>
          </cell>
          <cell r="AH96">
            <v>0</v>
          </cell>
          <cell r="AI96">
            <v>0</v>
          </cell>
          <cell r="AJ96">
            <v>1335395.46</v>
          </cell>
          <cell r="AL96">
            <v>1260627.941601</v>
          </cell>
          <cell r="AM96">
            <v>1594171.01</v>
          </cell>
          <cell r="AN96">
            <v>-333543.06839899998</v>
          </cell>
          <cell r="AP96">
            <v>1274135.1002460001</v>
          </cell>
          <cell r="AQ96">
            <v>1604819.06</v>
          </cell>
          <cell r="AR96">
            <v>-330683.95975399995</v>
          </cell>
          <cell r="AS96">
            <v>1004711.500246</v>
          </cell>
        </row>
        <row r="97">
          <cell r="B97" t="str">
            <v>200918290A</v>
          </cell>
          <cell r="G97" t="str">
            <v>Private</v>
          </cell>
          <cell r="H97" t="str">
            <v xml:space="preserve">FAIRFAX COMMUNITY HOSPITAL </v>
          </cell>
          <cell r="I97" t="str">
            <v xml:space="preserve">40 HOSPITAL ROAD  </v>
          </cell>
          <cell r="J97" t="str">
            <v xml:space="preserve">FAIRFAX        </v>
          </cell>
          <cell r="K97" t="str">
            <v>OK</v>
          </cell>
          <cell r="L97" t="str">
            <v>74637</v>
          </cell>
          <cell r="M97">
            <v>0.84950000000000003</v>
          </cell>
          <cell r="O97">
            <v>4</v>
          </cell>
          <cell r="P97">
            <v>4</v>
          </cell>
          <cell r="Q97">
            <v>15034.85</v>
          </cell>
          <cell r="R97">
            <v>4809.72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A97">
            <v>12772.105075000001</v>
          </cell>
          <cell r="AB97">
            <v>4809.72</v>
          </cell>
          <cell r="AC97">
            <v>7962.3850750000011</v>
          </cell>
          <cell r="AE97">
            <v>654513.72</v>
          </cell>
          <cell r="AF97">
            <v>102606.12</v>
          </cell>
          <cell r="AG97">
            <v>0</v>
          </cell>
          <cell r="AH97">
            <v>0</v>
          </cell>
          <cell r="AI97">
            <v>0</v>
          </cell>
          <cell r="AJ97">
            <v>119979.68</v>
          </cell>
          <cell r="AL97">
            <v>556009.40514000005</v>
          </cell>
          <cell r="AM97">
            <v>222585.8</v>
          </cell>
          <cell r="AN97">
            <v>333423.60514000006</v>
          </cell>
          <cell r="AP97">
            <v>568781.51021500002</v>
          </cell>
          <cell r="AQ97">
            <v>227395.52</v>
          </cell>
          <cell r="AR97">
            <v>341385.990215</v>
          </cell>
          <cell r="AS97">
            <v>461365.67021499999</v>
          </cell>
        </row>
        <row r="98">
          <cell r="B98" t="str">
            <v>200925590A</v>
          </cell>
          <cell r="C98" t="str">
            <v>200313370A</v>
          </cell>
          <cell r="G98" t="str">
            <v>Private</v>
          </cell>
          <cell r="H98" t="str">
            <v xml:space="preserve">HASKELL REGIONAL HOSPITAL INC. </v>
          </cell>
          <cell r="I98" t="str">
            <v xml:space="preserve">401 NW H ST  </v>
          </cell>
          <cell r="J98" t="str">
            <v xml:space="preserve">STIGLER        </v>
          </cell>
          <cell r="K98" t="str">
            <v>OK</v>
          </cell>
          <cell r="L98" t="str">
            <v>74462</v>
          </cell>
          <cell r="M98">
            <v>0.97409999999999997</v>
          </cell>
          <cell r="O98">
            <v>60</v>
          </cell>
          <cell r="P98">
            <v>60</v>
          </cell>
          <cell r="Q98">
            <v>244237.93000000002</v>
          </cell>
          <cell r="R98">
            <v>75792.479999999996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3650.1800000000003</v>
          </cell>
          <cell r="Y98">
            <v>0</v>
          </cell>
          <cell r="AA98">
            <v>237912.16761300003</v>
          </cell>
          <cell r="AB98">
            <v>79442.66</v>
          </cell>
          <cell r="AC98">
            <v>158469.50761300002</v>
          </cell>
          <cell r="AE98">
            <v>2964746.4</v>
          </cell>
          <cell r="AF98">
            <v>335787.03</v>
          </cell>
          <cell r="AG98">
            <v>2081.4700000000003</v>
          </cell>
          <cell r="AH98">
            <v>0</v>
          </cell>
          <cell r="AI98">
            <v>0</v>
          </cell>
          <cell r="AJ98">
            <v>62945.240000000005</v>
          </cell>
          <cell r="AL98">
            <v>2887959.4682399998</v>
          </cell>
          <cell r="AM98">
            <v>400813.74</v>
          </cell>
          <cell r="AN98">
            <v>2487145.7282400001</v>
          </cell>
          <cell r="AP98">
            <v>3125871.635853</v>
          </cell>
          <cell r="AQ98">
            <v>480256.4</v>
          </cell>
          <cell r="AR98">
            <v>2645615.2358530001</v>
          </cell>
          <cell r="AS98">
            <v>2712210.6558530005</v>
          </cell>
        </row>
        <row r="99">
          <cell r="B99" t="str">
            <v>100700460A</v>
          </cell>
          <cell r="G99" t="str">
            <v>Private</v>
          </cell>
          <cell r="H99" t="str">
            <v xml:space="preserve">JANE PHILLIPS NOWATA </v>
          </cell>
          <cell r="I99" t="str">
            <v xml:space="preserve">237 S LOCUST STREET  </v>
          </cell>
          <cell r="J99" t="str">
            <v xml:space="preserve">NOWATA         </v>
          </cell>
          <cell r="K99" t="str">
            <v>OK</v>
          </cell>
          <cell r="L99" t="str">
            <v>74048</v>
          </cell>
          <cell r="M99">
            <v>0.71260000000000001</v>
          </cell>
          <cell r="N99" t="str">
            <v>I</v>
          </cell>
          <cell r="O99">
            <v>26</v>
          </cell>
          <cell r="P99">
            <v>26</v>
          </cell>
          <cell r="Q99">
            <v>52172.170000000006</v>
          </cell>
          <cell r="R99">
            <v>38091.090000000004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3192.7799999999997</v>
          </cell>
          <cell r="Y99">
            <v>0</v>
          </cell>
          <cell r="AA99">
            <v>37177.888342000006</v>
          </cell>
          <cell r="AB99">
            <v>41283.870000000003</v>
          </cell>
          <cell r="AC99">
            <v>-4105.981657999997</v>
          </cell>
          <cell r="AE99">
            <v>1691159.48</v>
          </cell>
          <cell r="AF99">
            <v>240739.24000000002</v>
          </cell>
          <cell r="AG99">
            <v>8049.7613775164045</v>
          </cell>
          <cell r="AH99">
            <v>0</v>
          </cell>
          <cell r="AI99">
            <v>0</v>
          </cell>
          <cell r="AJ99">
            <v>735013.02</v>
          </cell>
          <cell r="AL99">
            <v>1205120.245448</v>
          </cell>
          <cell r="AM99">
            <v>983802.02137751644</v>
          </cell>
          <cell r="AN99">
            <v>221318.22407048359</v>
          </cell>
          <cell r="AP99">
            <v>1242298.1337900001</v>
          </cell>
          <cell r="AQ99">
            <v>1025085.8913775164</v>
          </cell>
          <cell r="AR99">
            <v>217212.24241248367</v>
          </cell>
          <cell r="AS99">
            <v>955418.04241248372</v>
          </cell>
        </row>
        <row r="100">
          <cell r="B100" t="str">
            <v>200740630B</v>
          </cell>
          <cell r="G100" t="str">
            <v>Private</v>
          </cell>
          <cell r="H100" t="str">
            <v xml:space="preserve">MANGUM REGIONAL MEDICAL CENTER </v>
          </cell>
          <cell r="I100" t="str">
            <v xml:space="preserve">ONE WICKERSHAM DRIVE  </v>
          </cell>
          <cell r="J100" t="str">
            <v xml:space="preserve">MANGUM         </v>
          </cell>
          <cell r="K100" t="str">
            <v>OK</v>
          </cell>
          <cell r="L100" t="str">
            <v>73554</v>
          </cell>
          <cell r="M100">
            <v>0.49890000000000001</v>
          </cell>
          <cell r="N100" t="str">
            <v>I</v>
          </cell>
          <cell r="O100">
            <v>98</v>
          </cell>
          <cell r="P100">
            <v>98</v>
          </cell>
          <cell r="Q100">
            <v>512774.17</v>
          </cell>
          <cell r="R100">
            <v>129238.94</v>
          </cell>
          <cell r="S100">
            <v>18858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78143.62</v>
          </cell>
          <cell r="Y100">
            <v>0</v>
          </cell>
          <cell r="AA100">
            <v>255823.033413</v>
          </cell>
          <cell r="AB100">
            <v>226240.56</v>
          </cell>
          <cell r="AC100">
            <v>29582.473413</v>
          </cell>
          <cell r="AE100">
            <v>1413984.9800000002</v>
          </cell>
          <cell r="AF100">
            <v>164505.28000000003</v>
          </cell>
          <cell r="AG100">
            <v>7124.9798274946415</v>
          </cell>
          <cell r="AH100">
            <v>0</v>
          </cell>
          <cell r="AI100">
            <v>0</v>
          </cell>
          <cell r="AJ100">
            <v>263719.36</v>
          </cell>
          <cell r="AL100">
            <v>705437.10652200016</v>
          </cell>
          <cell r="AM100">
            <v>435349.61982749467</v>
          </cell>
          <cell r="AN100">
            <v>270087.4866945055</v>
          </cell>
          <cell r="AP100">
            <v>961260.1399350001</v>
          </cell>
          <cell r="AQ100">
            <v>661590.17982749466</v>
          </cell>
          <cell r="AR100">
            <v>299669.96010750544</v>
          </cell>
          <cell r="AS100">
            <v>641532.94010750542</v>
          </cell>
        </row>
        <row r="101">
          <cell r="B101" t="str">
            <v>100774650D</v>
          </cell>
          <cell r="G101" t="str">
            <v>Private</v>
          </cell>
          <cell r="H101" t="str">
            <v xml:space="preserve">MARY HURLEY HOSPITAL </v>
          </cell>
          <cell r="I101" t="str">
            <v xml:space="preserve">6 N COVINGTON  </v>
          </cell>
          <cell r="J101" t="str">
            <v xml:space="preserve">COALGATE       </v>
          </cell>
          <cell r="K101" t="str">
            <v>OK</v>
          </cell>
          <cell r="L101" t="str">
            <v>74538</v>
          </cell>
          <cell r="M101">
            <v>0.54549999999999998</v>
          </cell>
          <cell r="N101" t="str">
            <v>I</v>
          </cell>
          <cell r="O101">
            <v>41</v>
          </cell>
          <cell r="P101">
            <v>41</v>
          </cell>
          <cell r="Q101">
            <v>80353.51999999999</v>
          </cell>
          <cell r="R101">
            <v>52421.42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2185.12</v>
          </cell>
          <cell r="Y101">
            <v>0</v>
          </cell>
          <cell r="AA101">
            <v>43832.84515999999</v>
          </cell>
          <cell r="AB101">
            <v>54606.54</v>
          </cell>
          <cell r="AC101">
            <v>-10773.694840000011</v>
          </cell>
          <cell r="AE101">
            <v>669265.08000000007</v>
          </cell>
          <cell r="AF101">
            <v>221646.15999999997</v>
          </cell>
          <cell r="AG101">
            <v>5895.0227930969158</v>
          </cell>
          <cell r="AH101">
            <v>0</v>
          </cell>
          <cell r="AI101">
            <v>0</v>
          </cell>
          <cell r="AJ101">
            <v>92773.540000000008</v>
          </cell>
          <cell r="AL101">
            <v>365084.10114000004</v>
          </cell>
          <cell r="AM101">
            <v>320314.72279309691</v>
          </cell>
          <cell r="AN101">
            <v>44769.378346903133</v>
          </cell>
          <cell r="AP101">
            <v>408916.94630000001</v>
          </cell>
          <cell r="AQ101">
            <v>374921.26279309689</v>
          </cell>
          <cell r="AR101">
            <v>33995.683506903122</v>
          </cell>
          <cell r="AS101">
            <v>128954.34350690313</v>
          </cell>
        </row>
        <row r="102">
          <cell r="B102" t="str">
            <v>100700920A</v>
          </cell>
          <cell r="G102" t="str">
            <v>Private</v>
          </cell>
          <cell r="H102" t="str">
            <v xml:space="preserve">MCCURTAIN MEM HSP </v>
          </cell>
          <cell r="I102" t="str">
            <v xml:space="preserve">1301 E LINCOLN RD  </v>
          </cell>
          <cell r="J102" t="str">
            <v xml:space="preserve">IDABEL         </v>
          </cell>
          <cell r="K102" t="str">
            <v>OK</v>
          </cell>
          <cell r="L102" t="str">
            <v>74745</v>
          </cell>
          <cell r="M102">
            <v>0.31990000000000002</v>
          </cell>
          <cell r="N102" t="str">
            <v>I</v>
          </cell>
          <cell r="O102">
            <v>1823</v>
          </cell>
          <cell r="P102">
            <v>1823</v>
          </cell>
          <cell r="Q102">
            <v>4719463.55</v>
          </cell>
          <cell r="R102">
            <v>2079254.3900000001</v>
          </cell>
          <cell r="S102">
            <v>127531.81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410165.72</v>
          </cell>
          <cell r="Y102">
            <v>0</v>
          </cell>
          <cell r="AA102">
            <v>1509756.389645</v>
          </cell>
          <cell r="AB102">
            <v>2616951.92</v>
          </cell>
          <cell r="AC102">
            <v>-1107195.5303549999</v>
          </cell>
          <cell r="AE102">
            <v>7326277.5</v>
          </cell>
          <cell r="AF102">
            <v>1836333.92</v>
          </cell>
          <cell r="AG102">
            <v>42355.61</v>
          </cell>
          <cell r="AH102">
            <v>0</v>
          </cell>
          <cell r="AI102">
            <v>0</v>
          </cell>
          <cell r="AJ102">
            <v>378362.6</v>
          </cell>
          <cell r="AL102">
            <v>2343676.1722500003</v>
          </cell>
          <cell r="AM102">
            <v>2257052.13</v>
          </cell>
          <cell r="AN102">
            <v>86624.042250000406</v>
          </cell>
          <cell r="AP102">
            <v>3853432.5618950003</v>
          </cell>
          <cell r="AQ102">
            <v>4874004.05</v>
          </cell>
          <cell r="AR102">
            <v>-1020571.4881049995</v>
          </cell>
          <cell r="AS102">
            <v>-232043.16810499958</v>
          </cell>
        </row>
        <row r="103">
          <cell r="B103" t="str">
            <v>200226190A</v>
          </cell>
          <cell r="G103" t="str">
            <v>Private</v>
          </cell>
          <cell r="H103" t="str">
            <v xml:space="preserve">MERCY HOSPITAL HEALDTON INC </v>
          </cell>
          <cell r="I103" t="str">
            <v xml:space="preserve">3462 HOSPITAL ROAD  </v>
          </cell>
          <cell r="J103" t="str">
            <v xml:space="preserve">HEALDTON       </v>
          </cell>
          <cell r="K103" t="str">
            <v>OK</v>
          </cell>
          <cell r="L103" t="str">
            <v>73438</v>
          </cell>
          <cell r="M103">
            <v>0.53290000000000004</v>
          </cell>
          <cell r="N103" t="str">
            <v>I</v>
          </cell>
          <cell r="O103">
            <v>31</v>
          </cell>
          <cell r="P103">
            <v>31</v>
          </cell>
          <cell r="Q103">
            <v>164552.46000000002</v>
          </cell>
          <cell r="R103">
            <v>64689.619999999995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16798.28</v>
          </cell>
          <cell r="Y103">
            <v>0</v>
          </cell>
          <cell r="AA103">
            <v>87690.005934000015</v>
          </cell>
          <cell r="AB103">
            <v>81487.899999999994</v>
          </cell>
          <cell r="AC103">
            <v>6202.1059340000211</v>
          </cell>
          <cell r="AE103">
            <v>2009367.88</v>
          </cell>
          <cell r="AF103">
            <v>337476.76</v>
          </cell>
          <cell r="AG103">
            <v>22407.91</v>
          </cell>
          <cell r="AH103">
            <v>0</v>
          </cell>
          <cell r="AI103">
            <v>0</v>
          </cell>
          <cell r="AJ103">
            <v>425587.88</v>
          </cell>
          <cell r="AL103">
            <v>1070792.143252</v>
          </cell>
          <cell r="AM103">
            <v>785472.55</v>
          </cell>
          <cell r="AN103">
            <v>285319.59325199993</v>
          </cell>
          <cell r="AP103">
            <v>1158482.149186</v>
          </cell>
          <cell r="AQ103">
            <v>866960.45000000007</v>
          </cell>
          <cell r="AR103">
            <v>291521.69918599993</v>
          </cell>
          <cell r="AS103">
            <v>733907.85918599996</v>
          </cell>
        </row>
        <row r="104">
          <cell r="B104" t="str">
            <v>200521810B</v>
          </cell>
          <cell r="G104" t="str">
            <v>Private</v>
          </cell>
          <cell r="H104" t="str">
            <v xml:space="preserve">MERCY HOSPITAL KINGFISHER, INC </v>
          </cell>
          <cell r="I104" t="str">
            <v xml:space="preserve">1000 KINGFISHER REGIONAL DR  </v>
          </cell>
          <cell r="J104" t="str">
            <v xml:space="preserve">KINGFISHER     </v>
          </cell>
          <cell r="K104" t="str">
            <v>OK</v>
          </cell>
          <cell r="L104" t="str">
            <v>73750</v>
          </cell>
          <cell r="M104">
            <v>0.46239999999999998</v>
          </cell>
          <cell r="N104" t="str">
            <v>I</v>
          </cell>
          <cell r="O104">
            <v>89</v>
          </cell>
          <cell r="P104">
            <v>89</v>
          </cell>
          <cell r="Q104">
            <v>484805.38</v>
          </cell>
          <cell r="R104">
            <v>138599.59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26674.36</v>
          </cell>
          <cell r="Y104">
            <v>0</v>
          </cell>
          <cell r="AA104">
            <v>224174.00771199999</v>
          </cell>
          <cell r="AB104">
            <v>165273.95000000001</v>
          </cell>
          <cell r="AC104">
            <v>58900.05771199998</v>
          </cell>
          <cell r="AE104">
            <v>2097274.56</v>
          </cell>
          <cell r="AF104">
            <v>336239.74</v>
          </cell>
          <cell r="AG104">
            <v>25171.684718281809</v>
          </cell>
          <cell r="AH104">
            <v>0</v>
          </cell>
          <cell r="AI104">
            <v>0</v>
          </cell>
          <cell r="AJ104">
            <v>448663.12</v>
          </cell>
          <cell r="AL104">
            <v>969779.756544</v>
          </cell>
          <cell r="AM104">
            <v>810074.54471828183</v>
          </cell>
          <cell r="AN104">
            <v>159705.21182571817</v>
          </cell>
          <cell r="AP104">
            <v>1193953.7642560001</v>
          </cell>
          <cell r="AQ104">
            <v>975348.49471828179</v>
          </cell>
          <cell r="AR104">
            <v>218605.26953771827</v>
          </cell>
          <cell r="AS104">
            <v>693942.74953771825</v>
          </cell>
        </row>
        <row r="105">
          <cell r="B105" t="str">
            <v>200425410C</v>
          </cell>
          <cell r="G105" t="str">
            <v>Private</v>
          </cell>
          <cell r="H105" t="str">
            <v xml:space="preserve">MERCY HOSPITAL LOGAN COUNTY </v>
          </cell>
          <cell r="I105" t="str">
            <v xml:space="preserve">200 S ACADEMY RD  </v>
          </cell>
          <cell r="J105" t="str">
            <v xml:space="preserve">GUTHRIE        </v>
          </cell>
          <cell r="K105" t="str">
            <v>OK</v>
          </cell>
          <cell r="L105" t="str">
            <v>73044</v>
          </cell>
          <cell r="M105">
            <v>0.34510000000000002</v>
          </cell>
          <cell r="N105" t="str">
            <v>I</v>
          </cell>
          <cell r="O105">
            <v>266</v>
          </cell>
          <cell r="P105">
            <v>266</v>
          </cell>
          <cell r="Q105">
            <v>1657871.6600000001</v>
          </cell>
          <cell r="R105">
            <v>462287.23</v>
          </cell>
          <cell r="S105">
            <v>4722.57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143015.74</v>
          </cell>
          <cell r="Y105">
            <v>0</v>
          </cell>
          <cell r="AA105">
            <v>572131.50986600004</v>
          </cell>
          <cell r="AB105">
            <v>610025.54</v>
          </cell>
          <cell r="AC105">
            <v>-37894.030134000001</v>
          </cell>
          <cell r="AE105">
            <v>5525074.2400000002</v>
          </cell>
          <cell r="AF105">
            <v>960939.46999999788</v>
          </cell>
          <cell r="AG105">
            <v>37726.158125004615</v>
          </cell>
          <cell r="AH105">
            <v>0</v>
          </cell>
          <cell r="AI105">
            <v>0</v>
          </cell>
          <cell r="AJ105">
            <v>940758.1399999999</v>
          </cell>
          <cell r="AL105">
            <v>1906703.1202240002</v>
          </cell>
          <cell r="AM105">
            <v>1939423.7681250023</v>
          </cell>
          <cell r="AN105">
            <v>-32720.647901002085</v>
          </cell>
          <cell r="AP105">
            <v>2478834.6300900001</v>
          </cell>
          <cell r="AQ105">
            <v>2549449.3081250023</v>
          </cell>
          <cell r="AR105">
            <v>-70614.678035002202</v>
          </cell>
          <cell r="AS105">
            <v>1013159.2019649977</v>
          </cell>
        </row>
        <row r="106">
          <cell r="B106" t="str">
            <v>200318440B</v>
          </cell>
          <cell r="G106" t="str">
            <v>Private</v>
          </cell>
          <cell r="H106" t="str">
            <v xml:space="preserve">MERCY HOSPITAL TISHOMINGO </v>
          </cell>
          <cell r="I106" t="str">
            <v xml:space="preserve">1000 S BYRD ST  </v>
          </cell>
          <cell r="J106" t="str">
            <v xml:space="preserve">TISHOMINGO     </v>
          </cell>
          <cell r="K106" t="str">
            <v>OK</v>
          </cell>
          <cell r="L106" t="str">
            <v>73460</v>
          </cell>
          <cell r="M106">
            <v>0.62549999999999994</v>
          </cell>
          <cell r="N106" t="str">
            <v>I</v>
          </cell>
          <cell r="O106">
            <v>65</v>
          </cell>
          <cell r="P106">
            <v>65</v>
          </cell>
          <cell r="Q106">
            <v>302803.94</v>
          </cell>
          <cell r="R106">
            <v>139828.85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83959.679999999993</v>
          </cell>
          <cell r="Y106">
            <v>0</v>
          </cell>
          <cell r="AA106">
            <v>189403.86446999997</v>
          </cell>
          <cell r="AB106">
            <v>223788.53</v>
          </cell>
          <cell r="AC106">
            <v>-34384.665530000028</v>
          </cell>
          <cell r="AE106">
            <v>2917510.54</v>
          </cell>
          <cell r="AF106">
            <v>679792.27999999793</v>
          </cell>
          <cell r="AG106">
            <v>35555.019999999997</v>
          </cell>
          <cell r="AH106">
            <v>0</v>
          </cell>
          <cell r="AI106">
            <v>0</v>
          </cell>
          <cell r="AJ106">
            <v>638292.87999999989</v>
          </cell>
          <cell r="AL106">
            <v>1824902.8427699998</v>
          </cell>
          <cell r="AM106">
            <v>1353640.1799999978</v>
          </cell>
          <cell r="AN106">
            <v>471262.66277000192</v>
          </cell>
          <cell r="AP106">
            <v>2014306.7072399997</v>
          </cell>
          <cell r="AQ106">
            <v>1577428.7099999979</v>
          </cell>
          <cell r="AR106">
            <v>436877.9972400018</v>
          </cell>
          <cell r="AS106">
            <v>1159130.5572400016</v>
          </cell>
        </row>
        <row r="107">
          <cell r="B107" t="str">
            <v>200490030A</v>
          </cell>
          <cell r="G107" t="str">
            <v>Private</v>
          </cell>
          <cell r="H107" t="str">
            <v xml:space="preserve">MERCY HOSPITAL WATONGA INC </v>
          </cell>
          <cell r="I107" t="str">
            <v xml:space="preserve">500 N CLARENCE NASH BLVD  </v>
          </cell>
          <cell r="J107" t="str">
            <v xml:space="preserve">WATONGA        </v>
          </cell>
          <cell r="K107" t="str">
            <v>OK</v>
          </cell>
          <cell r="L107" t="str">
            <v>73772</v>
          </cell>
          <cell r="M107">
            <v>0.48359999999999997</v>
          </cell>
          <cell r="N107" t="str">
            <v>I</v>
          </cell>
          <cell r="O107">
            <v>99</v>
          </cell>
          <cell r="P107">
            <v>99</v>
          </cell>
          <cell r="Q107">
            <v>342230.97</v>
          </cell>
          <cell r="R107">
            <v>104564.63</v>
          </cell>
          <cell r="S107">
            <v>13340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27924.300000000003</v>
          </cell>
          <cell r="Y107">
            <v>0</v>
          </cell>
          <cell r="AA107">
            <v>165502.89709199997</v>
          </cell>
          <cell r="AB107">
            <v>145828.93</v>
          </cell>
          <cell r="AC107">
            <v>19673.967091999977</v>
          </cell>
          <cell r="AE107">
            <v>2028445.9300000002</v>
          </cell>
          <cell r="AF107">
            <v>373117.89</v>
          </cell>
          <cell r="AG107">
            <v>29155.53</v>
          </cell>
          <cell r="AH107">
            <v>0</v>
          </cell>
          <cell r="AI107">
            <v>0</v>
          </cell>
          <cell r="AJ107">
            <v>261861.24</v>
          </cell>
          <cell r="AL107">
            <v>980956.45174799999</v>
          </cell>
          <cell r="AM107">
            <v>664134.66</v>
          </cell>
          <cell r="AN107">
            <v>316821.79174799996</v>
          </cell>
          <cell r="AP107">
            <v>1146459.3488399999</v>
          </cell>
          <cell r="AQ107">
            <v>809963.59000000008</v>
          </cell>
          <cell r="AR107">
            <v>336495.75883999979</v>
          </cell>
          <cell r="AS107">
            <v>626281.29883999983</v>
          </cell>
        </row>
        <row r="108">
          <cell r="B108" t="str">
            <v>100699360I</v>
          </cell>
          <cell r="C108" t="str">
            <v>100699360A</v>
          </cell>
          <cell r="G108" t="str">
            <v>Private</v>
          </cell>
          <cell r="H108" t="str">
            <v xml:space="preserve">NEWMAN MEMORIAL HOSPITAL, INC </v>
          </cell>
          <cell r="I108" t="str">
            <v xml:space="preserve">905 S MAIN ST  </v>
          </cell>
          <cell r="J108" t="str">
            <v xml:space="preserve">SHATTUCK       </v>
          </cell>
          <cell r="K108" t="str">
            <v>OK</v>
          </cell>
          <cell r="L108" t="str">
            <v>73858</v>
          </cell>
          <cell r="M108">
            <v>0.96579999999999999</v>
          </cell>
          <cell r="N108" t="str">
            <v>I</v>
          </cell>
          <cell r="O108">
            <v>37</v>
          </cell>
          <cell r="P108">
            <v>37</v>
          </cell>
          <cell r="Q108">
            <v>172011.82</v>
          </cell>
          <cell r="R108">
            <v>55574.630000000005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22188.62</v>
          </cell>
          <cell r="Y108">
            <v>0</v>
          </cell>
          <cell r="AA108">
            <v>166129.01575600001</v>
          </cell>
          <cell r="AB108">
            <v>77763.25</v>
          </cell>
          <cell r="AC108">
            <v>88365.765756000008</v>
          </cell>
          <cell r="AE108">
            <v>544710.86000000103</v>
          </cell>
          <cell r="AF108">
            <v>107945.9500000001</v>
          </cell>
          <cell r="AG108">
            <v>11852.01</v>
          </cell>
          <cell r="AH108">
            <v>0</v>
          </cell>
          <cell r="AI108">
            <v>0</v>
          </cell>
          <cell r="AJ108">
            <v>243894.18</v>
          </cell>
          <cell r="AL108">
            <v>526081.74858800101</v>
          </cell>
          <cell r="AM108">
            <v>363692.14000000007</v>
          </cell>
          <cell r="AN108">
            <v>162389.60858800093</v>
          </cell>
          <cell r="AP108">
            <v>692210.76434400096</v>
          </cell>
          <cell r="AQ108">
            <v>441455.39000000007</v>
          </cell>
          <cell r="AR108">
            <v>250755.37434400088</v>
          </cell>
          <cell r="AS108">
            <v>516838.17434400087</v>
          </cell>
        </row>
        <row r="109">
          <cell r="B109" t="str">
            <v>200231400B</v>
          </cell>
          <cell r="G109" t="str">
            <v>Private</v>
          </cell>
          <cell r="H109" t="str">
            <v xml:space="preserve">PRAGUE HEALTHCARE AUTHORITY </v>
          </cell>
          <cell r="I109" t="str">
            <v xml:space="preserve">1322 KLABZUBA AVE  </v>
          </cell>
          <cell r="J109" t="str">
            <v xml:space="preserve">PRAGUE         </v>
          </cell>
          <cell r="K109" t="str">
            <v>OK</v>
          </cell>
          <cell r="L109" t="str">
            <v>74864</v>
          </cell>
          <cell r="M109">
            <v>0.51539999999999997</v>
          </cell>
          <cell r="N109" t="str">
            <v>I</v>
          </cell>
          <cell r="O109">
            <v>6</v>
          </cell>
          <cell r="P109">
            <v>6</v>
          </cell>
          <cell r="Q109">
            <v>59769</v>
          </cell>
          <cell r="R109">
            <v>10419.36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23357.040000000001</v>
          </cell>
          <cell r="Y109">
            <v>0</v>
          </cell>
          <cell r="AA109">
            <v>30804.942599999998</v>
          </cell>
          <cell r="AB109">
            <v>33776.400000000001</v>
          </cell>
          <cell r="AC109">
            <v>-2971.457400000003</v>
          </cell>
          <cell r="AE109">
            <v>1248062.01</v>
          </cell>
          <cell r="AF109">
            <v>216812.03</v>
          </cell>
          <cell r="AG109">
            <v>8453.9974061031298</v>
          </cell>
          <cell r="AH109">
            <v>0</v>
          </cell>
          <cell r="AI109">
            <v>0</v>
          </cell>
          <cell r="AJ109">
            <v>189889.08000000002</v>
          </cell>
          <cell r="AL109">
            <v>643251.15995399992</v>
          </cell>
          <cell r="AM109">
            <v>415155.10740610317</v>
          </cell>
          <cell r="AN109">
            <v>228096.05254789675</v>
          </cell>
          <cell r="AP109">
            <v>674056.10255399987</v>
          </cell>
          <cell r="AQ109">
            <v>448931.50740610319</v>
          </cell>
          <cell r="AR109">
            <v>225124.59514789667</v>
          </cell>
          <cell r="AS109">
            <v>438370.71514789667</v>
          </cell>
        </row>
        <row r="110">
          <cell r="B110" t="str">
            <v>100700450A</v>
          </cell>
          <cell r="G110" t="str">
            <v>Private</v>
          </cell>
          <cell r="H110" t="str">
            <v xml:space="preserve">SEILING MUNICIPAL HOSPITAL </v>
          </cell>
          <cell r="I110" t="str">
            <v xml:space="preserve">809 NE HWY 60  </v>
          </cell>
          <cell r="J110" t="str">
            <v xml:space="preserve">SEILING        </v>
          </cell>
          <cell r="K110" t="str">
            <v>OK</v>
          </cell>
          <cell r="L110" t="str">
            <v>73663</v>
          </cell>
          <cell r="M110">
            <v>0.68789999999999996</v>
          </cell>
          <cell r="N110" t="str">
            <v>I</v>
          </cell>
          <cell r="O110">
            <v>21</v>
          </cell>
          <cell r="P110">
            <v>21</v>
          </cell>
          <cell r="Q110">
            <v>80006</v>
          </cell>
          <cell r="R110">
            <v>42988.39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55036.127399999998</v>
          </cell>
          <cell r="AB110">
            <v>42988.39</v>
          </cell>
          <cell r="AC110">
            <v>12047.737399999998</v>
          </cell>
          <cell r="AE110">
            <v>382480.68</v>
          </cell>
          <cell r="AF110">
            <v>55381.429999999993</v>
          </cell>
          <cell r="AG110">
            <v>2720.8227274068549</v>
          </cell>
          <cell r="AH110">
            <v>0</v>
          </cell>
          <cell r="AI110">
            <v>0</v>
          </cell>
          <cell r="AJ110">
            <v>164314.57999999999</v>
          </cell>
          <cell r="AL110">
            <v>263108.45977199997</v>
          </cell>
          <cell r="AM110">
            <v>222416.83272740684</v>
          </cell>
          <cell r="AN110">
            <v>40691.62704459313</v>
          </cell>
          <cell r="AP110">
            <v>318144.58717199997</v>
          </cell>
          <cell r="AQ110">
            <v>265405.22272740683</v>
          </cell>
          <cell r="AR110">
            <v>52739.364444593142</v>
          </cell>
          <cell r="AS110">
            <v>217053.94444459313</v>
          </cell>
        </row>
        <row r="111">
          <cell r="B111" t="str">
            <v>100699550A</v>
          </cell>
          <cell r="G111" t="str">
            <v>Private</v>
          </cell>
          <cell r="H111" t="str">
            <v xml:space="preserve">ST JOHN SAPULPA INC </v>
          </cell>
          <cell r="I111" t="str">
            <v xml:space="preserve">1004 E BRYAN  </v>
          </cell>
          <cell r="J111" t="str">
            <v xml:space="preserve">SAPULPA        </v>
          </cell>
          <cell r="K111" t="str">
            <v>OK</v>
          </cell>
          <cell r="L111" t="str">
            <v>74066</v>
          </cell>
          <cell r="M111">
            <v>0.2616</v>
          </cell>
          <cell r="N111" t="str">
            <v>I</v>
          </cell>
          <cell r="O111">
            <v>176</v>
          </cell>
          <cell r="P111">
            <v>176</v>
          </cell>
          <cell r="Q111">
            <v>998858.53</v>
          </cell>
          <cell r="R111">
            <v>483894.08</v>
          </cell>
          <cell r="S111">
            <v>5144.26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43215.619999999995</v>
          </cell>
          <cell r="Y111">
            <v>0</v>
          </cell>
          <cell r="AA111">
            <v>261301.39144800001</v>
          </cell>
          <cell r="AB111">
            <v>532253.96</v>
          </cell>
          <cell r="AC111">
            <v>-270952.56855199998</v>
          </cell>
          <cell r="AE111">
            <v>21947503.780000001</v>
          </cell>
          <cell r="AF111">
            <v>2656544.2599999998</v>
          </cell>
          <cell r="AG111">
            <v>134269.50573156189</v>
          </cell>
          <cell r="AH111">
            <v>0</v>
          </cell>
          <cell r="AI111">
            <v>0</v>
          </cell>
          <cell r="AJ111">
            <v>1125520.82</v>
          </cell>
          <cell r="AL111">
            <v>5741466.9888479998</v>
          </cell>
          <cell r="AM111">
            <v>3916334.5857315613</v>
          </cell>
          <cell r="AN111">
            <v>1825132.4031164385</v>
          </cell>
          <cell r="AP111">
            <v>6002768.3802960003</v>
          </cell>
          <cell r="AQ111">
            <v>4448588.5457315613</v>
          </cell>
          <cell r="AR111">
            <v>1554179.834564439</v>
          </cell>
          <cell r="AS111">
            <v>2722916.2745644394</v>
          </cell>
        </row>
        <row r="112">
          <cell r="B112" t="str">
            <v>200125010B</v>
          </cell>
          <cell r="G112" t="str">
            <v>Private</v>
          </cell>
          <cell r="H112" t="str">
            <v xml:space="preserve">STROUD REGIONAL MEDICAL CENTER </v>
          </cell>
          <cell r="I112" t="str">
            <v xml:space="preserve">2308 W HIGHWAY 66  </v>
          </cell>
          <cell r="J112" t="str">
            <v xml:space="preserve">STROUD         </v>
          </cell>
          <cell r="K112" t="str">
            <v>OK</v>
          </cell>
          <cell r="L112" t="str">
            <v>74079</v>
          </cell>
          <cell r="M112">
            <v>1.1443000000000001</v>
          </cell>
          <cell r="N112" t="str">
            <v>I</v>
          </cell>
          <cell r="O112">
            <v>2</v>
          </cell>
          <cell r="P112">
            <v>2</v>
          </cell>
          <cell r="Q112">
            <v>15867.92</v>
          </cell>
          <cell r="R112">
            <v>2640.09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91532.88</v>
          </cell>
          <cell r="Y112">
            <v>0</v>
          </cell>
          <cell r="AA112">
            <v>18157.660856000002</v>
          </cell>
          <cell r="AB112">
            <v>94172.97</v>
          </cell>
          <cell r="AC112">
            <v>-76015.309143999999</v>
          </cell>
          <cell r="AE112">
            <v>2011043.5499999998</v>
          </cell>
          <cell r="AF112">
            <v>364488.21</v>
          </cell>
          <cell r="AG112">
            <v>17105.048545968257</v>
          </cell>
          <cell r="AH112">
            <v>0</v>
          </cell>
          <cell r="AI112">
            <v>0</v>
          </cell>
          <cell r="AJ112">
            <v>1552938.94</v>
          </cell>
          <cell r="AL112">
            <v>2301237.134265</v>
          </cell>
          <cell r="AM112">
            <v>1934532.1985459682</v>
          </cell>
          <cell r="AN112">
            <v>366704.93571903184</v>
          </cell>
          <cell r="AP112">
            <v>2319394.7951210001</v>
          </cell>
          <cell r="AQ112">
            <v>2028705.1685459681</v>
          </cell>
          <cell r="AR112">
            <v>290689.62657503202</v>
          </cell>
          <cell r="AS112">
            <v>1935161.4465750321</v>
          </cell>
        </row>
        <row r="113">
          <cell r="B113" t="str">
            <v>200125200B</v>
          </cell>
          <cell r="G113" t="str">
            <v>Private</v>
          </cell>
          <cell r="H113" t="str">
            <v xml:space="preserve">THE PHYSICIANS HOSPITAL IN ANADARKO </v>
          </cell>
          <cell r="I113" t="str">
            <v xml:space="preserve">1002 E CENTRAL BLVD  </v>
          </cell>
          <cell r="J113" t="str">
            <v xml:space="preserve">ANADARKO       </v>
          </cell>
          <cell r="K113" t="str">
            <v>OK</v>
          </cell>
          <cell r="L113" t="str">
            <v>73005</v>
          </cell>
          <cell r="M113">
            <v>0.91400000000000003</v>
          </cell>
          <cell r="N113" t="str">
            <v>I</v>
          </cell>
          <cell r="O113">
            <v>231</v>
          </cell>
          <cell r="P113">
            <v>231</v>
          </cell>
          <cell r="Q113">
            <v>911230.07</v>
          </cell>
          <cell r="R113">
            <v>348333.05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64594.740000000005</v>
          </cell>
          <cell r="Y113">
            <v>0</v>
          </cell>
          <cell r="AA113">
            <v>832864.28397999995</v>
          </cell>
          <cell r="AB113">
            <v>412927.79</v>
          </cell>
          <cell r="AC113">
            <v>419936.49397999997</v>
          </cell>
          <cell r="AE113">
            <v>3133384.7199999997</v>
          </cell>
          <cell r="AF113">
            <v>429267.78999999899</v>
          </cell>
          <cell r="AG113">
            <v>10758.42</v>
          </cell>
          <cell r="AH113">
            <v>0</v>
          </cell>
          <cell r="AI113">
            <v>0</v>
          </cell>
          <cell r="AJ113">
            <v>3108207.4800000004</v>
          </cell>
          <cell r="AL113">
            <v>2863913.6340799998</v>
          </cell>
          <cell r="AM113">
            <v>3548233.6899999995</v>
          </cell>
          <cell r="AN113">
            <v>-684320.05591999972</v>
          </cell>
          <cell r="AP113">
            <v>3696777.9180599996</v>
          </cell>
          <cell r="AQ113">
            <v>3961161.4799999995</v>
          </cell>
          <cell r="AR113">
            <v>-264383.56193999993</v>
          </cell>
          <cell r="AS113">
            <v>2908418.6580600003</v>
          </cell>
        </row>
        <row r="114">
          <cell r="B114" t="str">
            <v>200702430B</v>
          </cell>
          <cell r="C114" t="str">
            <v>200702430C</v>
          </cell>
          <cell r="G114" t="str">
            <v xml:space="preserve">Private </v>
          </cell>
          <cell r="H114" t="str">
            <v xml:space="preserve">SAINT FRANCIS HOSPITAL VINITA </v>
          </cell>
          <cell r="I114" t="str">
            <v xml:space="preserve">735 N FOREMAN ST  </v>
          </cell>
          <cell r="J114" t="str">
            <v xml:space="preserve">VINITA         </v>
          </cell>
          <cell r="K114" t="str">
            <v>OK</v>
          </cell>
          <cell r="L114" t="str">
            <v>74301</v>
          </cell>
          <cell r="M114">
            <v>0.19059999999999999</v>
          </cell>
          <cell r="N114" t="str">
            <v>I</v>
          </cell>
          <cell r="O114">
            <v>1055</v>
          </cell>
          <cell r="P114">
            <v>1055</v>
          </cell>
          <cell r="Q114">
            <v>4816197.92</v>
          </cell>
          <cell r="R114">
            <v>1149696.22</v>
          </cell>
          <cell r="S114">
            <v>113886.45999999999</v>
          </cell>
          <cell r="T114">
            <v>0</v>
          </cell>
          <cell r="U114">
            <v>86640</v>
          </cell>
          <cell r="V114">
            <v>0</v>
          </cell>
          <cell r="W114">
            <v>0</v>
          </cell>
          <cell r="X114">
            <v>471121.67999999993</v>
          </cell>
          <cell r="Y114">
            <v>0</v>
          </cell>
          <cell r="AA114">
            <v>1004607.323552</v>
          </cell>
          <cell r="AB114">
            <v>1734704.3599999999</v>
          </cell>
          <cell r="AC114">
            <v>-730097.03644799988</v>
          </cell>
          <cell r="AE114">
            <v>14942046.799999941</v>
          </cell>
          <cell r="AF114">
            <v>1572911.8200000008</v>
          </cell>
          <cell r="AG114">
            <v>149181.0597167309</v>
          </cell>
          <cell r="AH114">
            <v>0</v>
          </cell>
          <cell r="AI114">
            <v>250298</v>
          </cell>
          <cell r="AJ114">
            <v>397853.70999999996</v>
          </cell>
          <cell r="AL114">
            <v>3098252.1200799886</v>
          </cell>
          <cell r="AM114">
            <v>2119946.5897167316</v>
          </cell>
          <cell r="AN114">
            <v>978305.53036325704</v>
          </cell>
          <cell r="AP114">
            <v>4102859.4436319885</v>
          </cell>
          <cell r="AQ114">
            <v>3854650.9497167314</v>
          </cell>
          <cell r="AR114">
            <v>248208.49391525704</v>
          </cell>
          <cell r="AS114">
            <v>1117183.8839152569</v>
          </cell>
        </row>
        <row r="115">
          <cell r="B115" t="str">
            <v>200119790B</v>
          </cell>
          <cell r="G115" t="str">
            <v>Private - LTCH</v>
          </cell>
          <cell r="H115" t="str">
            <v xml:space="preserve">CORNERSTONE SPECIALTY HOSPITALS BROKEN ARROW </v>
          </cell>
          <cell r="I115" t="str">
            <v>1000 WEST BOISE CIRCLE  THIRD FLOOR</v>
          </cell>
          <cell r="J115" t="str">
            <v xml:space="preserve">BROKEN ARROW   </v>
          </cell>
          <cell r="K115" t="str">
            <v>OK</v>
          </cell>
          <cell r="L115" t="str">
            <v>74012</v>
          </cell>
          <cell r="M115">
            <v>0.20730000000000001</v>
          </cell>
          <cell r="O115">
            <v>249</v>
          </cell>
          <cell r="P115">
            <v>249</v>
          </cell>
          <cell r="Q115">
            <v>2622403.52</v>
          </cell>
          <cell r="R115">
            <v>418400.31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543624.24969600001</v>
          </cell>
          <cell r="AB115">
            <v>418400.31</v>
          </cell>
          <cell r="AC115">
            <v>125223.93969600002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L115">
            <v>0</v>
          </cell>
          <cell r="AM115">
            <v>0</v>
          </cell>
          <cell r="AN115">
            <v>0</v>
          </cell>
          <cell r="AP115">
            <v>543624.24969600001</v>
          </cell>
          <cell r="AQ115">
            <v>418400.31</v>
          </cell>
          <cell r="AR115">
            <v>125223.93969600002</v>
          </cell>
          <cell r="AS115">
            <v>125223.93969600002</v>
          </cell>
        </row>
        <row r="116">
          <cell r="B116" t="str">
            <v>200347120A</v>
          </cell>
          <cell r="G116" t="str">
            <v>Private - LTCH</v>
          </cell>
          <cell r="H116" t="str">
            <v xml:space="preserve">LTAC HOSPITAL OF EDMOND, LLC </v>
          </cell>
          <cell r="I116" t="str">
            <v xml:space="preserve">4300 WEST MEMORIAL RD, 2ND FLO  </v>
          </cell>
          <cell r="J116" t="str">
            <v xml:space="preserve">OKLAHOMA CITY  </v>
          </cell>
          <cell r="K116" t="str">
            <v>OK</v>
          </cell>
          <cell r="L116" t="str">
            <v>73120</v>
          </cell>
          <cell r="M116">
            <v>0.20680000000000001</v>
          </cell>
          <cell r="N116" t="str">
            <v>I</v>
          </cell>
          <cell r="O116">
            <v>635</v>
          </cell>
          <cell r="P116">
            <v>635</v>
          </cell>
          <cell r="Q116">
            <v>3035940.82</v>
          </cell>
          <cell r="R116">
            <v>1441765.08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627832.56157599995</v>
          </cell>
          <cell r="AB116">
            <v>1441765.08</v>
          </cell>
          <cell r="AC116">
            <v>-813932.51842400013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L116">
            <v>0</v>
          </cell>
          <cell r="AM116">
            <v>0</v>
          </cell>
          <cell r="AN116">
            <v>0</v>
          </cell>
          <cell r="AP116">
            <v>627832.56157599995</v>
          </cell>
          <cell r="AQ116">
            <v>1441765.08</v>
          </cell>
          <cell r="AR116">
            <v>-813932.51842400013</v>
          </cell>
          <cell r="AS116">
            <v>-813932.51842400013</v>
          </cell>
        </row>
        <row r="117">
          <cell r="B117" t="str">
            <v>100689350A</v>
          </cell>
          <cell r="G117" t="str">
            <v>Private - LTCH</v>
          </cell>
          <cell r="H117" t="str">
            <v xml:space="preserve">SELECT SPECIALTY HOSPITAL </v>
          </cell>
          <cell r="I117" t="str">
            <v xml:space="preserve">3524 NW 56 ST  </v>
          </cell>
          <cell r="J117" t="str">
            <v xml:space="preserve">OKLAHOMA CITY  </v>
          </cell>
          <cell r="K117" t="str">
            <v>OK</v>
          </cell>
          <cell r="L117" t="str">
            <v>73112</v>
          </cell>
          <cell r="M117">
            <v>0.23949999999999999</v>
          </cell>
          <cell r="N117" t="str">
            <v>I</v>
          </cell>
          <cell r="O117">
            <v>248</v>
          </cell>
          <cell r="P117">
            <v>248</v>
          </cell>
          <cell r="Q117">
            <v>1207458.83</v>
          </cell>
          <cell r="R117">
            <v>151529.46</v>
          </cell>
          <cell r="S117">
            <v>16953.3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AA117">
            <v>289186.38978500001</v>
          </cell>
          <cell r="AB117">
            <v>168482.75999999998</v>
          </cell>
          <cell r="AC117">
            <v>120703.62978500003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289186.38978500001</v>
          </cell>
          <cell r="AQ117">
            <v>168482.75999999998</v>
          </cell>
          <cell r="AR117">
            <v>120703.62978500003</v>
          </cell>
          <cell r="AS117">
            <v>120703.62978500003</v>
          </cell>
        </row>
        <row r="118">
          <cell r="B118" t="str">
            <v>200224040B</v>
          </cell>
          <cell r="G118" t="str">
            <v>Private - LTCH</v>
          </cell>
          <cell r="H118" t="str">
            <v xml:space="preserve">SELECT SPECIALTY HOSPITAL - TULSA/MIDTOWN </v>
          </cell>
          <cell r="I118" t="str">
            <v>1125 SOUTH TRENTON  2ND AND 3RD FLOOR</v>
          </cell>
          <cell r="J118" t="str">
            <v xml:space="preserve">TULSA          </v>
          </cell>
          <cell r="K118" t="str">
            <v>OK</v>
          </cell>
          <cell r="L118" t="str">
            <v>74120</v>
          </cell>
          <cell r="M118">
            <v>0.2165</v>
          </cell>
          <cell r="N118" t="str">
            <v>I</v>
          </cell>
          <cell r="O118">
            <v>393</v>
          </cell>
          <cell r="P118">
            <v>393</v>
          </cell>
          <cell r="Q118">
            <v>3467317.96</v>
          </cell>
          <cell r="R118">
            <v>488772.47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AA118">
            <v>750674.33834000002</v>
          </cell>
          <cell r="AB118">
            <v>488772.47</v>
          </cell>
          <cell r="AC118">
            <v>261901.86834000004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L118">
            <v>0</v>
          </cell>
          <cell r="AM118">
            <v>0</v>
          </cell>
          <cell r="AN118">
            <v>0</v>
          </cell>
          <cell r="AP118">
            <v>750674.33834000002</v>
          </cell>
          <cell r="AQ118">
            <v>488772.47</v>
          </cell>
          <cell r="AR118">
            <v>261901.86834000004</v>
          </cell>
          <cell r="AS118">
            <v>261901.86834000004</v>
          </cell>
        </row>
        <row r="119">
          <cell r="B119" t="str">
            <v>200119790A</v>
          </cell>
          <cell r="G119" t="str">
            <v>Private - LTCH</v>
          </cell>
          <cell r="H119" t="str">
            <v xml:space="preserve">SOLARA HOSPITAL MUSKOGEE LLC </v>
          </cell>
          <cell r="I119" t="str">
            <v xml:space="preserve">351 SOUTH 40TH STREET  </v>
          </cell>
          <cell r="J119" t="str">
            <v xml:space="preserve">MUSKOGEE       </v>
          </cell>
          <cell r="K119" t="str">
            <v>OK</v>
          </cell>
          <cell r="L119" t="str">
            <v>74403</v>
          </cell>
          <cell r="M119">
            <v>0.13500000000000001</v>
          </cell>
          <cell r="N119" t="str">
            <v>I</v>
          </cell>
          <cell r="O119">
            <v>3151</v>
          </cell>
          <cell r="P119">
            <v>3151</v>
          </cell>
          <cell r="Q119">
            <v>35843127.400000006</v>
          </cell>
          <cell r="R119">
            <v>3315892.8</v>
          </cell>
          <cell r="S119">
            <v>219483.62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AA119">
            <v>4838822.199000001</v>
          </cell>
          <cell r="AB119">
            <v>3535376.42</v>
          </cell>
          <cell r="AC119">
            <v>1303445.779000001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L119">
            <v>0</v>
          </cell>
          <cell r="AM119">
            <v>0</v>
          </cell>
          <cell r="AN119">
            <v>0</v>
          </cell>
          <cell r="AP119">
            <v>4838822.199000001</v>
          </cell>
          <cell r="AQ119">
            <v>3535376.42</v>
          </cell>
          <cell r="AR119">
            <v>1303445.779000001</v>
          </cell>
          <cell r="AS119">
            <v>1303445.779000001</v>
          </cell>
        </row>
        <row r="120">
          <cell r="B120" t="str">
            <v>200080160A</v>
          </cell>
          <cell r="G120" t="str">
            <v>Private - LTCH</v>
          </cell>
          <cell r="H120" t="str">
            <v xml:space="preserve">SOLARA HOSPITAL SHAWNEE LLC </v>
          </cell>
          <cell r="I120" t="str">
            <v xml:space="preserve">1900 GORDON COOPER DRIVE  </v>
          </cell>
          <cell r="J120" t="str">
            <v xml:space="preserve">SHAWNEE        </v>
          </cell>
          <cell r="K120" t="str">
            <v>OK</v>
          </cell>
          <cell r="L120" t="str">
            <v>74801</v>
          </cell>
          <cell r="M120">
            <v>0.16819999999999999</v>
          </cell>
          <cell r="N120" t="str">
            <v>I</v>
          </cell>
          <cell r="O120">
            <v>269</v>
          </cell>
          <cell r="P120">
            <v>269</v>
          </cell>
          <cell r="Q120">
            <v>2112827.44</v>
          </cell>
          <cell r="R120">
            <v>126628.88</v>
          </cell>
          <cell r="S120">
            <v>91388.4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AA120">
            <v>355377.57540799998</v>
          </cell>
          <cell r="AB120">
            <v>218017.28</v>
          </cell>
          <cell r="AC120">
            <v>137360.29540799998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L120">
            <v>0</v>
          </cell>
          <cell r="AM120">
            <v>0</v>
          </cell>
          <cell r="AN120">
            <v>0</v>
          </cell>
          <cell r="AP120">
            <v>355377.57540799998</v>
          </cell>
          <cell r="AQ120">
            <v>218017.28</v>
          </cell>
          <cell r="AR120">
            <v>137360.29540799998</v>
          </cell>
          <cell r="AS120">
            <v>137360.29540799998</v>
          </cell>
        </row>
        <row r="121">
          <cell r="B121" t="str">
            <v>200085660H</v>
          </cell>
          <cell r="C121" t="str">
            <v>200085660G</v>
          </cell>
          <cell r="D121" t="str">
            <v>200085660I</v>
          </cell>
          <cell r="G121" t="str">
            <v>Private - Psychiatric Hospital</v>
          </cell>
          <cell r="H121" t="str">
            <v xml:space="preserve">CEDAR RIDGE PSYCHIATRIC HOSPITAL </v>
          </cell>
          <cell r="I121" t="str">
            <v xml:space="preserve">6501 NE 50TH  </v>
          </cell>
          <cell r="J121" t="str">
            <v xml:space="preserve">OKLAHOMA CITY  </v>
          </cell>
          <cell r="K121" t="str">
            <v>OK</v>
          </cell>
          <cell r="L121" t="str">
            <v>73141</v>
          </cell>
          <cell r="M121">
            <v>0.42009897475802377</v>
          </cell>
          <cell r="N121" t="str">
            <v>I</v>
          </cell>
          <cell r="O121">
            <v>17666</v>
          </cell>
          <cell r="P121">
            <v>17528</v>
          </cell>
          <cell r="Q121">
            <v>26419352.109999999</v>
          </cell>
          <cell r="R121">
            <v>9354305.1799999997</v>
          </cell>
          <cell r="S121">
            <v>700339.93</v>
          </cell>
          <cell r="T121">
            <v>0</v>
          </cell>
          <cell r="U121">
            <v>386603</v>
          </cell>
          <cell r="V121">
            <v>0</v>
          </cell>
          <cell r="W121">
            <v>0</v>
          </cell>
          <cell r="X121">
            <v>7284054.2000000002</v>
          </cell>
          <cell r="Y121">
            <v>0</v>
          </cell>
          <cell r="AA121">
            <v>11485345.735182231</v>
          </cell>
          <cell r="AB121">
            <v>17338699.309999999</v>
          </cell>
          <cell r="AC121">
            <v>-5853353.5748177674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5802</v>
          </cell>
          <cell r="AJ121">
            <v>0</v>
          </cell>
          <cell r="AL121">
            <v>5802</v>
          </cell>
          <cell r="AM121">
            <v>0</v>
          </cell>
          <cell r="AN121">
            <v>5802</v>
          </cell>
          <cell r="AP121">
            <v>11491147.735182231</v>
          </cell>
          <cell r="AQ121">
            <v>17338699.309999999</v>
          </cell>
          <cell r="AR121">
            <v>-5847551.5748177674</v>
          </cell>
          <cell r="AS121">
            <v>1436502.6251822328</v>
          </cell>
        </row>
        <row r="122">
          <cell r="B122" t="str">
            <v>100700380P</v>
          </cell>
          <cell r="G122" t="str">
            <v>Private - Psychiatric Hospital</v>
          </cell>
          <cell r="H122" t="str">
            <v xml:space="preserve">LAUREATE PSYCHIATRIC CLINIC &amp; HOSPITAL INC </v>
          </cell>
          <cell r="I122" t="str">
            <v xml:space="preserve">6655 SOUTH YALE  </v>
          </cell>
          <cell r="J122" t="str">
            <v xml:space="preserve">TULSA          </v>
          </cell>
          <cell r="K122" t="str">
            <v>OK</v>
          </cell>
          <cell r="L122" t="str">
            <v>74136</v>
          </cell>
          <cell r="M122">
            <v>0.46663891651451056</v>
          </cell>
          <cell r="N122" t="str">
            <v>I</v>
          </cell>
          <cell r="O122">
            <v>6162</v>
          </cell>
          <cell r="P122">
            <v>6162</v>
          </cell>
          <cell r="Q122">
            <v>10798695.960000001</v>
          </cell>
          <cell r="R122">
            <v>3513280.3499999996</v>
          </cell>
          <cell r="S122">
            <v>281896.42000000004</v>
          </cell>
          <cell r="T122">
            <v>0</v>
          </cell>
          <cell r="U122">
            <v>653440</v>
          </cell>
          <cell r="V122">
            <v>0</v>
          </cell>
          <cell r="W122">
            <v>0</v>
          </cell>
          <cell r="X122">
            <v>279487.07</v>
          </cell>
          <cell r="Y122">
            <v>0</v>
          </cell>
          <cell r="AA122">
            <v>5692531.7825440224</v>
          </cell>
          <cell r="AB122">
            <v>4074663.8399999994</v>
          </cell>
          <cell r="AC122">
            <v>1617867.942544023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131688</v>
          </cell>
          <cell r="AJ122">
            <v>0</v>
          </cell>
          <cell r="AL122">
            <v>131688</v>
          </cell>
          <cell r="AM122">
            <v>0</v>
          </cell>
          <cell r="AN122">
            <v>131688</v>
          </cell>
          <cell r="AP122">
            <v>5824219.7825440224</v>
          </cell>
          <cell r="AQ122">
            <v>4074663.8399999994</v>
          </cell>
          <cell r="AR122">
            <v>1749555.942544023</v>
          </cell>
          <cell r="AS122">
            <v>2029043.0125440231</v>
          </cell>
        </row>
        <row r="123">
          <cell r="B123" t="str">
            <v>200718040B</v>
          </cell>
          <cell r="G123" t="str">
            <v>Private - Psychiatric Hospital</v>
          </cell>
          <cell r="H123" t="str">
            <v xml:space="preserve">OAKWOOD SPRINGS, LLC </v>
          </cell>
          <cell r="I123" t="str">
            <v xml:space="preserve">13101 MEMORIAL SPRINGS  </v>
          </cell>
          <cell r="J123" t="str">
            <v xml:space="preserve">OKLAHOMA CITY  </v>
          </cell>
          <cell r="K123" t="str">
            <v>OK</v>
          </cell>
          <cell r="L123" t="str">
            <v>73114</v>
          </cell>
          <cell r="M123">
            <v>0.98399814889384385</v>
          </cell>
          <cell r="N123" t="str">
            <v>I</v>
          </cell>
          <cell r="O123">
            <v>4668</v>
          </cell>
          <cell r="P123">
            <v>4641</v>
          </cell>
          <cell r="Q123">
            <v>10219020</v>
          </cell>
          <cell r="R123">
            <v>2612295.9900000002</v>
          </cell>
          <cell r="S123">
            <v>192549.31</v>
          </cell>
          <cell r="T123">
            <v>0</v>
          </cell>
          <cell r="U123">
            <v>281920</v>
          </cell>
          <cell r="V123">
            <v>0</v>
          </cell>
          <cell r="W123">
            <v>0</v>
          </cell>
          <cell r="X123">
            <v>148405.84</v>
          </cell>
          <cell r="Y123">
            <v>0</v>
          </cell>
          <cell r="AA123">
            <v>10337416.763509167</v>
          </cell>
          <cell r="AB123">
            <v>2953251.14</v>
          </cell>
          <cell r="AC123">
            <v>7384165.6235091668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44852</v>
          </cell>
          <cell r="AJ123">
            <v>0</v>
          </cell>
          <cell r="AL123">
            <v>44852</v>
          </cell>
          <cell r="AM123">
            <v>0</v>
          </cell>
          <cell r="AN123">
            <v>44852</v>
          </cell>
          <cell r="AP123">
            <v>10382268.763509167</v>
          </cell>
          <cell r="AQ123">
            <v>2953251.14</v>
          </cell>
          <cell r="AR123">
            <v>7429017.6235091668</v>
          </cell>
          <cell r="AS123">
            <v>7577423.4635091666</v>
          </cell>
        </row>
        <row r="124">
          <cell r="B124" t="str">
            <v>100738360L</v>
          </cell>
          <cell r="C124" t="str">
            <v>100738360N</v>
          </cell>
          <cell r="G124" t="str">
            <v>Private - Psychiatric Hospital</v>
          </cell>
          <cell r="H124" t="str">
            <v xml:space="preserve">PARKSIDE PSYCHIATRIC HOSPITAL &amp; CLINIC </v>
          </cell>
          <cell r="I124" t="str">
            <v xml:space="preserve">1239 S TRENTON AVE  </v>
          </cell>
          <cell r="J124" t="str">
            <v xml:space="preserve">TULSA          </v>
          </cell>
          <cell r="K124" t="str">
            <v>OK</v>
          </cell>
          <cell r="L124" t="str">
            <v>74120</v>
          </cell>
          <cell r="M124">
            <v>0.43459234157912574</v>
          </cell>
          <cell r="N124" t="str">
            <v>I</v>
          </cell>
          <cell r="O124">
            <v>8217</v>
          </cell>
          <cell r="P124">
            <v>8204</v>
          </cell>
          <cell r="Q124">
            <v>10693375</v>
          </cell>
          <cell r="R124">
            <v>4818848.0500000007</v>
          </cell>
          <cell r="S124">
            <v>85680.67</v>
          </cell>
          <cell r="T124">
            <v>0</v>
          </cell>
          <cell r="U124">
            <v>253764</v>
          </cell>
          <cell r="V124">
            <v>0</v>
          </cell>
          <cell r="W124">
            <v>0</v>
          </cell>
          <cell r="X124">
            <v>6475941.9700000007</v>
          </cell>
          <cell r="Y124">
            <v>0</v>
          </cell>
          <cell r="AA124">
            <v>4901022.8806336839</v>
          </cell>
          <cell r="AB124">
            <v>11380470.690000001</v>
          </cell>
          <cell r="AC124">
            <v>-6479447.8093663175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24078</v>
          </cell>
          <cell r="AJ124">
            <v>0</v>
          </cell>
          <cell r="AL124">
            <v>24078</v>
          </cell>
          <cell r="AM124">
            <v>0</v>
          </cell>
          <cell r="AN124">
            <v>24078</v>
          </cell>
          <cell r="AP124">
            <v>4925100.8806336839</v>
          </cell>
          <cell r="AQ124">
            <v>11380470.690000001</v>
          </cell>
          <cell r="AR124">
            <v>-6455369.8093663175</v>
          </cell>
          <cell r="AS124">
            <v>20572.160633683205</v>
          </cell>
        </row>
        <row r="125">
          <cell r="B125" t="str">
            <v>100701680L</v>
          </cell>
          <cell r="G125" t="str">
            <v>Private - Psychiatric Hospital</v>
          </cell>
          <cell r="H125" t="str">
            <v xml:space="preserve">ROLLING HILLS HOSPITAL, LLC </v>
          </cell>
          <cell r="I125" t="str">
            <v xml:space="preserve">1000 ROLLING HILLS LANE  </v>
          </cell>
          <cell r="J125" t="str">
            <v xml:space="preserve">ADA            </v>
          </cell>
          <cell r="K125" t="str">
            <v>OK</v>
          </cell>
          <cell r="L125" t="str">
            <v>74820</v>
          </cell>
          <cell r="M125">
            <v>0.43932215777533501</v>
          </cell>
          <cell r="N125" t="str">
            <v>I</v>
          </cell>
          <cell r="O125">
            <v>1947</v>
          </cell>
          <cell r="P125">
            <v>1940</v>
          </cell>
          <cell r="Q125">
            <v>4087020</v>
          </cell>
          <cell r="R125">
            <v>967764.66</v>
          </cell>
          <cell r="S125">
            <v>364442.56</v>
          </cell>
          <cell r="T125">
            <v>0</v>
          </cell>
          <cell r="U125">
            <v>461206</v>
          </cell>
          <cell r="V125">
            <v>0</v>
          </cell>
          <cell r="W125">
            <v>0</v>
          </cell>
          <cell r="X125">
            <v>567213.15</v>
          </cell>
          <cell r="Y125">
            <v>0</v>
          </cell>
          <cell r="AA125">
            <v>2256724.44527095</v>
          </cell>
          <cell r="AB125">
            <v>1899420.37</v>
          </cell>
          <cell r="AC125">
            <v>357304.07527094986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2256724.44527095</v>
          </cell>
          <cell r="AQ125">
            <v>1899420.37</v>
          </cell>
          <cell r="AR125">
            <v>357304.07527094986</v>
          </cell>
          <cell r="AS125">
            <v>924517.22527094989</v>
          </cell>
        </row>
        <row r="126">
          <cell r="B126" t="str">
            <v>100707460F</v>
          </cell>
          <cell r="G126" t="str">
            <v>Public - Psychiatric Hospital</v>
          </cell>
          <cell r="H126" t="str">
            <v xml:space="preserve">TULSA CENTER FOR BEHAVIORAL HEALTH </v>
          </cell>
          <cell r="I126" t="str">
            <v xml:space="preserve">2323 S HARVARD AVE  </v>
          </cell>
          <cell r="J126" t="str">
            <v xml:space="preserve">TULSA          </v>
          </cell>
          <cell r="K126" t="str">
            <v>OK</v>
          </cell>
          <cell r="L126" t="str">
            <v>74114</v>
          </cell>
          <cell r="M126">
            <v>0</v>
          </cell>
          <cell r="O126">
            <v>6906</v>
          </cell>
          <cell r="P126">
            <v>6561</v>
          </cell>
          <cell r="Q126">
            <v>4133700.16</v>
          </cell>
          <cell r="R126">
            <v>3857475.4000000004</v>
          </cell>
          <cell r="S126">
            <v>52866.2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AA126">
            <v>0</v>
          </cell>
          <cell r="AB126">
            <v>3910341.6000000006</v>
          </cell>
          <cell r="AC126">
            <v>-3910341.6000000006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L126">
            <v>0</v>
          </cell>
          <cell r="AM126">
            <v>0</v>
          </cell>
          <cell r="AN126">
            <v>0</v>
          </cell>
          <cell r="AP126">
            <v>0</v>
          </cell>
          <cell r="AQ126">
            <v>3910341.6000000006</v>
          </cell>
          <cell r="AR126">
            <v>-3910341.6000000006</v>
          </cell>
          <cell r="AS126">
            <v>-3910341.6000000006</v>
          </cell>
        </row>
        <row r="127">
          <cell r="B127" t="str">
            <v>200673510G</v>
          </cell>
          <cell r="G127" t="str">
            <v>Private - Psychiatric Hospital</v>
          </cell>
          <cell r="H127" t="str">
            <v xml:space="preserve">WILLOW CREST HOSPITAL </v>
          </cell>
          <cell r="I127" t="str">
            <v xml:space="preserve">130 A ST SW  </v>
          </cell>
          <cell r="J127" t="str">
            <v xml:space="preserve">MIAMI          </v>
          </cell>
          <cell r="K127" t="str">
            <v>OK</v>
          </cell>
          <cell r="L127" t="str">
            <v>74354</v>
          </cell>
          <cell r="M127">
            <v>0</v>
          </cell>
          <cell r="N127" t="str">
            <v>I</v>
          </cell>
          <cell r="O127">
            <v>2373</v>
          </cell>
          <cell r="P127">
            <v>2373</v>
          </cell>
          <cell r="Q127">
            <v>2224097</v>
          </cell>
          <cell r="R127">
            <v>1287599.02</v>
          </cell>
          <cell r="S127">
            <v>135331.07999999999</v>
          </cell>
          <cell r="T127">
            <v>0</v>
          </cell>
          <cell r="U127">
            <v>282902</v>
          </cell>
          <cell r="V127">
            <v>0</v>
          </cell>
          <cell r="W127">
            <v>0</v>
          </cell>
          <cell r="X127">
            <v>5605866.1000000006</v>
          </cell>
          <cell r="Y127">
            <v>0</v>
          </cell>
          <cell r="AA127">
            <v>282902</v>
          </cell>
          <cell r="AB127">
            <v>7028796.2000000011</v>
          </cell>
          <cell r="AC127">
            <v>-6745894.2000000011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L127">
            <v>0</v>
          </cell>
          <cell r="AM127">
            <v>0</v>
          </cell>
          <cell r="AN127">
            <v>0</v>
          </cell>
          <cell r="AP127">
            <v>282902</v>
          </cell>
          <cell r="AQ127">
            <v>7028796.2000000011</v>
          </cell>
          <cell r="AR127">
            <v>-6745894.2000000011</v>
          </cell>
          <cell r="AS127">
            <v>-1140028.1000000006</v>
          </cell>
        </row>
        <row r="128">
          <cell r="B128" t="str">
            <v>200673510E</v>
          </cell>
          <cell r="G128" t="str">
            <v>Private Acute Psych Level II</v>
          </cell>
          <cell r="H128" t="str">
            <v xml:space="preserve">WILLOW CREST HOSPITAL </v>
          </cell>
          <cell r="I128" t="str">
            <v xml:space="preserve">130 A ST SW  </v>
          </cell>
          <cell r="J128" t="str">
            <v xml:space="preserve">MIAMI          </v>
          </cell>
          <cell r="K128" t="str">
            <v>OK</v>
          </cell>
          <cell r="L128" t="str">
            <v>74354</v>
          </cell>
          <cell r="M128">
            <v>0</v>
          </cell>
          <cell r="N128" t="str">
            <v>I</v>
          </cell>
          <cell r="O128">
            <v>13895</v>
          </cell>
          <cell r="P128">
            <v>13895</v>
          </cell>
          <cell r="Q128">
            <v>10067540.07</v>
          </cell>
          <cell r="R128">
            <v>4302688.9800000004</v>
          </cell>
          <cell r="S128">
            <v>221443.07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4524132.0500000007</v>
          </cell>
          <cell r="AC128">
            <v>-4524132.0500000007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  <cell r="AM128">
            <v>0</v>
          </cell>
          <cell r="AN128">
            <v>0</v>
          </cell>
          <cell r="AP128">
            <v>0</v>
          </cell>
          <cell r="AQ128">
            <v>4524132.0500000007</v>
          </cell>
          <cell r="AR128">
            <v>-4524132.0500000007</v>
          </cell>
          <cell r="AS128">
            <v>-4524132.0500000007</v>
          </cell>
        </row>
        <row r="129">
          <cell r="B129" t="str">
            <v>200707260A</v>
          </cell>
          <cell r="G129" t="str">
            <v>Private - Rehabilitation</v>
          </cell>
          <cell r="H129" t="str">
            <v xml:space="preserve">PAM REHABILITATION HOSPITAL OF TULSA </v>
          </cell>
          <cell r="I129" t="str">
            <v xml:space="preserve">10020 E. 91ST DR.  </v>
          </cell>
          <cell r="J129" t="str">
            <v xml:space="preserve">TULSA          </v>
          </cell>
          <cell r="K129" t="str">
            <v>OK</v>
          </cell>
          <cell r="L129" t="str">
            <v>74133</v>
          </cell>
          <cell r="M129">
            <v>0.13762762429699621</v>
          </cell>
          <cell r="N129" t="str">
            <v>I</v>
          </cell>
          <cell r="O129">
            <v>327</v>
          </cell>
          <cell r="P129">
            <v>327</v>
          </cell>
          <cell r="Q129">
            <v>1537925.01</v>
          </cell>
          <cell r="R129">
            <v>168184.19999999998</v>
          </cell>
          <cell r="S129">
            <v>66531.14</v>
          </cell>
          <cell r="T129">
            <v>0</v>
          </cell>
          <cell r="U129">
            <v>353511</v>
          </cell>
          <cell r="V129">
            <v>0</v>
          </cell>
          <cell r="W129">
            <v>0</v>
          </cell>
          <cell r="X129">
            <v>17279.55</v>
          </cell>
          <cell r="Y129">
            <v>0</v>
          </cell>
          <cell r="AA129">
            <v>565171.96547323419</v>
          </cell>
          <cell r="AB129">
            <v>251994.88999999996</v>
          </cell>
          <cell r="AC129">
            <v>313177.07547323423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3976</v>
          </cell>
          <cell r="AJ129">
            <v>0</v>
          </cell>
          <cell r="AL129">
            <v>3976</v>
          </cell>
          <cell r="AM129">
            <v>0</v>
          </cell>
          <cell r="AN129">
            <v>3976</v>
          </cell>
          <cell r="AP129">
            <v>569147.96547323419</v>
          </cell>
          <cell r="AQ129">
            <v>251994.88999999996</v>
          </cell>
          <cell r="AR129">
            <v>317153.07547323423</v>
          </cell>
          <cell r="AS129">
            <v>334432.62547323422</v>
          </cell>
        </row>
        <row r="130">
          <cell r="B130" t="str">
            <v>200682470A</v>
          </cell>
          <cell r="G130" t="str">
            <v>Private - Rehabilitation</v>
          </cell>
          <cell r="H130" t="str">
            <v xml:space="preserve">ST. JOHN REHABILITATION HOSPITAL </v>
          </cell>
          <cell r="I130" t="str">
            <v xml:space="preserve">1200 WEST ALBANY DRIVE  </v>
          </cell>
          <cell r="J130" t="str">
            <v xml:space="preserve">BROKEN ARROW   </v>
          </cell>
          <cell r="K130" t="str">
            <v>OK</v>
          </cell>
          <cell r="L130" t="str">
            <v>74012</v>
          </cell>
          <cell r="M130">
            <v>0</v>
          </cell>
          <cell r="N130" t="str">
            <v>I</v>
          </cell>
          <cell r="O130">
            <v>3203</v>
          </cell>
          <cell r="P130">
            <v>3203</v>
          </cell>
          <cell r="Q130">
            <v>7635993.4000000004</v>
          </cell>
          <cell r="R130">
            <v>1889362.6099999999</v>
          </cell>
          <cell r="S130">
            <v>0</v>
          </cell>
          <cell r="T130">
            <v>0</v>
          </cell>
          <cell r="U130">
            <v>479456</v>
          </cell>
          <cell r="V130">
            <v>0</v>
          </cell>
          <cell r="W130">
            <v>0</v>
          </cell>
          <cell r="X130">
            <v>394143.24000000005</v>
          </cell>
          <cell r="Y130">
            <v>0</v>
          </cell>
          <cell r="AA130">
            <v>479456</v>
          </cell>
          <cell r="AB130">
            <v>2283505.85</v>
          </cell>
          <cell r="AC130">
            <v>-1804049.85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479456</v>
          </cell>
          <cell r="AQ130">
            <v>2283505.85</v>
          </cell>
          <cell r="AR130">
            <v>-1804049.85</v>
          </cell>
          <cell r="AS130">
            <v>-1409906.61</v>
          </cell>
        </row>
        <row r="131">
          <cell r="B131" t="str">
            <v>200028650A</v>
          </cell>
          <cell r="G131" t="str">
            <v>Private - Rehabilitation</v>
          </cell>
          <cell r="H131" t="str">
            <v xml:space="preserve">VALIR REHABILITATION HOSPITAL OF OKC </v>
          </cell>
          <cell r="I131" t="str">
            <v xml:space="preserve">700 NW 7TH ST  </v>
          </cell>
          <cell r="J131" t="str">
            <v xml:space="preserve">OKLAHOMA CITY  </v>
          </cell>
          <cell r="K131" t="str">
            <v>OK</v>
          </cell>
          <cell r="L131" t="str">
            <v>73102</v>
          </cell>
          <cell r="M131">
            <v>0.53571350488642078</v>
          </cell>
          <cell r="N131" t="str">
            <v>I</v>
          </cell>
          <cell r="O131">
            <v>6132</v>
          </cell>
          <cell r="P131">
            <v>6132</v>
          </cell>
          <cell r="Q131">
            <v>11900713.280000001</v>
          </cell>
          <cell r="R131">
            <v>4913441.04</v>
          </cell>
          <cell r="S131">
            <v>71376.650000000009</v>
          </cell>
          <cell r="T131">
            <v>0</v>
          </cell>
          <cell r="U131">
            <v>346643</v>
          </cell>
          <cell r="V131">
            <v>0</v>
          </cell>
          <cell r="W131">
            <v>0</v>
          </cell>
          <cell r="X131">
            <v>3021452.12</v>
          </cell>
          <cell r="Y131">
            <v>0</v>
          </cell>
          <cell r="AA131">
            <v>6722015.8218771731</v>
          </cell>
          <cell r="AB131">
            <v>8006269.8100000005</v>
          </cell>
          <cell r="AC131">
            <v>-1284253.9881228274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9892</v>
          </cell>
          <cell r="AJ131">
            <v>0</v>
          </cell>
          <cell r="AL131">
            <v>9892</v>
          </cell>
          <cell r="AM131">
            <v>0</v>
          </cell>
          <cell r="AN131">
            <v>9892</v>
          </cell>
          <cell r="AP131">
            <v>6731907.8218771731</v>
          </cell>
          <cell r="AQ131">
            <v>8006269.8100000005</v>
          </cell>
          <cell r="AR131">
            <v>-1274361.9881228274</v>
          </cell>
          <cell r="AS131">
            <v>1747090.1318771727</v>
          </cell>
        </row>
        <row r="132">
          <cell r="B132" t="str">
            <v>200479750A</v>
          </cell>
          <cell r="G132" t="str">
            <v>Private - Rehabilitation</v>
          </cell>
          <cell r="H132" t="str">
            <v xml:space="preserve">MERCY REHABILITATION HOSPITAL, LLC </v>
          </cell>
          <cell r="I132" t="str">
            <v xml:space="preserve">5401 W. MEMORIAL ROAD  </v>
          </cell>
          <cell r="J132" t="str">
            <v xml:space="preserve">OKLAHOMA CITY  </v>
          </cell>
          <cell r="K132" t="str">
            <v>OK</v>
          </cell>
          <cell r="L132" t="str">
            <v>73142</v>
          </cell>
          <cell r="M132">
            <v>0.42518972136242994</v>
          </cell>
          <cell r="O132">
            <v>112</v>
          </cell>
          <cell r="P132">
            <v>112</v>
          </cell>
          <cell r="Q132">
            <v>292583.67</v>
          </cell>
          <cell r="R132">
            <v>59124.12</v>
          </cell>
          <cell r="S132">
            <v>23101.73</v>
          </cell>
          <cell r="T132">
            <v>0</v>
          </cell>
          <cell r="U132">
            <v>604516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A132">
            <v>728919.56912249711</v>
          </cell>
          <cell r="AB132">
            <v>82225.850000000006</v>
          </cell>
          <cell r="AC132">
            <v>646693.71912249713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  <cell r="AM132">
            <v>0</v>
          </cell>
          <cell r="AN132">
            <v>0</v>
          </cell>
          <cell r="AP132">
            <v>728919.56912249711</v>
          </cell>
          <cell r="AQ132">
            <v>82225.850000000006</v>
          </cell>
          <cell r="AR132">
            <v>646693.71912249713</v>
          </cell>
          <cell r="AS132">
            <v>646693.71912249713</v>
          </cell>
        </row>
        <row r="133">
          <cell r="B133" t="str">
            <v>200697510F</v>
          </cell>
          <cell r="G133" t="str">
            <v>Private-Combined</v>
          </cell>
          <cell r="H133" t="str">
            <v>CENTER FOR ORTHOPAEDIC RECONSTRUCTION &amp; EXCELLENCE</v>
          </cell>
          <cell r="I133" t="str">
            <v xml:space="preserve">3029 W. MAIN STREET  </v>
          </cell>
          <cell r="J133" t="str">
            <v xml:space="preserve">JENKS          </v>
          </cell>
          <cell r="K133" t="str">
            <v>OK</v>
          </cell>
          <cell r="L133" t="str">
            <v>74037</v>
          </cell>
          <cell r="M133">
            <v>0.1913</v>
          </cell>
          <cell r="N133" t="str">
            <v>I</v>
          </cell>
          <cell r="O133">
            <v>184</v>
          </cell>
          <cell r="P133">
            <v>184</v>
          </cell>
          <cell r="Q133">
            <v>14226755.98</v>
          </cell>
          <cell r="R133">
            <v>1364001.29</v>
          </cell>
          <cell r="S133">
            <v>72000.25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2721578.418974</v>
          </cell>
          <cell r="AB133">
            <v>1436001.54</v>
          </cell>
          <cell r="AC133">
            <v>1285576.878974</v>
          </cell>
          <cell r="AE133">
            <v>25530276.780000001</v>
          </cell>
          <cell r="AF133">
            <v>2565369.4299999997</v>
          </cell>
          <cell r="AG133">
            <v>208892.31548930879</v>
          </cell>
          <cell r="AH133">
            <v>0</v>
          </cell>
          <cell r="AI133">
            <v>0</v>
          </cell>
          <cell r="AJ133">
            <v>0</v>
          </cell>
          <cell r="AL133">
            <v>4883941.9480140004</v>
          </cell>
          <cell r="AM133">
            <v>2774261.7454893086</v>
          </cell>
          <cell r="AN133">
            <v>2109680.2025246918</v>
          </cell>
          <cell r="AP133">
            <v>7605520.3669880005</v>
          </cell>
          <cell r="AQ133">
            <v>4210263.2854893086</v>
          </cell>
          <cell r="AR133">
            <v>3395257.0814986918</v>
          </cell>
          <cell r="AS133">
            <v>3395257.0814986918</v>
          </cell>
        </row>
        <row r="134">
          <cell r="B134" t="str">
            <v>100746230B</v>
          </cell>
          <cell r="G134" t="str">
            <v>Private - Specialty</v>
          </cell>
          <cell r="H134" t="str">
            <v xml:space="preserve">COMMUNITY HOSPITAL </v>
          </cell>
          <cell r="I134" t="str">
            <v xml:space="preserve">3100 SW 89TH ST  </v>
          </cell>
          <cell r="J134" t="str">
            <v xml:space="preserve">OKLAHOMA CITY  </v>
          </cell>
          <cell r="K134" t="str">
            <v>OK</v>
          </cell>
          <cell r="L134" t="str">
            <v>73159</v>
          </cell>
          <cell r="M134">
            <v>0.1701</v>
          </cell>
          <cell r="N134" t="str">
            <v>I</v>
          </cell>
          <cell r="O134">
            <v>375</v>
          </cell>
          <cell r="P134">
            <v>375</v>
          </cell>
          <cell r="Q134">
            <v>5523560.0199999996</v>
          </cell>
          <cell r="R134">
            <v>961535.63</v>
          </cell>
          <cell r="S134">
            <v>73781.47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A134">
            <v>939557.55940199993</v>
          </cell>
          <cell r="AB134">
            <v>1035317.1</v>
          </cell>
          <cell r="AC134">
            <v>-95759.540598000051</v>
          </cell>
          <cell r="AE134">
            <v>18262558.100000001</v>
          </cell>
          <cell r="AF134">
            <v>2691556.3900000099</v>
          </cell>
          <cell r="AG134">
            <v>315424.92495081597</v>
          </cell>
          <cell r="AH134">
            <v>0</v>
          </cell>
          <cell r="AI134">
            <v>0</v>
          </cell>
          <cell r="AJ134">
            <v>0</v>
          </cell>
          <cell r="AL134">
            <v>3106461.1328100003</v>
          </cell>
          <cell r="AM134">
            <v>3006981.3149508256</v>
          </cell>
          <cell r="AN134">
            <v>99479.817859174684</v>
          </cell>
          <cell r="AP134">
            <v>4046018.6922120005</v>
          </cell>
          <cell r="AQ134">
            <v>4042298.4149508257</v>
          </cell>
          <cell r="AR134">
            <v>3720.2772611747496</v>
          </cell>
          <cell r="AS134">
            <v>3720.2772611747496</v>
          </cell>
        </row>
        <row r="135">
          <cell r="B135" t="str">
            <v>200786710A</v>
          </cell>
          <cell r="G135" t="str">
            <v>Private - Specialty</v>
          </cell>
          <cell r="H135" t="str">
            <v xml:space="preserve">INSPIRE SPECIALTY HOSPITAL </v>
          </cell>
          <cell r="I135" t="str">
            <v xml:space="preserve">8210 NATIONAL AVENUE  </v>
          </cell>
          <cell r="J135" t="str">
            <v xml:space="preserve">MIDWEST CITY   </v>
          </cell>
          <cell r="K135" t="str">
            <v>OK</v>
          </cell>
          <cell r="L135" t="str">
            <v>73110</v>
          </cell>
          <cell r="M135">
            <v>0.3362</v>
          </cell>
          <cell r="N135" t="str">
            <v>I</v>
          </cell>
          <cell r="O135">
            <v>594</v>
          </cell>
          <cell r="P135">
            <v>594</v>
          </cell>
          <cell r="Q135">
            <v>2448878.59</v>
          </cell>
          <cell r="R135">
            <v>1222564.19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823312.98195799999</v>
          </cell>
          <cell r="AB135">
            <v>1222564.19</v>
          </cell>
          <cell r="AC135">
            <v>-399251.20804199995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823312.98195799999</v>
          </cell>
          <cell r="AQ135">
            <v>1222564.19</v>
          </cell>
          <cell r="AR135">
            <v>-399251.20804199995</v>
          </cell>
          <cell r="AS135">
            <v>-399251.20804199995</v>
          </cell>
        </row>
        <row r="136">
          <cell r="B136" t="str">
            <v>100745350B</v>
          </cell>
          <cell r="G136" t="str">
            <v>Private - Specialty</v>
          </cell>
          <cell r="H136" t="str">
            <v xml:space="preserve">LAKESIDE WOMENS CENTER OF </v>
          </cell>
          <cell r="I136" t="str">
            <v xml:space="preserve">11200 N PORTLAND AVE  </v>
          </cell>
          <cell r="J136" t="str">
            <v xml:space="preserve">OKLAHOMA CITY  </v>
          </cell>
          <cell r="K136" t="str">
            <v>OK</v>
          </cell>
          <cell r="L136" t="str">
            <v>73120</v>
          </cell>
          <cell r="M136">
            <v>0.18029999999999999</v>
          </cell>
          <cell r="N136" t="str">
            <v>I</v>
          </cell>
          <cell r="O136">
            <v>1644</v>
          </cell>
          <cell r="P136">
            <v>1644</v>
          </cell>
          <cell r="Q136">
            <v>10315911.17</v>
          </cell>
          <cell r="R136">
            <v>1298438.2000000002</v>
          </cell>
          <cell r="S136">
            <v>433070.52</v>
          </cell>
          <cell r="T136">
            <v>1652.33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4724133.84</v>
          </cell>
          <cell r="AA136">
            <v>1861611.1139509999</v>
          </cell>
          <cell r="AB136">
            <v>6457294.8900000006</v>
          </cell>
          <cell r="AC136">
            <v>-4595683.7760490011</v>
          </cell>
          <cell r="AE136">
            <v>4517591.4700000007</v>
          </cell>
          <cell r="AF136">
            <v>405791.08000000101</v>
          </cell>
          <cell r="AG136">
            <v>93124.329999999987</v>
          </cell>
          <cell r="AH136">
            <v>0</v>
          </cell>
          <cell r="AI136">
            <v>0</v>
          </cell>
          <cell r="AJ136">
            <v>0</v>
          </cell>
          <cell r="AL136">
            <v>814521.74204100005</v>
          </cell>
          <cell r="AM136">
            <v>498915.41000000096</v>
          </cell>
          <cell r="AN136">
            <v>315606.33204099908</v>
          </cell>
          <cell r="AP136">
            <v>2676132.8559920001</v>
          </cell>
          <cell r="AQ136">
            <v>6956210.3000000017</v>
          </cell>
          <cell r="AR136">
            <v>-4280077.4440080021</v>
          </cell>
          <cell r="AS136">
            <v>-4280077.4440080021</v>
          </cell>
        </row>
        <row r="137">
          <cell r="B137" t="str">
            <v>200069370A</v>
          </cell>
          <cell r="G137" t="str">
            <v>Private - Specialty</v>
          </cell>
          <cell r="H137" t="str">
            <v xml:space="preserve">MCBRIDE CLINIC ORTHOPEDIC HOSPITAL </v>
          </cell>
          <cell r="I137" t="str">
            <v xml:space="preserve">9600 BROADWAY EXTENSION  </v>
          </cell>
          <cell r="J137" t="str">
            <v xml:space="preserve">OKLAHOMA CITY  </v>
          </cell>
          <cell r="K137" t="str">
            <v>OK</v>
          </cell>
          <cell r="L137" t="str">
            <v>73114</v>
          </cell>
          <cell r="M137">
            <v>0.36199999999999999</v>
          </cell>
          <cell r="N137" t="str">
            <v>I</v>
          </cell>
          <cell r="O137">
            <v>215</v>
          </cell>
          <cell r="P137">
            <v>215</v>
          </cell>
          <cell r="Q137">
            <v>3516898.66</v>
          </cell>
          <cell r="R137">
            <v>758949.72</v>
          </cell>
          <cell r="S137">
            <v>144344.95000000001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AA137">
            <v>1273117.31492</v>
          </cell>
          <cell r="AB137">
            <v>903294.66999999993</v>
          </cell>
          <cell r="AC137">
            <v>369822.64492000011</v>
          </cell>
          <cell r="AE137">
            <v>2802869.4399999995</v>
          </cell>
          <cell r="AF137">
            <v>475542.3</v>
          </cell>
          <cell r="AG137">
            <v>250798.34</v>
          </cell>
          <cell r="AH137">
            <v>0</v>
          </cell>
          <cell r="AI137">
            <v>0</v>
          </cell>
          <cell r="AJ137">
            <v>0</v>
          </cell>
          <cell r="AL137">
            <v>1014638.7372799998</v>
          </cell>
          <cell r="AM137">
            <v>726340.64</v>
          </cell>
          <cell r="AN137">
            <v>288298.09727999975</v>
          </cell>
          <cell r="AP137">
            <v>2287756.0521999998</v>
          </cell>
          <cell r="AQ137">
            <v>1629635.31</v>
          </cell>
          <cell r="AR137">
            <v>658120.74219999975</v>
          </cell>
          <cell r="AS137">
            <v>658120.74219999975</v>
          </cell>
        </row>
        <row r="138">
          <cell r="B138" t="str">
            <v>200069370N</v>
          </cell>
          <cell r="G138" t="str">
            <v>Private - Specialty</v>
          </cell>
          <cell r="H138" t="str">
            <v xml:space="preserve">MCBRIDE CLINIC ORTHOPEDIC HOSPITAL LLC </v>
          </cell>
          <cell r="I138" t="str">
            <v xml:space="preserve">9801 N OKLAHOMA AVE  </v>
          </cell>
          <cell r="J138" t="str">
            <v xml:space="preserve">OKLAHOMA CITY  </v>
          </cell>
          <cell r="K138" t="str">
            <v>OK</v>
          </cell>
          <cell r="L138" t="str">
            <v>73114</v>
          </cell>
          <cell r="M138">
            <v>0.36199999999999999</v>
          </cell>
          <cell r="N138" t="str">
            <v>I</v>
          </cell>
          <cell r="O138">
            <v>6</v>
          </cell>
          <cell r="P138">
            <v>6</v>
          </cell>
          <cell r="Q138">
            <v>46813.81</v>
          </cell>
          <cell r="R138">
            <v>3785.44</v>
          </cell>
          <cell r="S138">
            <v>12476.63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AA138">
            <v>16946.59922</v>
          </cell>
          <cell r="AB138">
            <v>16262.07</v>
          </cell>
          <cell r="AC138">
            <v>684.52922000000035</v>
          </cell>
          <cell r="AE138">
            <v>14035667.75</v>
          </cell>
          <cell r="AF138">
            <v>3861719.5799999498</v>
          </cell>
          <cell r="AG138">
            <v>385808.65</v>
          </cell>
          <cell r="AH138">
            <v>0</v>
          </cell>
          <cell r="AI138">
            <v>0</v>
          </cell>
          <cell r="AJ138">
            <v>0</v>
          </cell>
          <cell r="AL138">
            <v>5080911.7254999997</v>
          </cell>
          <cell r="AM138">
            <v>4247528.2299999502</v>
          </cell>
          <cell r="AN138">
            <v>833383.49550004955</v>
          </cell>
          <cell r="AP138">
            <v>5097858.3247199999</v>
          </cell>
          <cell r="AQ138">
            <v>4263790.2999999505</v>
          </cell>
          <cell r="AR138">
            <v>834068.02472004946</v>
          </cell>
          <cell r="AS138">
            <v>834068.02472004946</v>
          </cell>
        </row>
        <row r="139">
          <cell r="B139" t="str">
            <v>200066700A</v>
          </cell>
          <cell r="G139" t="str">
            <v>Private - Specialty</v>
          </cell>
          <cell r="H139" t="str">
            <v xml:space="preserve">OKLAHOMA CENTER FOR ORTHOPAEDIC &amp; MULTI SPECIALTY </v>
          </cell>
          <cell r="I139" t="str">
            <v>8100 S WALKER AVE  BLDG C</v>
          </cell>
          <cell r="J139" t="str">
            <v xml:space="preserve">OKLAHOMA CITY  </v>
          </cell>
          <cell r="K139" t="str">
            <v>OK</v>
          </cell>
          <cell r="L139" t="str">
            <v>73139</v>
          </cell>
          <cell r="M139">
            <v>0.2094</v>
          </cell>
          <cell r="O139">
            <v>60</v>
          </cell>
          <cell r="P139">
            <v>59</v>
          </cell>
          <cell r="Q139">
            <v>870137.53</v>
          </cell>
          <cell r="R139">
            <v>240524</v>
          </cell>
          <cell r="S139">
            <v>22661.65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182206.798782</v>
          </cell>
          <cell r="AB139">
            <v>263185.65000000002</v>
          </cell>
          <cell r="AC139">
            <v>-80978.851218000025</v>
          </cell>
          <cell r="AE139">
            <v>28259651.009999998</v>
          </cell>
          <cell r="AF139">
            <v>4483663.0299999993</v>
          </cell>
          <cell r="AG139">
            <v>731693.16999999993</v>
          </cell>
          <cell r="AH139">
            <v>0</v>
          </cell>
          <cell r="AI139">
            <v>0</v>
          </cell>
          <cell r="AJ139">
            <v>0</v>
          </cell>
          <cell r="AL139">
            <v>5917570.9214939997</v>
          </cell>
          <cell r="AM139">
            <v>5215356.1999999993</v>
          </cell>
          <cell r="AN139">
            <v>702214.72149400041</v>
          </cell>
          <cell r="AP139">
            <v>6099777.720276</v>
          </cell>
          <cell r="AQ139">
            <v>5478541.8499999996</v>
          </cell>
          <cell r="AR139">
            <v>621235.87027600035</v>
          </cell>
          <cell r="AS139">
            <v>621235.87027600035</v>
          </cell>
        </row>
        <row r="140">
          <cell r="B140" t="str">
            <v>200009170A</v>
          </cell>
          <cell r="G140" t="str">
            <v>Private - Specialty</v>
          </cell>
          <cell r="H140" t="str">
            <v xml:space="preserve">OKLAHOMA HEART HOSPITAL LLC </v>
          </cell>
          <cell r="I140" t="str">
            <v xml:space="preserve">4050 W MEMORIAL ROAD  </v>
          </cell>
          <cell r="J140" t="str">
            <v xml:space="preserve">OKLAHOMA CITY  </v>
          </cell>
          <cell r="K140" t="str">
            <v>OK</v>
          </cell>
          <cell r="L140" t="str">
            <v>73120</v>
          </cell>
          <cell r="M140">
            <v>0.224</v>
          </cell>
          <cell r="N140" t="str">
            <v>I</v>
          </cell>
          <cell r="O140">
            <v>3733</v>
          </cell>
          <cell r="P140">
            <v>3729</v>
          </cell>
          <cell r="Q140">
            <v>48804332.75</v>
          </cell>
          <cell r="R140">
            <v>11793826.58</v>
          </cell>
          <cell r="S140">
            <v>72802.720000000001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AA140">
            <v>10932170.536</v>
          </cell>
          <cell r="AB140">
            <v>11866629.300000001</v>
          </cell>
          <cell r="AC140">
            <v>-934458.76400000043</v>
          </cell>
          <cell r="AE140">
            <v>25775177.530000091</v>
          </cell>
          <cell r="AF140">
            <v>2730642.1299999985</v>
          </cell>
          <cell r="AG140">
            <v>56775.391543357386</v>
          </cell>
          <cell r="AH140">
            <v>0</v>
          </cell>
          <cell r="AI140">
            <v>0</v>
          </cell>
          <cell r="AJ140">
            <v>0</v>
          </cell>
          <cell r="AL140">
            <v>5773639.7667200202</v>
          </cell>
          <cell r="AM140">
            <v>2787417.5215433557</v>
          </cell>
          <cell r="AN140">
            <v>2986222.2451766646</v>
          </cell>
          <cell r="AP140">
            <v>16705810.302720021</v>
          </cell>
          <cell r="AQ140">
            <v>14654046.821543356</v>
          </cell>
          <cell r="AR140">
            <v>2051763.4811766651</v>
          </cell>
          <cell r="AS140">
            <v>2051763.4811766651</v>
          </cell>
        </row>
        <row r="141">
          <cell r="B141" t="str">
            <v>100747140B</v>
          </cell>
          <cell r="G141" t="str">
            <v>Private - Specialty</v>
          </cell>
          <cell r="H141" t="str">
            <v xml:space="preserve">OKLAHOMA SPINE HOSPITAL </v>
          </cell>
          <cell r="I141" t="str">
            <v xml:space="preserve">14101 PARKWAY COMMONS DR  </v>
          </cell>
          <cell r="J141" t="str">
            <v xml:space="preserve">OKLAHOMA CITY  </v>
          </cell>
          <cell r="K141" t="str">
            <v>OK</v>
          </cell>
          <cell r="L141" t="str">
            <v>73134</v>
          </cell>
          <cell r="M141">
            <v>0.2291</v>
          </cell>
          <cell r="N141" t="str">
            <v>I</v>
          </cell>
          <cell r="O141">
            <v>2</v>
          </cell>
          <cell r="P141">
            <v>2</v>
          </cell>
          <cell r="Q141">
            <v>135575.10999999999</v>
          </cell>
          <cell r="R141">
            <v>18880.36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AA141">
            <v>31060.257700999995</v>
          </cell>
          <cell r="AB141">
            <v>18880.36</v>
          </cell>
          <cell r="AC141">
            <v>12179.897700999994</v>
          </cell>
          <cell r="AE141">
            <v>1340996.8</v>
          </cell>
          <cell r="AF141">
            <v>92846.09</v>
          </cell>
          <cell r="AG141">
            <v>8358.5500000000011</v>
          </cell>
          <cell r="AH141">
            <v>0</v>
          </cell>
          <cell r="AI141">
            <v>0</v>
          </cell>
          <cell r="AJ141">
            <v>0</v>
          </cell>
          <cell r="AL141">
            <v>307222.36687999999</v>
          </cell>
          <cell r="AM141">
            <v>101204.64</v>
          </cell>
          <cell r="AN141">
            <v>206017.72687999997</v>
          </cell>
          <cell r="AP141">
            <v>338282.62458099995</v>
          </cell>
          <cell r="AQ141">
            <v>120085</v>
          </cell>
          <cell r="AR141">
            <v>218197.62458099995</v>
          </cell>
          <cell r="AS141">
            <v>218197.62458099995</v>
          </cell>
        </row>
        <row r="142">
          <cell r="B142" t="str">
            <v>200108340A</v>
          </cell>
          <cell r="G142" t="str">
            <v>Private - Specialty</v>
          </cell>
          <cell r="H142" t="str">
            <v xml:space="preserve">ONECORE HEALTH </v>
          </cell>
          <cell r="I142" t="str">
            <v>1044 SW 44TH  SUITE 350</v>
          </cell>
          <cell r="J142" t="str">
            <v xml:space="preserve">OKLAHOMA CITY  </v>
          </cell>
          <cell r="K142" t="str">
            <v>OK</v>
          </cell>
          <cell r="L142" t="str">
            <v>73109</v>
          </cell>
          <cell r="M142">
            <v>0.15260000000000001</v>
          </cell>
          <cell r="N142" t="str">
            <v>I</v>
          </cell>
          <cell r="O142">
            <v>45</v>
          </cell>
          <cell r="P142">
            <v>45</v>
          </cell>
          <cell r="Q142">
            <v>527787.06000000006</v>
          </cell>
          <cell r="R142">
            <v>77081.399999999994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A142">
            <v>80540.305356000012</v>
          </cell>
          <cell r="AB142">
            <v>77081.399999999994</v>
          </cell>
          <cell r="AC142">
            <v>3458.9053560000175</v>
          </cell>
          <cell r="AE142">
            <v>3583438.3099999996</v>
          </cell>
          <cell r="AF142">
            <v>286101.87</v>
          </cell>
          <cell r="AG142">
            <v>47257.55</v>
          </cell>
          <cell r="AH142">
            <v>0</v>
          </cell>
          <cell r="AI142">
            <v>0</v>
          </cell>
          <cell r="AJ142">
            <v>0</v>
          </cell>
          <cell r="AL142">
            <v>546832.68610599998</v>
          </cell>
          <cell r="AM142">
            <v>333359.42</v>
          </cell>
          <cell r="AN142">
            <v>213473.266106</v>
          </cell>
          <cell r="AP142">
            <v>627372.99146199995</v>
          </cell>
          <cell r="AQ142">
            <v>410440.81999999995</v>
          </cell>
          <cell r="AR142">
            <v>216932.171462</v>
          </cell>
          <cell r="AS142">
            <v>216932.171462</v>
          </cell>
        </row>
        <row r="143">
          <cell r="B143" t="str">
            <v>100748450B</v>
          </cell>
          <cell r="G143" t="str">
            <v>Private - Specialty</v>
          </cell>
          <cell r="H143" t="str">
            <v xml:space="preserve">ORTHOPEDIC HOSPITAL OF OKLAHOMA </v>
          </cell>
          <cell r="I143" t="str">
            <v xml:space="preserve">2408 E. 81ST STREET  </v>
          </cell>
          <cell r="J143" t="str">
            <v xml:space="preserve">TULSA          </v>
          </cell>
          <cell r="K143" t="str">
            <v>OK</v>
          </cell>
          <cell r="L143" t="str">
            <v>74137</v>
          </cell>
          <cell r="M143">
            <v>0.26869999999999999</v>
          </cell>
          <cell r="N143" t="str">
            <v>I</v>
          </cell>
          <cell r="O143">
            <v>1187</v>
          </cell>
          <cell r="P143">
            <v>689</v>
          </cell>
          <cell r="Q143">
            <v>9885410.8300000001</v>
          </cell>
          <cell r="R143">
            <v>2554537.58</v>
          </cell>
          <cell r="S143">
            <v>292487.81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A143">
            <v>2656209.8900210001</v>
          </cell>
          <cell r="AB143">
            <v>2847025.39</v>
          </cell>
          <cell r="AC143">
            <v>-190815.49997900007</v>
          </cell>
          <cell r="AE143">
            <v>20940945.050000001</v>
          </cell>
          <cell r="AF143">
            <v>4660254.52999999</v>
          </cell>
          <cell r="AG143">
            <v>236612.59</v>
          </cell>
          <cell r="AH143">
            <v>0</v>
          </cell>
          <cell r="AI143">
            <v>0</v>
          </cell>
          <cell r="AJ143">
            <v>0</v>
          </cell>
          <cell r="AL143">
            <v>5626831.9349349998</v>
          </cell>
          <cell r="AM143">
            <v>4896867.1199999899</v>
          </cell>
          <cell r="AN143">
            <v>729964.81493500993</v>
          </cell>
          <cell r="AP143">
            <v>8283041.8249559999</v>
          </cell>
          <cell r="AQ143">
            <v>7743892.5099999905</v>
          </cell>
          <cell r="AR143">
            <v>539149.31495600939</v>
          </cell>
          <cell r="AS143">
            <v>539149.31495600939</v>
          </cell>
        </row>
        <row r="144">
          <cell r="B144" t="str">
            <v>200518600A</v>
          </cell>
          <cell r="G144" t="str">
            <v>Private - Specialty</v>
          </cell>
          <cell r="H144" t="str">
            <v xml:space="preserve">PAM SPECIALTY HOSPITAL OF TULSA </v>
          </cell>
          <cell r="I144" t="str">
            <v xml:space="preserve">3219 S 79TH E AVE  </v>
          </cell>
          <cell r="J144" t="str">
            <v xml:space="preserve">TULSA          </v>
          </cell>
          <cell r="K144" t="str">
            <v>OK</v>
          </cell>
          <cell r="L144" t="str">
            <v>74145</v>
          </cell>
          <cell r="M144">
            <v>0.13750000000000001</v>
          </cell>
          <cell r="N144" t="str">
            <v>I</v>
          </cell>
          <cell r="O144">
            <v>129</v>
          </cell>
          <cell r="P144">
            <v>129</v>
          </cell>
          <cell r="Q144">
            <v>1280420.3</v>
          </cell>
          <cell r="R144">
            <v>163512.91</v>
          </cell>
          <cell r="S144">
            <v>60328.08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AA144">
            <v>176057.79125000001</v>
          </cell>
          <cell r="AB144">
            <v>223840.99</v>
          </cell>
          <cell r="AC144">
            <v>-47783.198749999981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176057.79125000001</v>
          </cell>
          <cell r="AQ144">
            <v>223840.99</v>
          </cell>
          <cell r="AR144">
            <v>-47783.198749999981</v>
          </cell>
          <cell r="AS144">
            <v>-47783.198749999981</v>
          </cell>
        </row>
        <row r="145">
          <cell r="B145" t="str">
            <v>100700530A</v>
          </cell>
          <cell r="G145" t="str">
            <v>Private - Specialty</v>
          </cell>
          <cell r="H145" t="str">
            <v xml:space="preserve">SURGICAL HOSPITAL OF OKLAHOMA LLC </v>
          </cell>
          <cell r="I145" t="str">
            <v xml:space="preserve">100 SE 59TH ST  </v>
          </cell>
          <cell r="J145" t="str">
            <v xml:space="preserve">OKLAHOMA CITY  </v>
          </cell>
          <cell r="K145" t="str">
            <v>OK</v>
          </cell>
          <cell r="L145" t="str">
            <v>73129</v>
          </cell>
          <cell r="M145">
            <v>0.1943</v>
          </cell>
          <cell r="N145" t="str">
            <v>I</v>
          </cell>
          <cell r="O145">
            <v>105</v>
          </cell>
          <cell r="P145">
            <v>105</v>
          </cell>
          <cell r="Q145">
            <v>4307793.9799999995</v>
          </cell>
          <cell r="R145">
            <v>535770.31000000006</v>
          </cell>
          <cell r="S145">
            <v>0</v>
          </cell>
          <cell r="T145">
            <v>28315.77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865320.14031399996</v>
          </cell>
          <cell r="AB145">
            <v>564086.08000000007</v>
          </cell>
          <cell r="AC145">
            <v>301234.06031399989</v>
          </cell>
          <cell r="AE145">
            <v>20709528.829999998</v>
          </cell>
          <cell r="AF145">
            <v>2588363.96</v>
          </cell>
          <cell r="AG145">
            <v>151852.15</v>
          </cell>
          <cell r="AH145">
            <v>0</v>
          </cell>
          <cell r="AI145">
            <v>0</v>
          </cell>
          <cell r="AJ145">
            <v>0</v>
          </cell>
          <cell r="AL145">
            <v>4023861.4516689996</v>
          </cell>
          <cell r="AM145">
            <v>2740216.11</v>
          </cell>
          <cell r="AN145">
            <v>1283645.3416689998</v>
          </cell>
          <cell r="AP145">
            <v>4889181.5919829998</v>
          </cell>
          <cell r="AQ145">
            <v>3304302.19</v>
          </cell>
          <cell r="AR145">
            <v>1584879.4019829999</v>
          </cell>
          <cell r="AS145">
            <v>1584879.4019829999</v>
          </cell>
        </row>
        <row r="146">
          <cell r="B146" t="str">
            <v>200006260A</v>
          </cell>
          <cell r="G146" t="str">
            <v>Private - Specialty</v>
          </cell>
          <cell r="H146" t="str">
            <v xml:space="preserve">TULSA SPINE HOSPITAL </v>
          </cell>
          <cell r="I146" t="str">
            <v xml:space="preserve">6901 S OLYMPIA AVE  </v>
          </cell>
          <cell r="J146" t="str">
            <v xml:space="preserve">TULSA          </v>
          </cell>
          <cell r="K146" t="str">
            <v>OK</v>
          </cell>
          <cell r="L146" t="str">
            <v>74132</v>
          </cell>
          <cell r="M146">
            <v>0.14480000000000001</v>
          </cell>
          <cell r="N146" t="str">
            <v>I</v>
          </cell>
          <cell r="O146">
            <v>255</v>
          </cell>
          <cell r="P146">
            <v>255</v>
          </cell>
          <cell r="Q146">
            <v>9463916.1400000006</v>
          </cell>
          <cell r="R146">
            <v>1453282.71</v>
          </cell>
          <cell r="S146">
            <v>125966.84999999999</v>
          </cell>
          <cell r="T146">
            <v>0</v>
          </cell>
          <cell r="U146">
            <v>489040</v>
          </cell>
          <cell r="V146">
            <v>0</v>
          </cell>
          <cell r="W146">
            <v>0</v>
          </cell>
          <cell r="X146">
            <v>651661.36</v>
          </cell>
          <cell r="Y146">
            <v>0</v>
          </cell>
          <cell r="AA146">
            <v>1859415.0570720001</v>
          </cell>
          <cell r="AB146">
            <v>2230910.92</v>
          </cell>
          <cell r="AC146">
            <v>-371495.86292799981</v>
          </cell>
          <cell r="AE146">
            <v>44484012.179999895</v>
          </cell>
          <cell r="AF146">
            <v>4821894.09999994</v>
          </cell>
          <cell r="AG146">
            <v>570666.5</v>
          </cell>
          <cell r="AH146">
            <v>0</v>
          </cell>
          <cell r="AI146">
            <v>1141135</v>
          </cell>
          <cell r="AJ146">
            <v>1982091.7</v>
          </cell>
          <cell r="AL146">
            <v>7582419.963663985</v>
          </cell>
          <cell r="AM146">
            <v>7374652.2999999402</v>
          </cell>
          <cell r="AN146">
            <v>207767.66366404481</v>
          </cell>
          <cell r="AP146">
            <v>9441835.0207359847</v>
          </cell>
          <cell r="AQ146">
            <v>9605563.2199999392</v>
          </cell>
          <cell r="AR146">
            <v>-163728.19926395454</v>
          </cell>
          <cell r="AS146">
            <v>2470024.8607360455</v>
          </cell>
        </row>
        <row r="147">
          <cell r="B147" t="str">
            <v>100738360O</v>
          </cell>
          <cell r="C147" t="str">
            <v>100738360M</v>
          </cell>
          <cell r="G147" t="str">
            <v>Private Acute Psych Level II</v>
          </cell>
          <cell r="H147" t="str">
            <v xml:space="preserve">PARKSIDE PSYCHIATRIC HOSPITAL &amp; CLINIC </v>
          </cell>
          <cell r="I147" t="str">
            <v xml:space="preserve">1220 S. TRENTON AVE.  </v>
          </cell>
          <cell r="J147" t="str">
            <v xml:space="preserve">TULSA          </v>
          </cell>
          <cell r="K147" t="str">
            <v>OK</v>
          </cell>
          <cell r="L147" t="str">
            <v>74120</v>
          </cell>
          <cell r="M147">
            <v>0.43459234157912574</v>
          </cell>
          <cell r="N147" t="str">
            <v>I</v>
          </cell>
          <cell r="O147">
            <v>9416</v>
          </cell>
          <cell r="P147">
            <v>9403</v>
          </cell>
          <cell r="Q147">
            <v>8256425</v>
          </cell>
          <cell r="R147">
            <v>2719745.59</v>
          </cell>
          <cell r="S147">
            <v>64074.229999999996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A147">
            <v>3588179.0738224331</v>
          </cell>
          <cell r="AB147">
            <v>2783819.82</v>
          </cell>
          <cell r="AC147">
            <v>804359.2538224333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3588179.0738224331</v>
          </cell>
          <cell r="AQ147">
            <v>2783819.82</v>
          </cell>
          <cell r="AR147">
            <v>804359.2538224333</v>
          </cell>
          <cell r="AS147">
            <v>804359.2538224333</v>
          </cell>
        </row>
        <row r="148">
          <cell r="B148" t="str">
            <v>100699540K</v>
          </cell>
          <cell r="G148" t="str">
            <v>Private Hospital Based Psych Level II - Combined</v>
          </cell>
          <cell r="H148" t="str">
            <v xml:space="preserve">SSM HEALTH BEHAVIORAL HEALTH-OKC-RTC ACCENTS </v>
          </cell>
          <cell r="I148" t="str">
            <v xml:space="preserve">1000 N LEE AVE  </v>
          </cell>
          <cell r="J148" t="str">
            <v xml:space="preserve">OKLAHOMA CITY  </v>
          </cell>
          <cell r="K148" t="str">
            <v>OK</v>
          </cell>
          <cell r="L148" t="str">
            <v>73102</v>
          </cell>
          <cell r="M148">
            <v>0.235796465546149</v>
          </cell>
          <cell r="O148">
            <v>9345</v>
          </cell>
          <cell r="P148">
            <v>9345</v>
          </cell>
          <cell r="Q148">
            <v>14082988.890000001</v>
          </cell>
          <cell r="R148">
            <v>2746059.31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AA148">
            <v>3320719.0045876843</v>
          </cell>
          <cell r="AB148">
            <v>2746059.31</v>
          </cell>
          <cell r="AC148">
            <v>574659.69458768424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3320719.0045876843</v>
          </cell>
          <cell r="AQ148">
            <v>2746059.31</v>
          </cell>
          <cell r="AR148">
            <v>574659.69458768424</v>
          </cell>
          <cell r="AS148">
            <v>574659.69458768424</v>
          </cell>
        </row>
        <row r="149">
          <cell r="B149" t="str">
            <v>200752850A</v>
          </cell>
          <cell r="C149" t="str">
            <v>100689210U</v>
          </cell>
          <cell r="G149" t="str">
            <v>Public</v>
          </cell>
          <cell r="H149" t="str">
            <v xml:space="preserve">OU MEDICINE </v>
          </cell>
          <cell r="I149" t="str">
            <v xml:space="preserve">700 NE 13TH ST  </v>
          </cell>
          <cell r="J149" t="str">
            <v xml:space="preserve">OKLAHOMA CITY  </v>
          </cell>
          <cell r="K149" t="str">
            <v>OK</v>
          </cell>
          <cell r="L149" t="str">
            <v>73104</v>
          </cell>
          <cell r="M149">
            <v>0.13339999999999999</v>
          </cell>
          <cell r="N149" t="str">
            <v>I</v>
          </cell>
          <cell r="O149">
            <v>108873</v>
          </cell>
          <cell r="P149">
            <v>108873</v>
          </cell>
          <cell r="Q149">
            <v>2203325383.7200003</v>
          </cell>
          <cell r="R149">
            <v>173301330.88</v>
          </cell>
          <cell r="S149">
            <v>8402024.5299999993</v>
          </cell>
          <cell r="T149">
            <v>6502570.4799999995</v>
          </cell>
          <cell r="U149">
            <v>0</v>
          </cell>
          <cell r="V149">
            <v>2736695</v>
          </cell>
          <cell r="W149">
            <v>0</v>
          </cell>
          <cell r="X149">
            <v>0</v>
          </cell>
          <cell r="Y149">
            <v>146414890.48000002</v>
          </cell>
          <cell r="AA149">
            <v>300426176.66824806</v>
          </cell>
          <cell r="AB149">
            <v>337357511.37</v>
          </cell>
          <cell r="AC149">
            <v>-36931334.701751947</v>
          </cell>
          <cell r="AE149">
            <v>703060457.32999098</v>
          </cell>
          <cell r="AF149">
            <v>46603583.549999714</v>
          </cell>
          <cell r="AG149">
            <v>3220996.7801897698</v>
          </cell>
          <cell r="AH149">
            <v>19717849.0545687</v>
          </cell>
          <cell r="AI149">
            <v>0</v>
          </cell>
          <cell r="AJ149">
            <v>0</v>
          </cell>
          <cell r="AL149">
            <v>113506114.06238949</v>
          </cell>
          <cell r="AM149">
            <v>69542429.384758174</v>
          </cell>
          <cell r="AN149">
            <v>43963684.677631319</v>
          </cell>
          <cell r="AP149">
            <v>413932290.73063755</v>
          </cell>
          <cell r="AQ149">
            <v>406899940.75475818</v>
          </cell>
          <cell r="AR149">
            <v>7032349.9758793712</v>
          </cell>
          <cell r="AS149">
            <v>7032349.9758793712</v>
          </cell>
        </row>
        <row r="150">
          <cell r="B150" t="str">
            <v>100690030B</v>
          </cell>
          <cell r="G150" t="str">
            <v>Public - Psychiatric Hospital</v>
          </cell>
          <cell r="H150" t="str">
            <v xml:space="preserve">GRIFFIN MEMORIAL HOSPITAL </v>
          </cell>
          <cell r="I150" t="str">
            <v xml:space="preserve">900 E MAIN  </v>
          </cell>
          <cell r="J150" t="str">
            <v xml:space="preserve">NORMAN         </v>
          </cell>
          <cell r="K150" t="str">
            <v>OK</v>
          </cell>
          <cell r="L150" t="str">
            <v>73071</v>
          </cell>
          <cell r="M150">
            <v>0.87944991232764058</v>
          </cell>
          <cell r="N150" t="str">
            <v>I</v>
          </cell>
          <cell r="O150">
            <v>3576</v>
          </cell>
          <cell r="P150">
            <v>2762</v>
          </cell>
          <cell r="Q150">
            <v>2136445.94</v>
          </cell>
          <cell r="R150">
            <v>1647815.13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A150">
            <v>1878897.1946257437</v>
          </cell>
          <cell r="AB150">
            <v>1647815.13</v>
          </cell>
          <cell r="AC150">
            <v>231082.06462574378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1878897.1946257437</v>
          </cell>
          <cell r="AQ150">
            <v>1647815.13</v>
          </cell>
          <cell r="AR150">
            <v>231082.06462574378</v>
          </cell>
          <cell r="AS150">
            <v>231082.06462574378</v>
          </cell>
        </row>
        <row r="151">
          <cell r="B151" t="str">
            <v>100700660B</v>
          </cell>
          <cell r="G151" t="str">
            <v>Public - Psychiatric Hospital</v>
          </cell>
          <cell r="H151" t="str">
            <v xml:space="preserve">JIM TALIAFERRO MHC </v>
          </cell>
          <cell r="I151" t="str">
            <v xml:space="preserve">602 SW 38TH STREET  </v>
          </cell>
          <cell r="J151" t="str">
            <v xml:space="preserve">LAWTON         </v>
          </cell>
          <cell r="K151" t="str">
            <v>OK</v>
          </cell>
          <cell r="L151" t="str">
            <v>73505</v>
          </cell>
          <cell r="M151">
            <v>2.0884299010972245</v>
          </cell>
          <cell r="N151" t="str">
            <v>I</v>
          </cell>
          <cell r="O151">
            <v>1287</v>
          </cell>
          <cell r="P151">
            <v>1287</v>
          </cell>
          <cell r="Q151">
            <v>796984.96</v>
          </cell>
          <cell r="R151">
            <v>767734.86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AA151">
            <v>1664447.2211887753</v>
          </cell>
          <cell r="AB151">
            <v>767734.86</v>
          </cell>
          <cell r="AC151">
            <v>896712.36118877528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1664447.2211887753</v>
          </cell>
          <cell r="AQ151">
            <v>767734.86</v>
          </cell>
          <cell r="AR151">
            <v>896712.36118877528</v>
          </cell>
          <cell r="AS151">
            <v>896712.36118877528</v>
          </cell>
        </row>
        <row r="152">
          <cell r="B152" t="str">
            <v>100704080B</v>
          </cell>
          <cell r="G152" t="str">
            <v>Public - Psychiatric Hospital</v>
          </cell>
          <cell r="H152" t="str">
            <v xml:space="preserve">NORTHWEST CENTER FOR BEHAVIORAL HEALTH </v>
          </cell>
          <cell r="I152" t="str">
            <v>193461 E. COUNTY RD. 304  PO BOX 1</v>
          </cell>
          <cell r="J152" t="str">
            <v xml:space="preserve">FORT SUPPLY    </v>
          </cell>
          <cell r="K152" t="str">
            <v>OK</v>
          </cell>
          <cell r="L152" t="str">
            <v>73841</v>
          </cell>
          <cell r="M152">
            <v>1</v>
          </cell>
          <cell r="N152" t="str">
            <v>I</v>
          </cell>
          <cell r="O152">
            <v>2342</v>
          </cell>
          <cell r="P152">
            <v>2019</v>
          </cell>
          <cell r="Q152">
            <v>1396815.12</v>
          </cell>
          <cell r="R152">
            <v>1204122.6400000001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AA152">
            <v>1396815.12</v>
          </cell>
          <cell r="AB152">
            <v>1204122.6400000001</v>
          </cell>
          <cell r="AC152">
            <v>192692.47999999998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1396815.12</v>
          </cell>
          <cell r="AQ152">
            <v>1204122.6400000001</v>
          </cell>
          <cell r="AR152">
            <v>192692.47999999998</v>
          </cell>
          <cell r="AS152">
            <v>192692.47999999998</v>
          </cell>
        </row>
        <row r="153">
          <cell r="B153" t="str">
            <v>100700640C</v>
          </cell>
          <cell r="G153" t="str">
            <v>Public - Psychiatric Hospital</v>
          </cell>
          <cell r="H153" t="str">
            <v xml:space="preserve">CARL ALBERT COMM MHC </v>
          </cell>
          <cell r="I153" t="str">
            <v xml:space="preserve">1101 E MONROE  </v>
          </cell>
          <cell r="J153" t="str">
            <v xml:space="preserve">MCALESTER      </v>
          </cell>
          <cell r="K153" t="str">
            <v>OK</v>
          </cell>
          <cell r="L153" t="str">
            <v>74501</v>
          </cell>
          <cell r="M153">
            <v>1.6822633588809603</v>
          </cell>
          <cell r="O153">
            <v>1892</v>
          </cell>
          <cell r="P153">
            <v>1892</v>
          </cell>
          <cell r="Q153">
            <v>1130356.48</v>
          </cell>
          <cell r="R153">
            <v>1128873.97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AA153">
            <v>1901557.2887776589</v>
          </cell>
          <cell r="AB153">
            <v>1128873.97</v>
          </cell>
          <cell r="AC153">
            <v>772683.31877765898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1901557.2887776589</v>
          </cell>
          <cell r="AQ153">
            <v>1128873.97</v>
          </cell>
          <cell r="AR153">
            <v>772683.31877765898</v>
          </cell>
          <cell r="AS153">
            <v>772683.31877765898</v>
          </cell>
        </row>
        <row r="163">
          <cell r="B163" t="str">
            <v>100699740B</v>
          </cell>
          <cell r="G163" t="str">
            <v>Private-Combined</v>
          </cell>
          <cell r="H163" t="str">
            <v xml:space="preserve">INTEGRIS BAPTIST MEDICAL CENTER, INC </v>
          </cell>
          <cell r="I163" t="str">
            <v xml:space="preserve">5501 N PORTLAND  </v>
          </cell>
          <cell r="J163" t="str">
            <v xml:space="preserve">OKLAHOMA CITY  </v>
          </cell>
          <cell r="K163" t="str">
            <v>OK</v>
          </cell>
          <cell r="L163" t="str">
            <v>73112</v>
          </cell>
          <cell r="M163">
            <v>0.12230000000000001</v>
          </cell>
          <cell r="O163">
            <v>1101</v>
          </cell>
          <cell r="P163">
            <v>1101</v>
          </cell>
          <cell r="Q163">
            <v>17412855.449999999</v>
          </cell>
          <cell r="R163">
            <v>1760633.22</v>
          </cell>
          <cell r="S163">
            <v>3943.25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AA163">
            <v>2129592.221535</v>
          </cell>
          <cell r="AB163">
            <v>1764576.47</v>
          </cell>
          <cell r="AC163">
            <v>365015.75153500005</v>
          </cell>
          <cell r="AE163">
            <v>32035784.190000102</v>
          </cell>
          <cell r="AF163">
            <v>2340907.1700000102</v>
          </cell>
          <cell r="AG163">
            <v>242298.93</v>
          </cell>
          <cell r="AH163">
            <v>0</v>
          </cell>
          <cell r="AI163">
            <v>0</v>
          </cell>
          <cell r="AJ163">
            <v>0</v>
          </cell>
          <cell r="AL163">
            <v>3917976.4064370128</v>
          </cell>
          <cell r="AM163">
            <v>2583206.1000000103</v>
          </cell>
          <cell r="AN163">
            <v>1334770.3064370025</v>
          </cell>
          <cell r="AP163">
            <v>6047568.6279720124</v>
          </cell>
          <cell r="AQ163">
            <v>4347782.5700000105</v>
          </cell>
          <cell r="AR163">
            <v>1699786.0579720018</v>
          </cell>
          <cell r="AS163">
            <v>1699786.0579720018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Hospital Access Payments"/>
      <sheetName val="2022 CAH Payments"/>
    </sheetNames>
    <sheetDataSet>
      <sheetData sheetId="0">
        <row r="2">
          <cell r="B2" t="str">
            <v>200439230A</v>
          </cell>
          <cell r="C2" t="str">
            <v>AHS SOUTHCREST HOSPITAL LLC (AHS HILLCREST SOUTH)</v>
          </cell>
          <cell r="D2">
            <v>1</v>
          </cell>
          <cell r="E2"/>
          <cell r="F2">
            <v>2355357.64</v>
          </cell>
          <cell r="G2">
            <v>371668.38</v>
          </cell>
          <cell r="H2">
            <v>2727026.02</v>
          </cell>
        </row>
        <row r="3">
          <cell r="B3" t="str">
            <v>100696610B</v>
          </cell>
          <cell r="C3" t="str">
            <v>ALLIANCE HEALTH DURANT (MED. CTR. OF SOUTHEASTERN OKLAHOMA)</v>
          </cell>
          <cell r="D3">
            <v>1</v>
          </cell>
          <cell r="E3"/>
          <cell r="F3">
            <v>1709904.25</v>
          </cell>
          <cell r="G3">
            <v>437825.78</v>
          </cell>
          <cell r="H3">
            <v>2147730.0300000003</v>
          </cell>
        </row>
        <row r="4">
          <cell r="B4" t="str">
            <v>200102450A</v>
          </cell>
          <cell r="C4" t="str">
            <v>BAILEY MEDICAL CENTER LLC</v>
          </cell>
          <cell r="D4">
            <v>1</v>
          </cell>
          <cell r="E4"/>
          <cell r="F4">
            <v>135210.76999999999</v>
          </cell>
          <cell r="G4">
            <v>160824.79999999999</v>
          </cell>
          <cell r="H4">
            <v>296035.56999999995</v>
          </cell>
        </row>
        <row r="5">
          <cell r="B5" t="str">
            <v>200573000A</v>
          </cell>
          <cell r="C5" t="str">
            <v>BRISTOW ENDEAVOR HEALTHCARE, LLC</v>
          </cell>
          <cell r="D5">
            <v>1</v>
          </cell>
          <cell r="E5"/>
          <cell r="F5">
            <v>284763.26</v>
          </cell>
          <cell r="G5">
            <v>175437.44</v>
          </cell>
          <cell r="H5">
            <v>460200.7</v>
          </cell>
        </row>
        <row r="6">
          <cell r="B6" t="str">
            <v>100701410E</v>
          </cell>
          <cell r="C6" t="str">
            <v>BROOKHAVEN HOSPITAL</v>
          </cell>
          <cell r="D6">
            <v>1</v>
          </cell>
          <cell r="E6"/>
          <cell r="F6">
            <v>0</v>
          </cell>
          <cell r="G6">
            <v>0</v>
          </cell>
          <cell r="H6">
            <v>0</v>
          </cell>
        </row>
        <row r="7">
          <cell r="B7" t="str">
            <v>200085660H</v>
          </cell>
          <cell r="C7" t="str">
            <v>CEDAR RIDGE PSYCHIATRIC HOSPITAL</v>
          </cell>
          <cell r="D7">
            <v>1</v>
          </cell>
          <cell r="E7"/>
          <cell r="F7">
            <v>1874705.88</v>
          </cell>
          <cell r="G7">
            <v>0</v>
          </cell>
          <cell r="H7">
            <v>1874705.88</v>
          </cell>
        </row>
        <row r="8">
          <cell r="B8" t="str">
            <v>100700010G</v>
          </cell>
          <cell r="C8" t="str">
            <v>CLINTON HMA LLC</v>
          </cell>
          <cell r="D8">
            <v>1</v>
          </cell>
          <cell r="E8"/>
          <cell r="F8">
            <v>190341.55</v>
          </cell>
          <cell r="G8">
            <v>85089.09</v>
          </cell>
          <cell r="H8">
            <v>275430.64</v>
          </cell>
        </row>
        <row r="9">
          <cell r="B9" t="str">
            <v>100700120A</v>
          </cell>
          <cell r="C9" t="str">
            <v>DUNCAN REGIONAL HOSPITAL</v>
          </cell>
          <cell r="D9">
            <v>1</v>
          </cell>
          <cell r="E9"/>
          <cell r="F9">
            <v>714416.84</v>
          </cell>
          <cell r="G9">
            <v>398474.67</v>
          </cell>
          <cell r="H9">
            <v>1112891.51</v>
          </cell>
        </row>
        <row r="10">
          <cell r="B10" t="str">
            <v>100699410A</v>
          </cell>
          <cell r="C10" t="str">
            <v>GREAT PLAINS REGIONAL MEDICAL CENTER</v>
          </cell>
          <cell r="D10">
            <v>1</v>
          </cell>
          <cell r="E10"/>
          <cell r="F10">
            <v>441695.71</v>
          </cell>
          <cell r="G10">
            <v>225341.3</v>
          </cell>
          <cell r="H10">
            <v>667037.01</v>
          </cell>
        </row>
        <row r="11">
          <cell r="B11" t="str">
            <v>200045700C</v>
          </cell>
          <cell r="C11" t="str">
            <v>HENRYETTA MEDICAL CENTER</v>
          </cell>
          <cell r="D11">
            <v>1</v>
          </cell>
          <cell r="E11"/>
          <cell r="F11">
            <v>102869.33</v>
          </cell>
          <cell r="G11">
            <v>92028.67</v>
          </cell>
          <cell r="H11">
            <v>194898</v>
          </cell>
        </row>
        <row r="12">
          <cell r="B12" t="str">
            <v>200435950A</v>
          </cell>
          <cell r="C12" t="str">
            <v>HILLCREST HOSPITAL CLAREMORE (AHS CLAREMORE REGIONAL HOSPITAL)</v>
          </cell>
          <cell r="D12">
            <v>1</v>
          </cell>
          <cell r="E12"/>
          <cell r="F12">
            <v>700105.8</v>
          </cell>
          <cell r="G12">
            <v>226195.62</v>
          </cell>
          <cell r="H12">
            <v>926301.42</v>
          </cell>
        </row>
        <row r="13">
          <cell r="B13" t="str">
            <v>200044190A</v>
          </cell>
          <cell r="C13" t="str">
            <v>HILLCREST HOSPITAL CUSHING (CUSHING REGIONAL HOSPITAL)</v>
          </cell>
          <cell r="D13">
            <v>1</v>
          </cell>
          <cell r="E13"/>
          <cell r="F13">
            <v>101028.3</v>
          </cell>
          <cell r="G13">
            <v>99018.28</v>
          </cell>
          <cell r="H13">
            <v>200046.58000000002</v>
          </cell>
        </row>
        <row r="14">
          <cell r="B14" t="str">
            <v>200044210A</v>
          </cell>
          <cell r="C14" t="str">
            <v>HILLCREST MEDICAL CENTER</v>
          </cell>
          <cell r="D14">
            <v>1</v>
          </cell>
          <cell r="E14"/>
          <cell r="F14">
            <v>10794899.359999999</v>
          </cell>
          <cell r="G14">
            <v>989899.17</v>
          </cell>
          <cell r="H14">
            <v>11784798.529999999</v>
          </cell>
        </row>
        <row r="15">
          <cell r="B15" t="str">
            <v>100806400C</v>
          </cell>
          <cell r="C15" t="str">
            <v>INTEGRIS BAPTIST MEDICAL CENTER</v>
          </cell>
          <cell r="D15">
            <v>1</v>
          </cell>
          <cell r="E15"/>
          <cell r="F15">
            <v>13245398.049999999</v>
          </cell>
          <cell r="G15">
            <v>1422487.64</v>
          </cell>
          <cell r="H15">
            <v>14667885.689999999</v>
          </cell>
        </row>
        <row r="16">
          <cell r="B16" t="str">
            <v>100699500A</v>
          </cell>
          <cell r="C16" t="str">
            <v>INTEGRIS BASS MEM BAP</v>
          </cell>
          <cell r="D16">
            <v>1</v>
          </cell>
          <cell r="E16"/>
          <cell r="F16">
            <v>1232470.82</v>
          </cell>
          <cell r="G16">
            <v>283295.11</v>
          </cell>
          <cell r="H16">
            <v>1515765.9300000002</v>
          </cell>
        </row>
        <row r="17">
          <cell r="B17" t="str">
            <v>100700610A</v>
          </cell>
          <cell r="C17" t="str">
            <v>INTEGRIS CANADIAN VALLEY HOSPITAL</v>
          </cell>
          <cell r="D17">
            <v>1</v>
          </cell>
          <cell r="E17"/>
          <cell r="F17">
            <v>1046460.82</v>
          </cell>
          <cell r="G17">
            <v>249928.48</v>
          </cell>
          <cell r="H17">
            <v>1296389.3</v>
          </cell>
        </row>
        <row r="18">
          <cell r="B18" t="str">
            <v>200834400A</v>
          </cell>
          <cell r="C18" t="str">
            <v>INTEGRIS COMMUNITY HOSPITAL COUNCIL CROSSING</v>
          </cell>
          <cell r="D18">
            <v>1</v>
          </cell>
          <cell r="E18"/>
          <cell r="F18">
            <v>6749.13</v>
          </cell>
          <cell r="G18">
            <v>339979.48</v>
          </cell>
          <cell r="H18">
            <v>346728.61</v>
          </cell>
        </row>
        <row r="19">
          <cell r="B19" t="str">
            <v>100699700A</v>
          </cell>
          <cell r="C19" t="str">
            <v>INTEGRIS GROVE HOSPITAL</v>
          </cell>
          <cell r="D19">
            <v>1</v>
          </cell>
          <cell r="E19"/>
          <cell r="F19">
            <v>482554.39</v>
          </cell>
          <cell r="G19">
            <v>202315.48</v>
          </cell>
          <cell r="H19">
            <v>684869.87</v>
          </cell>
        </row>
        <row r="20">
          <cell r="B20" t="str">
            <v>200405550A</v>
          </cell>
          <cell r="C20" t="str">
            <v>INTEGRIS HEALTH EDMOND, INC.</v>
          </cell>
          <cell r="D20">
            <v>1</v>
          </cell>
          <cell r="E20"/>
          <cell r="F20">
            <v>651614.41</v>
          </cell>
          <cell r="G20">
            <v>177008.97</v>
          </cell>
          <cell r="H20">
            <v>828623.38</v>
          </cell>
        </row>
        <row r="21">
          <cell r="B21" t="str">
            <v>100699440A</v>
          </cell>
          <cell r="C21" t="str">
            <v>INTEGRIS MIAMI HOSPITAL (INTEGRIS BAPT. REGIONAL HEALTH CTR)</v>
          </cell>
          <cell r="D21">
            <v>1</v>
          </cell>
          <cell r="E21"/>
          <cell r="F21">
            <v>411184.45</v>
          </cell>
          <cell r="G21">
            <v>201062.32</v>
          </cell>
          <cell r="H21">
            <v>612246.77</v>
          </cell>
        </row>
        <row r="22">
          <cell r="B22" t="str">
            <v>100700200A</v>
          </cell>
          <cell r="C22" t="str">
            <v>INTEGRIS SOUTHWEST MEDICAL</v>
          </cell>
          <cell r="D22">
            <v>1</v>
          </cell>
          <cell r="E22"/>
          <cell r="F22">
            <v>4414742.7300000004</v>
          </cell>
          <cell r="G22">
            <v>787751.72</v>
          </cell>
          <cell r="H22">
            <v>5202494.45</v>
          </cell>
        </row>
        <row r="23">
          <cell r="B23" t="str">
            <v>100699490A</v>
          </cell>
          <cell r="C23" t="str">
            <v>JANE PHILLIPS EP HSP</v>
          </cell>
          <cell r="D23">
            <v>1</v>
          </cell>
          <cell r="E23"/>
          <cell r="F23">
            <v>909504.12</v>
          </cell>
          <cell r="G23">
            <v>313651.08</v>
          </cell>
          <cell r="H23">
            <v>1223155.2</v>
          </cell>
        </row>
        <row r="24">
          <cell r="B24" t="str">
            <v>100699420A</v>
          </cell>
          <cell r="C24" t="str">
            <v>KAY COUNTY OKLAHOMA HOSPITAL (PONCA CITY MEDICAL CENTER)</v>
          </cell>
          <cell r="D24">
            <v>1</v>
          </cell>
          <cell r="E24"/>
          <cell r="F24">
            <v>560520.53</v>
          </cell>
          <cell r="G24">
            <v>219093.2</v>
          </cell>
          <cell r="H24">
            <v>779613.73</v>
          </cell>
        </row>
        <row r="25">
          <cell r="B25" t="str">
            <v>100700380P</v>
          </cell>
          <cell r="C25" t="str">
            <v>LAUREATE PSY CLINIC &amp; HOSP</v>
          </cell>
          <cell r="D25">
            <v>1</v>
          </cell>
          <cell r="E25"/>
          <cell r="F25">
            <v>479117.76</v>
          </cell>
          <cell r="G25">
            <v>0</v>
          </cell>
          <cell r="H25">
            <v>479117.76</v>
          </cell>
        </row>
        <row r="26">
          <cell r="B26" t="str">
            <v>200735850A</v>
          </cell>
          <cell r="C26" t="str">
            <v>HILLCREST HOSPITAL PRYOR (MAYES COUNTY HMA LLC) (INTEGRIS MAYES COUNTY MEDICAL CENTER)</v>
          </cell>
          <cell r="D26">
            <v>1</v>
          </cell>
          <cell r="E26"/>
          <cell r="F26">
            <v>73292.160000000003</v>
          </cell>
          <cell r="G26">
            <v>167103.34</v>
          </cell>
          <cell r="H26">
            <v>240395.5</v>
          </cell>
        </row>
        <row r="27">
          <cell r="B27" t="str">
            <v>100700030A</v>
          </cell>
          <cell r="C27" t="str">
            <v>MEMORIAL HOSPITAL (ADAIR COUNTY HEALTH CENTER)</v>
          </cell>
          <cell r="D27">
            <v>1</v>
          </cell>
          <cell r="E27"/>
          <cell r="F27">
            <v>154226.23999999999</v>
          </cell>
          <cell r="G27">
            <v>61796.36</v>
          </cell>
          <cell r="H27">
            <v>216022.59999999998</v>
          </cell>
        </row>
        <row r="28">
          <cell r="B28" t="str">
            <v>100699390A</v>
          </cell>
          <cell r="C28" t="str">
            <v>MERCY HEALTH CENTER</v>
          </cell>
          <cell r="D28">
            <v>1</v>
          </cell>
          <cell r="E28"/>
          <cell r="F28">
            <v>4048923.14</v>
          </cell>
          <cell r="G28">
            <v>1039642.78</v>
          </cell>
          <cell r="H28">
            <v>5088565.92</v>
          </cell>
        </row>
        <row r="29">
          <cell r="B29" t="str">
            <v>200509290A</v>
          </cell>
          <cell r="C29" t="str">
            <v>MERCY HOSPITAL ADA, INC.</v>
          </cell>
          <cell r="D29">
            <v>1</v>
          </cell>
          <cell r="E29"/>
          <cell r="F29">
            <v>1037287.26</v>
          </cell>
          <cell r="G29">
            <v>296746.15999999997</v>
          </cell>
          <cell r="H29">
            <v>1334033.42</v>
          </cell>
        </row>
        <row r="30">
          <cell r="B30" t="str">
            <v>100262320C</v>
          </cell>
          <cell r="C30" t="str">
            <v>MERCY HOSPITAL ARDMORE (MERCY MEMORIAL HEALTH CENTER)</v>
          </cell>
          <cell r="D30">
            <v>1</v>
          </cell>
          <cell r="E30"/>
          <cell r="F30">
            <v>1252984.42</v>
          </cell>
          <cell r="G30">
            <v>516971.22</v>
          </cell>
          <cell r="H30">
            <v>1769955.64</v>
          </cell>
        </row>
        <row r="31">
          <cell r="B31" t="str">
            <v>200479750A</v>
          </cell>
          <cell r="C31" t="str">
            <v>MERCY REHABILITATION HOSPITAL, LLC</v>
          </cell>
          <cell r="D31">
            <v>1</v>
          </cell>
          <cell r="E31"/>
          <cell r="F31">
            <v>16717.53</v>
          </cell>
          <cell r="G31">
            <v>0</v>
          </cell>
          <cell r="H31">
            <v>16717.53</v>
          </cell>
        </row>
        <row r="32">
          <cell r="B32" t="str">
            <v>200423910P</v>
          </cell>
          <cell r="C32" t="str">
            <v>SSM HEALTH ST. ANTHONY HOSPITAL - MIDWEST</v>
          </cell>
          <cell r="D32">
            <v>1</v>
          </cell>
          <cell r="E32"/>
          <cell r="F32">
            <v>1128976.0900000001</v>
          </cell>
          <cell r="G32">
            <v>196814.09</v>
          </cell>
          <cell r="H32">
            <v>1325790.1800000002</v>
          </cell>
        </row>
        <row r="33">
          <cell r="B33" t="str">
            <v>200718040B</v>
          </cell>
          <cell r="C33" t="str">
            <v>OAKWOOD SPRINGS</v>
          </cell>
          <cell r="D33">
            <v>1</v>
          </cell>
          <cell r="E33"/>
          <cell r="F33">
            <v>371008.05</v>
          </cell>
          <cell r="G33">
            <v>0</v>
          </cell>
          <cell r="H33">
            <v>371008.05</v>
          </cell>
        </row>
        <row r="34">
          <cell r="B34" t="str">
            <v>200242900A</v>
          </cell>
          <cell r="C34" t="str">
            <v>OKLAHOMA STATE UNIVERSITY MEDICAL TRUST</v>
          </cell>
          <cell r="D34">
            <v>1</v>
          </cell>
          <cell r="E34"/>
          <cell r="F34">
            <v>2925969.77</v>
          </cell>
          <cell r="G34">
            <v>506656.36</v>
          </cell>
          <cell r="H34">
            <v>3432626.13</v>
          </cell>
        </row>
        <row r="35">
          <cell r="B35" t="str">
            <v>200994090B</v>
          </cell>
          <cell r="C35" t="str">
            <v>PAULS VALLEY HOSPITAL</v>
          </cell>
          <cell r="D35">
            <v>1</v>
          </cell>
          <cell r="E35"/>
          <cell r="F35">
            <v>3828.39</v>
          </cell>
          <cell r="G35">
            <v>8815.7800000000007</v>
          </cell>
          <cell r="H35">
            <v>12644.17</v>
          </cell>
        </row>
        <row r="36">
          <cell r="B36" t="str">
            <v>200707260A</v>
          </cell>
          <cell r="C36" t="str">
            <v>PAM REHABILITATION HOSPITAL OF TULSA</v>
          </cell>
          <cell r="D36">
            <v>1</v>
          </cell>
          <cell r="E36"/>
          <cell r="F36">
            <v>47720.14</v>
          </cell>
          <cell r="G36">
            <v>0</v>
          </cell>
          <cell r="H36">
            <v>47720.14</v>
          </cell>
        </row>
        <row r="37">
          <cell r="B37" t="str">
            <v>100738360L</v>
          </cell>
          <cell r="C37" t="str">
            <v>PARKSIDE PSYCHIATRIC HOSPITAL &amp; CLINIC</v>
          </cell>
          <cell r="D37">
            <v>1</v>
          </cell>
          <cell r="E37"/>
          <cell r="F37">
            <v>1413661.24</v>
          </cell>
          <cell r="G37">
            <v>0</v>
          </cell>
          <cell r="H37">
            <v>1413661.24</v>
          </cell>
        </row>
        <row r="38">
          <cell r="B38" t="str">
            <v>100701680L</v>
          </cell>
          <cell r="C38" t="str">
            <v>ROLLING HILLS HOSPITAL, LLC</v>
          </cell>
          <cell r="D38">
            <v>1</v>
          </cell>
          <cell r="E38"/>
          <cell r="F38">
            <v>270852.47999999998</v>
          </cell>
          <cell r="G38">
            <v>2848.99</v>
          </cell>
          <cell r="H38">
            <v>273701.46999999997</v>
          </cell>
        </row>
        <row r="39">
          <cell r="B39" t="str">
            <v>100699570A</v>
          </cell>
          <cell r="C39" t="str">
            <v>SAINT FRANCIS HOSPITAL</v>
          </cell>
          <cell r="D39">
            <v>1</v>
          </cell>
          <cell r="E39"/>
          <cell r="F39">
            <v>21881970.98</v>
          </cell>
          <cell r="G39">
            <v>2316665.92</v>
          </cell>
          <cell r="H39">
            <v>24198636.899999999</v>
          </cell>
        </row>
        <row r="40">
          <cell r="B40" t="str">
            <v>200031310A</v>
          </cell>
          <cell r="C40" t="str">
            <v>SAINT FRANCIS HOSPITAL SOUTH</v>
          </cell>
          <cell r="D40">
            <v>1</v>
          </cell>
          <cell r="E40"/>
          <cell r="F40">
            <v>1611383.69</v>
          </cell>
          <cell r="G40">
            <v>430100.8</v>
          </cell>
          <cell r="H40">
            <v>2041484.49</v>
          </cell>
        </row>
        <row r="41">
          <cell r="B41" t="str">
            <v>200702430B</v>
          </cell>
          <cell r="C41" t="str">
            <v>SAINT FRANCIS HOSPITAL VINITA (CRAIG GENERAL HOSPITAL)</v>
          </cell>
          <cell r="D41">
            <v>1</v>
          </cell>
          <cell r="E41"/>
          <cell r="F41">
            <v>162017.54</v>
          </cell>
          <cell r="G41">
            <v>96545.71</v>
          </cell>
          <cell r="H41">
            <v>258563.25</v>
          </cell>
        </row>
        <row r="42">
          <cell r="B42" t="str">
            <v>200700900A</v>
          </cell>
          <cell r="C42" t="str">
            <v>SAINT FRANCIS HOSPITAL MUSKOGEE INC (MUSKOGEE REGIONAL MEDICAL CENTER)</v>
          </cell>
          <cell r="D42">
            <v>1</v>
          </cell>
          <cell r="E42"/>
          <cell r="F42">
            <v>3023722.86</v>
          </cell>
          <cell r="G42">
            <v>678053.96</v>
          </cell>
          <cell r="H42">
            <v>3701776.82</v>
          </cell>
        </row>
        <row r="43">
          <cell r="B43" t="str">
            <v>200196450C</v>
          </cell>
          <cell r="C43" t="str">
            <v>SEMINOLE HMA LLC</v>
          </cell>
          <cell r="D43">
            <v>1</v>
          </cell>
          <cell r="E43"/>
          <cell r="F43">
            <v>74842.210000000006</v>
          </cell>
          <cell r="G43">
            <v>128771.75</v>
          </cell>
          <cell r="H43">
            <v>203613.96000000002</v>
          </cell>
        </row>
        <row r="44">
          <cell r="B44" t="str">
            <v>100697950B</v>
          </cell>
          <cell r="C44" t="str">
            <v>SOUTHWESTERN MEDICAL CENTER</v>
          </cell>
          <cell r="D44">
            <v>1</v>
          </cell>
          <cell r="E44"/>
          <cell r="F44">
            <v>1177236.9099999999</v>
          </cell>
          <cell r="G44">
            <v>185426.38</v>
          </cell>
          <cell r="H44">
            <v>1362663.29</v>
          </cell>
        </row>
        <row r="45">
          <cell r="B45" t="str">
            <v>100699540A</v>
          </cell>
          <cell r="C45" t="str">
            <v>SSM HEALTH ST. ANTHONY HOSPITAL-OKC</v>
          </cell>
          <cell r="D45">
            <v>1</v>
          </cell>
          <cell r="E45"/>
          <cell r="F45">
            <v>9311942.6199999992</v>
          </cell>
          <cell r="G45">
            <v>1498180.63</v>
          </cell>
          <cell r="H45">
            <v>10810123.25</v>
          </cell>
        </row>
        <row r="46">
          <cell r="B46" t="str">
            <v>200310990A</v>
          </cell>
          <cell r="C46" t="str">
            <v>ST JOHN BROKEN ARROW, INC</v>
          </cell>
          <cell r="D46">
            <v>1</v>
          </cell>
          <cell r="E46"/>
          <cell r="F46">
            <v>157028.26</v>
          </cell>
          <cell r="G46">
            <v>227364.29</v>
          </cell>
          <cell r="H46">
            <v>384392.55000000005</v>
          </cell>
        </row>
        <row r="47">
          <cell r="B47" t="str">
            <v>100699400A</v>
          </cell>
          <cell r="C47" t="str">
            <v>ST JOHN MED CTR</v>
          </cell>
          <cell r="D47">
            <v>1</v>
          </cell>
          <cell r="E47"/>
          <cell r="F47">
            <v>9513312.2200000007</v>
          </cell>
          <cell r="G47">
            <v>700985.37</v>
          </cell>
          <cell r="H47">
            <v>10214297.59</v>
          </cell>
        </row>
        <row r="48">
          <cell r="B48" t="str">
            <v>200106410A</v>
          </cell>
          <cell r="C48" t="str">
            <v>ST JOHN OWASSO</v>
          </cell>
          <cell r="D48">
            <v>1</v>
          </cell>
          <cell r="E48"/>
          <cell r="F48">
            <v>234355.08</v>
          </cell>
          <cell r="G48">
            <v>127362.12</v>
          </cell>
          <cell r="H48">
            <v>361717.19999999995</v>
          </cell>
        </row>
        <row r="49">
          <cell r="B49" t="str">
            <v>200682470A</v>
          </cell>
          <cell r="C49" t="str">
            <v>ST. JOHN REHABILITATION HOSPITAL, AN AFFILIATE OF</v>
          </cell>
          <cell r="D49">
            <v>1</v>
          </cell>
          <cell r="E49"/>
          <cell r="F49">
            <v>300748.02</v>
          </cell>
          <cell r="G49">
            <v>0</v>
          </cell>
          <cell r="H49">
            <v>300748.02</v>
          </cell>
        </row>
        <row r="50">
          <cell r="B50" t="str">
            <v>100690020A</v>
          </cell>
          <cell r="C50" t="str">
            <v>ST MARY'S REGIONAL CTR</v>
          </cell>
          <cell r="D50">
            <v>1</v>
          </cell>
          <cell r="E50"/>
          <cell r="F50">
            <v>704337.28</v>
          </cell>
          <cell r="G50">
            <v>172226.43</v>
          </cell>
          <cell r="H50">
            <v>876563.71</v>
          </cell>
        </row>
        <row r="51">
          <cell r="B51" t="str">
            <v>100740840B</v>
          </cell>
          <cell r="C51" t="str">
            <v>SSM HEALTH ST. ANTHONY HOSPITAL-SHAWNEE</v>
          </cell>
          <cell r="D51">
            <v>1</v>
          </cell>
          <cell r="E51"/>
          <cell r="F51">
            <v>1184255.32</v>
          </cell>
          <cell r="G51">
            <v>455507.61</v>
          </cell>
          <cell r="H51">
            <v>1639762.9300000002</v>
          </cell>
        </row>
        <row r="52">
          <cell r="B52" t="str">
            <v>200006260A</v>
          </cell>
          <cell r="C52" t="str">
            <v>TULSA SPINE HOSPITAL</v>
          </cell>
          <cell r="D52">
            <v>1</v>
          </cell>
          <cell r="E52"/>
          <cell r="F52">
            <v>229000</v>
          </cell>
          <cell r="G52">
            <v>308867.59999999998</v>
          </cell>
          <cell r="H52">
            <v>537867.6</v>
          </cell>
        </row>
        <row r="53">
          <cell r="B53" t="str">
            <v>200028650A</v>
          </cell>
          <cell r="C53" t="str">
            <v>VALIR REHABILITATION HOSPITAL OF OKC</v>
          </cell>
          <cell r="D53">
            <v>1</v>
          </cell>
          <cell r="E53"/>
          <cell r="F53">
            <v>854457.59</v>
          </cell>
          <cell r="G53">
            <v>0</v>
          </cell>
          <cell r="H53">
            <v>854457.59</v>
          </cell>
        </row>
        <row r="54">
          <cell r="B54" t="str">
            <v>200673510G</v>
          </cell>
          <cell r="C54" t="str">
            <v>WILLOW CREST HOSPITAL</v>
          </cell>
          <cell r="D54">
            <v>1</v>
          </cell>
          <cell r="E54"/>
          <cell r="F54">
            <v>1209103.75</v>
          </cell>
          <cell r="G54">
            <v>0</v>
          </cell>
          <cell r="H54">
            <v>1209103.75</v>
          </cell>
        </row>
        <row r="55">
          <cell r="B55" t="str">
            <v>200019120A</v>
          </cell>
          <cell r="C55" t="str">
            <v>WOODWARD HEALTH SYSTEM LLC</v>
          </cell>
          <cell r="D55">
            <v>1</v>
          </cell>
          <cell r="E55"/>
          <cell r="F55">
            <v>227099.97</v>
          </cell>
          <cell r="G55">
            <v>122025.45</v>
          </cell>
          <cell r="H55">
            <v>349125.42</v>
          </cell>
        </row>
        <row r="56">
          <cell r="B56" t="str">
            <v>200668710A</v>
          </cell>
          <cell r="C56" t="str">
            <v>BLACKWELL REGIONAL HOSPITAL</v>
          </cell>
          <cell r="D56">
            <v>2</v>
          </cell>
          <cell r="E56"/>
          <cell r="F56">
            <v>27761.62</v>
          </cell>
          <cell r="G56">
            <v>52709.42</v>
          </cell>
          <cell r="H56">
            <v>80471.039999999994</v>
          </cell>
        </row>
        <row r="57">
          <cell r="B57" t="str">
            <v>100700720A</v>
          </cell>
          <cell r="C57" t="str">
            <v>CHOCTAW MEMORIAL HOSPITAL</v>
          </cell>
          <cell r="D57">
            <v>2</v>
          </cell>
          <cell r="E57"/>
          <cell r="F57">
            <v>105869.6</v>
          </cell>
          <cell r="G57">
            <v>60242.07</v>
          </cell>
          <cell r="H57">
            <v>166111.67000000001</v>
          </cell>
        </row>
        <row r="58">
          <cell r="B58" t="str">
            <v>100749570S</v>
          </cell>
          <cell r="C58" t="str">
            <v>COMANCHE CO MEM HSP</v>
          </cell>
          <cell r="D58">
            <v>2</v>
          </cell>
          <cell r="E58"/>
          <cell r="F58">
            <v>4430810.32</v>
          </cell>
          <cell r="G58">
            <v>927600.6</v>
          </cell>
          <cell r="H58">
            <v>5358410.92</v>
          </cell>
        </row>
        <row r="59">
          <cell r="B59" t="str">
            <v>100700880A</v>
          </cell>
          <cell r="C59" t="str">
            <v>ELKVIEW GEN HSP</v>
          </cell>
          <cell r="D59">
            <v>2</v>
          </cell>
          <cell r="E59"/>
          <cell r="F59">
            <v>131877.98000000001</v>
          </cell>
          <cell r="G59">
            <v>40102.06</v>
          </cell>
          <cell r="H59">
            <v>171980.04</v>
          </cell>
        </row>
        <row r="60">
          <cell r="B60" t="str">
            <v>100700820A</v>
          </cell>
          <cell r="C60" t="str">
            <v>GRADY MEMORIAL HOSPITAL</v>
          </cell>
          <cell r="D60">
            <v>2</v>
          </cell>
          <cell r="E60"/>
          <cell r="F60">
            <v>169128.22</v>
          </cell>
          <cell r="G60">
            <v>180580.59</v>
          </cell>
          <cell r="H60">
            <v>349708.81</v>
          </cell>
        </row>
        <row r="61">
          <cell r="B61" t="str">
            <v>100699350A</v>
          </cell>
          <cell r="C61" t="str">
            <v>JACKSON CO MEM HSP</v>
          </cell>
          <cell r="D61">
            <v>2</v>
          </cell>
          <cell r="E61"/>
          <cell r="F61">
            <v>551616.72</v>
          </cell>
          <cell r="G61">
            <v>195248.23</v>
          </cell>
          <cell r="H61">
            <v>746864.95</v>
          </cell>
        </row>
        <row r="62">
          <cell r="B62" t="str">
            <v>100710530D</v>
          </cell>
          <cell r="C62" t="str">
            <v>MCALESTER REGIONAL</v>
          </cell>
          <cell r="D62">
            <v>2</v>
          </cell>
          <cell r="E62"/>
          <cell r="F62">
            <v>1571266.05</v>
          </cell>
          <cell r="G62">
            <v>379606</v>
          </cell>
          <cell r="H62">
            <v>1950872.05</v>
          </cell>
        </row>
        <row r="63">
          <cell r="B63" t="str">
            <v>100700690A</v>
          </cell>
          <cell r="C63" t="str">
            <v>NORMAN REGIONAL HOSPITAL</v>
          </cell>
          <cell r="D63">
            <v>2</v>
          </cell>
          <cell r="E63"/>
          <cell r="F63">
            <v>6154645.8899999997</v>
          </cell>
          <cell r="G63">
            <v>1258773.26</v>
          </cell>
          <cell r="H63">
            <v>7413419.1499999994</v>
          </cell>
        </row>
        <row r="64">
          <cell r="B64" t="str">
            <v>100700680A</v>
          </cell>
          <cell r="C64" t="str">
            <v>NORTHEASTERN HEALTH SYSTEM</v>
          </cell>
          <cell r="D64">
            <v>2</v>
          </cell>
          <cell r="E64"/>
          <cell r="F64">
            <v>2018485.58</v>
          </cell>
          <cell r="G64">
            <v>535113.01</v>
          </cell>
          <cell r="H64">
            <v>2553598.59</v>
          </cell>
        </row>
        <row r="65">
          <cell r="B65" t="str">
            <v>200417790W</v>
          </cell>
          <cell r="C65" t="str">
            <v>PERRY MEM HSP AUTH</v>
          </cell>
          <cell r="D65">
            <v>2</v>
          </cell>
          <cell r="E65"/>
          <cell r="F65">
            <v>37594.800000000003</v>
          </cell>
          <cell r="G65">
            <v>25917.05</v>
          </cell>
          <cell r="H65">
            <v>63511.850000000006</v>
          </cell>
        </row>
        <row r="66">
          <cell r="B66" t="str">
            <v>100699900A</v>
          </cell>
          <cell r="C66" t="str">
            <v>PURCELL MUNICIPAL HOSPITAL</v>
          </cell>
          <cell r="D66">
            <v>2</v>
          </cell>
          <cell r="E66"/>
          <cell r="F66">
            <v>24402.639999999999</v>
          </cell>
          <cell r="G66">
            <v>63475.5</v>
          </cell>
          <cell r="H66">
            <v>87878.14</v>
          </cell>
        </row>
        <row r="67">
          <cell r="B67" t="str">
            <v>100700770A</v>
          </cell>
          <cell r="C67" t="str">
            <v>PUSHMATAHA HSP</v>
          </cell>
          <cell r="D67">
            <v>2</v>
          </cell>
          <cell r="E67"/>
          <cell r="F67">
            <v>43285.94</v>
          </cell>
          <cell r="G67">
            <v>24408.3</v>
          </cell>
          <cell r="H67">
            <v>67694.240000000005</v>
          </cell>
        </row>
        <row r="68">
          <cell r="B68" t="str">
            <v>100700190A</v>
          </cell>
          <cell r="C68" t="str">
            <v>SEQUOYAH COUNTY CITY OF SALLISAW HOSPITAL AUTHORIT</v>
          </cell>
          <cell r="D68">
            <v>2</v>
          </cell>
          <cell r="E68"/>
          <cell r="F68">
            <v>100664.62</v>
          </cell>
          <cell r="G68">
            <v>122361.28</v>
          </cell>
          <cell r="H68">
            <v>223025.9</v>
          </cell>
        </row>
        <row r="69">
          <cell r="B69" t="str">
            <v>100699950A</v>
          </cell>
          <cell r="C69" t="str">
            <v>STILLWATER MEDICAL CENTER</v>
          </cell>
          <cell r="D69">
            <v>2</v>
          </cell>
          <cell r="E69"/>
          <cell r="F69">
            <v>1419415.16</v>
          </cell>
          <cell r="G69">
            <v>723795.48</v>
          </cell>
          <cell r="H69">
            <v>2143210.6399999997</v>
          </cell>
        </row>
        <row r="70">
          <cell r="B70" t="str">
            <v>200100890B</v>
          </cell>
          <cell r="C70" t="str">
            <v>WAGONER COMMUNITY HOSPITAL</v>
          </cell>
          <cell r="D70">
            <v>2</v>
          </cell>
          <cell r="E70"/>
          <cell r="F70">
            <v>1045940.67</v>
          </cell>
          <cell r="G70">
            <v>102676.05</v>
          </cell>
          <cell r="H70">
            <v>1148616.72</v>
          </cell>
        </row>
      </sheetData>
      <sheetData sheetId="1">
        <row r="2">
          <cell r="B2" t="str">
            <v>100700440A</v>
          </cell>
          <cell r="C2" t="str">
            <v>ALLIANCEHEALTH MADILL (MARSHALL COUNTY HMA LLC)</v>
          </cell>
          <cell r="D2">
            <v>1</v>
          </cell>
          <cell r="F2">
            <v>16853.5</v>
          </cell>
          <cell r="G2">
            <v>308233.25</v>
          </cell>
        </row>
        <row r="3">
          <cell r="B3" t="str">
            <v>100699690A</v>
          </cell>
          <cell r="C3" t="str">
            <v xml:space="preserve">CARNEGIE TRI-COUNTY MUNICIPAL HOSPITAL </v>
          </cell>
          <cell r="D3">
            <v>1</v>
          </cell>
          <cell r="F3">
            <v>82695.75</v>
          </cell>
          <cell r="G3">
            <v>66664.75</v>
          </cell>
        </row>
        <row r="4">
          <cell r="B4" t="str">
            <v>200910710B</v>
          </cell>
          <cell r="C4" t="str">
            <v>DRUMRIGHT REGIONAL HOSPITAL (CAH ACQUISITION CO #4 LLC)</v>
          </cell>
          <cell r="D4">
            <v>1</v>
          </cell>
          <cell r="F4">
            <v>10093.5</v>
          </cell>
          <cell r="G4">
            <v>222573.25</v>
          </cell>
        </row>
        <row r="5">
          <cell r="B5" t="str">
            <v>200918290A</v>
          </cell>
          <cell r="C5" t="str">
            <v>FAIRFAX MEMORIAL HOSPITAL (CAH Acquisition #12)</v>
          </cell>
          <cell r="D5">
            <v>1</v>
          </cell>
          <cell r="F5">
            <v>3336.75</v>
          </cell>
          <cell r="G5">
            <v>125238.75</v>
          </cell>
        </row>
        <row r="6">
          <cell r="B6" t="str">
            <v>200925590A</v>
          </cell>
          <cell r="C6" t="str">
            <v>HASKELL COUNTY HOSPITAL (CAH Acquisition #16)</v>
          </cell>
          <cell r="D6">
            <v>1</v>
          </cell>
          <cell r="F6">
            <v>14080</v>
          </cell>
          <cell r="G6">
            <v>342914.5</v>
          </cell>
        </row>
        <row r="7">
          <cell r="B7" t="str">
            <v>100700460A</v>
          </cell>
          <cell r="C7" t="str">
            <v>JANE PHILLIPS NOWATA (NOWATA HEALTH CENTER)</v>
          </cell>
          <cell r="D7">
            <v>1</v>
          </cell>
          <cell r="F7">
            <v>7.5</v>
          </cell>
          <cell r="G7">
            <v>95289.25</v>
          </cell>
        </row>
        <row r="8">
          <cell r="B8" t="str">
            <v>100774650D</v>
          </cell>
          <cell r="C8" t="str">
            <v>MARY HURLEY HOSPITAL (COAL COUNTY GENERAL HOSPITAL)</v>
          </cell>
          <cell r="D8">
            <v>1</v>
          </cell>
          <cell r="F8">
            <v>4515.5</v>
          </cell>
          <cell r="G8">
            <v>48939.75</v>
          </cell>
        </row>
        <row r="9">
          <cell r="B9" t="str">
            <v>100700920A</v>
          </cell>
          <cell r="C9" t="str">
            <v>MCCURTAIN MEMORIAL HOSPITAL</v>
          </cell>
          <cell r="D9">
            <v>1</v>
          </cell>
          <cell r="F9">
            <v>90636.75</v>
          </cell>
          <cell r="G9">
            <v>14292</v>
          </cell>
        </row>
        <row r="10">
          <cell r="B10" t="str">
            <v>200226190A</v>
          </cell>
          <cell r="C10" t="str">
            <v>MERCY HOSPITAL HEALDTON INC</v>
          </cell>
          <cell r="D10">
            <v>1</v>
          </cell>
          <cell r="F10">
            <v>5908.5</v>
          </cell>
          <cell r="G10">
            <v>92608</v>
          </cell>
        </row>
        <row r="11">
          <cell r="B11" t="str">
            <v>200521810B</v>
          </cell>
          <cell r="C11" t="str">
            <v>MERCY HOSPITAL KINGFISHER, INC</v>
          </cell>
          <cell r="D11">
            <v>1</v>
          </cell>
          <cell r="F11">
            <v>22410</v>
          </cell>
          <cell r="G11">
            <v>100812.5</v>
          </cell>
        </row>
        <row r="12">
          <cell r="B12" t="str">
            <v>200425410C</v>
          </cell>
          <cell r="C12" t="str">
            <v>MERCY HOSPITAL LOGAN COUNTY (LOGAN MEDICAL CENTER)</v>
          </cell>
          <cell r="D12">
            <v>1</v>
          </cell>
          <cell r="F12">
            <v>8019</v>
          </cell>
          <cell r="G12">
            <v>194156.25</v>
          </cell>
        </row>
        <row r="13">
          <cell r="B13" t="str">
            <v>200318440B</v>
          </cell>
          <cell r="C13" t="str">
            <v>MERCY HOSPITAL TISHOMINGO (JOHNSTON MEMORIAL HOSPITAL)</v>
          </cell>
          <cell r="D13">
            <v>1</v>
          </cell>
          <cell r="F13">
            <v>21455.5</v>
          </cell>
          <cell r="G13">
            <v>142272.25</v>
          </cell>
        </row>
        <row r="14">
          <cell r="B14" t="str">
            <v>200490030A</v>
          </cell>
          <cell r="C14" t="str">
            <v>MERCY HOSPITAL WATONGA INC</v>
          </cell>
          <cell r="D14">
            <v>1</v>
          </cell>
          <cell r="F14">
            <v>21945.5</v>
          </cell>
          <cell r="G14">
            <v>63911.5</v>
          </cell>
        </row>
        <row r="15">
          <cell r="B15" t="str">
            <v>100699360I</v>
          </cell>
          <cell r="C15" t="str">
            <v>NEWMAN MEMORIAL HSP</v>
          </cell>
          <cell r="D15">
            <v>1</v>
          </cell>
          <cell r="F15">
            <v>2650.5</v>
          </cell>
          <cell r="G15">
            <v>50714</v>
          </cell>
        </row>
        <row r="16">
          <cell r="B16" t="str">
            <v>200231400B</v>
          </cell>
          <cell r="C16" t="str">
            <v xml:space="preserve">PRAGUE COMMUNITY HOSPITAL (CAH ACQUISITION COMPANY #7 LLC) </v>
          </cell>
          <cell r="D16">
            <v>1</v>
          </cell>
          <cell r="F16">
            <v>1841</v>
          </cell>
          <cell r="G16">
            <v>92879.75</v>
          </cell>
        </row>
        <row r="17">
          <cell r="B17" t="str">
            <v>200740630B</v>
          </cell>
          <cell r="C17" t="str">
            <v>MANGUM REGIONAL MEDICAL CENTER (QUARTZ MOUNTAIN MEDICAL CENTER)</v>
          </cell>
          <cell r="D17">
            <v>1</v>
          </cell>
          <cell r="F17">
            <v>68957.25</v>
          </cell>
          <cell r="G17">
            <v>98761.5</v>
          </cell>
        </row>
        <row r="18">
          <cell r="B18" t="str">
            <v>100699550A</v>
          </cell>
          <cell r="C18" t="str">
            <v>ST JOHN SAPULPA INC</v>
          </cell>
          <cell r="D18">
            <v>1</v>
          </cell>
          <cell r="F18">
            <v>0</v>
          </cell>
          <cell r="G18">
            <v>250155.5</v>
          </cell>
        </row>
        <row r="19">
          <cell r="B19" t="str">
            <v>200125010B</v>
          </cell>
          <cell r="C19" t="str">
            <v>STROUD REGIONAL MEDICAL CENTER</v>
          </cell>
          <cell r="D19">
            <v>1</v>
          </cell>
          <cell r="F19">
            <v>4305</v>
          </cell>
          <cell r="G19">
            <v>363836.5</v>
          </cell>
        </row>
        <row r="20">
          <cell r="B20" t="str">
            <v>200125200B</v>
          </cell>
          <cell r="C20" t="str">
            <v>THE PHYSICIANS HOSPITAL IN ANADARKO</v>
          </cell>
          <cell r="D20">
            <v>1</v>
          </cell>
          <cell r="F20">
            <v>68632.75</v>
          </cell>
          <cell r="G20">
            <v>369541.25</v>
          </cell>
        </row>
        <row r="21">
          <cell r="B21" t="str">
            <v>100700790A</v>
          </cell>
          <cell r="C21" t="str">
            <v>ARBUCKLE MEM HSP</v>
          </cell>
          <cell r="D21">
            <v>2</v>
          </cell>
          <cell r="F21">
            <v>68390.25</v>
          </cell>
          <cell r="G21">
            <v>134800.5</v>
          </cell>
        </row>
        <row r="22">
          <cell r="B22" t="str">
            <v>100262850D</v>
          </cell>
          <cell r="C22" t="str">
            <v>ATOKA MEMORIAL HOSPITAL</v>
          </cell>
          <cell r="D22">
            <v>2</v>
          </cell>
          <cell r="F22">
            <v>51608</v>
          </cell>
          <cell r="G22">
            <v>115393</v>
          </cell>
        </row>
        <row r="23">
          <cell r="B23" t="str">
            <v>100700760A</v>
          </cell>
          <cell r="C23" t="str">
            <v>BEAVER COUNTY MEMORIAL HOSPITAL</v>
          </cell>
          <cell r="D23">
            <v>2</v>
          </cell>
          <cell r="F23">
            <v>1743.5</v>
          </cell>
          <cell r="G23">
            <v>32479.75</v>
          </cell>
        </row>
        <row r="24">
          <cell r="B24" t="str">
            <v>100700740A</v>
          </cell>
          <cell r="C24" t="str">
            <v>CIMARRON MEMORIAL HOSPITAL</v>
          </cell>
          <cell r="D24">
            <v>2</v>
          </cell>
          <cell r="F24">
            <v>17805.5</v>
          </cell>
          <cell r="G24">
            <v>20399.5</v>
          </cell>
        </row>
        <row r="25">
          <cell r="B25" t="str">
            <v>200234090B</v>
          </cell>
          <cell r="C25" t="str">
            <v>CLEVELAND AREA HOSPITAL</v>
          </cell>
          <cell r="D25">
            <v>2</v>
          </cell>
          <cell r="F25">
            <v>6580.75</v>
          </cell>
          <cell r="G25">
            <v>297775.75</v>
          </cell>
        </row>
        <row r="26">
          <cell r="B26" t="str">
            <v>100819200B</v>
          </cell>
          <cell r="C26" t="str">
            <v>CORDELL MEMORIAL HOSPITAL</v>
          </cell>
          <cell r="D26">
            <v>2</v>
          </cell>
          <cell r="F26">
            <v>29648.75</v>
          </cell>
          <cell r="G26">
            <v>84706.5</v>
          </cell>
        </row>
        <row r="27">
          <cell r="B27" t="str">
            <v>100700120Q</v>
          </cell>
          <cell r="C27" t="str">
            <v>DUNCAN REGIONAL HOSPITAL INC (JEFFERSON COUNTY HOSPITAL)</v>
          </cell>
          <cell r="D27">
            <v>2</v>
          </cell>
          <cell r="F27">
            <v>3056.25</v>
          </cell>
          <cell r="G27">
            <v>279450.75</v>
          </cell>
        </row>
        <row r="28">
          <cell r="B28" t="str">
            <v>100700730A</v>
          </cell>
          <cell r="C28" t="str">
            <v>EASTERN OKLAHOMA MEDICAL CENTER</v>
          </cell>
          <cell r="D28">
            <v>2</v>
          </cell>
          <cell r="F28">
            <v>65894.5</v>
          </cell>
          <cell r="G28">
            <v>161294.5</v>
          </cell>
        </row>
        <row r="29">
          <cell r="B29" t="str">
            <v>100700800A</v>
          </cell>
          <cell r="C29" t="str">
            <v>FAIRVIEW HSP</v>
          </cell>
          <cell r="D29">
            <v>2</v>
          </cell>
          <cell r="F29">
            <v>15156.25</v>
          </cell>
          <cell r="G29">
            <v>59661.5</v>
          </cell>
        </row>
        <row r="30">
          <cell r="B30" t="str">
            <v>100700780B</v>
          </cell>
          <cell r="C30" t="str">
            <v>HARMON MEMORIAL HOSPITAL</v>
          </cell>
          <cell r="D30">
            <v>2</v>
          </cell>
          <cell r="F30">
            <v>8524.25</v>
          </cell>
          <cell r="G30">
            <v>54186.75</v>
          </cell>
        </row>
        <row r="31">
          <cell r="B31" t="str">
            <v>100699660A</v>
          </cell>
          <cell r="C31" t="str">
            <v>HARPER CO COM HSP</v>
          </cell>
          <cell r="D31">
            <v>2</v>
          </cell>
          <cell r="F31">
            <v>5255.5</v>
          </cell>
          <cell r="G31">
            <v>12219.25</v>
          </cell>
        </row>
        <row r="32">
          <cell r="B32" t="str">
            <v>200539880B</v>
          </cell>
          <cell r="C32" t="str">
            <v>HOLDENVILLE GENERAL HOSPITAL</v>
          </cell>
          <cell r="D32">
            <v>2</v>
          </cell>
          <cell r="F32">
            <v>6300.5</v>
          </cell>
          <cell r="G32">
            <v>192175</v>
          </cell>
        </row>
        <row r="33">
          <cell r="B33" t="str">
            <v>100699630A</v>
          </cell>
          <cell r="C33" t="str">
            <v>MEMORIAL HOSPITAL OF TEXAS COUNTY</v>
          </cell>
          <cell r="D33">
            <v>2</v>
          </cell>
          <cell r="F33">
            <v>46393.75</v>
          </cell>
          <cell r="G33">
            <v>70224.5</v>
          </cell>
        </row>
        <row r="34">
          <cell r="B34" t="str">
            <v>100699960A</v>
          </cell>
          <cell r="C34" t="str">
            <v>MERCY HEALTH LOVE COUNTY</v>
          </cell>
          <cell r="D34">
            <v>2</v>
          </cell>
          <cell r="F34">
            <v>19423.75</v>
          </cell>
          <cell r="G34">
            <v>237160</v>
          </cell>
        </row>
        <row r="35">
          <cell r="B35" t="str">
            <v>100700250A</v>
          </cell>
          <cell r="C35" t="str">
            <v>OKEENE MUN HSP</v>
          </cell>
          <cell r="D35">
            <v>2</v>
          </cell>
          <cell r="F35">
            <v>399.5</v>
          </cell>
          <cell r="G35">
            <v>60566.5</v>
          </cell>
        </row>
        <row r="36">
          <cell r="B36" t="str">
            <v>100690120A</v>
          </cell>
          <cell r="C36" t="str">
            <v>PAWHUSKA HSP INC</v>
          </cell>
          <cell r="D36">
            <v>2</v>
          </cell>
          <cell r="F36">
            <v>44321.75</v>
          </cell>
          <cell r="G36">
            <v>45733.5</v>
          </cell>
        </row>
        <row r="37">
          <cell r="B37" t="str">
            <v>100699820A</v>
          </cell>
          <cell r="C37" t="str">
            <v>ROGER MILLS MEMORIAL HOSPITAL</v>
          </cell>
          <cell r="D37">
            <v>2</v>
          </cell>
          <cell r="F37">
            <v>23289.25</v>
          </cell>
          <cell r="G37">
            <v>52325.25</v>
          </cell>
        </row>
        <row r="38">
          <cell r="B38" t="str">
            <v>100700450A</v>
          </cell>
          <cell r="C38" t="str">
            <v>SEILING MUNICIPAL HOSPITAL</v>
          </cell>
          <cell r="D38">
            <v>2</v>
          </cell>
          <cell r="F38">
            <v>11882</v>
          </cell>
          <cell r="G38">
            <v>34371.75</v>
          </cell>
        </row>
        <row r="39">
          <cell r="B39" t="str">
            <v>100699830A</v>
          </cell>
          <cell r="C39" t="str">
            <v>SHARE MEMORIAL HOSPITAL</v>
          </cell>
          <cell r="D39">
            <v>2</v>
          </cell>
          <cell r="F39">
            <v>14448.75</v>
          </cell>
          <cell r="G39">
            <v>22138</v>
          </cell>
        </row>
        <row r="40">
          <cell r="B40" t="str">
            <v>100699870E</v>
          </cell>
          <cell r="C40" t="str">
            <v>WEATHERFORD HOSPITAL AUTHORITY</v>
          </cell>
          <cell r="D40">
            <v>2</v>
          </cell>
          <cell r="F40">
            <v>172321.75</v>
          </cell>
          <cell r="G40">
            <v>129893.75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"/>
      <sheetName val="DRG UPL SFY19 Combined"/>
      <sheetName val="SHOPP UPL SFY2019 Combined INP"/>
      <sheetName val="SHOPP UPL SFY2019 Combined OUT"/>
      <sheetName val="Cost UPL SFY19 Combine"/>
      <sheetName val="CCR SHOPP 19"/>
      <sheetName val="HCRIS CR data"/>
      <sheetName val="Addr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Name</v>
          </cell>
          <cell r="B1" t="str">
            <v>Provider ID &amp; Service Location</v>
          </cell>
          <cell r="C1" t="str">
            <v>NPI Number</v>
          </cell>
          <cell r="D1" t="str">
            <v>Provider Type Code</v>
          </cell>
          <cell r="E1" t="str">
            <v>Specialty Primary Code</v>
          </cell>
        </row>
        <row r="2">
          <cell r="A2" t="str">
            <v>100262320C</v>
          </cell>
          <cell r="B2" t="str">
            <v>MERCY HOSPITAL ARDMORE</v>
          </cell>
          <cell r="C2">
            <v>1386741635</v>
          </cell>
          <cell r="D2">
            <v>1</v>
          </cell>
          <cell r="E2">
            <v>10</v>
          </cell>
        </row>
        <row r="3">
          <cell r="A3" t="str">
            <v>100689350A</v>
          </cell>
          <cell r="B3" t="str">
            <v>SELECT SPECIALTY HOSPITAL - OK</v>
          </cell>
          <cell r="C3">
            <v>1659371268</v>
          </cell>
          <cell r="D3">
            <v>1</v>
          </cell>
          <cell r="E3">
            <v>10</v>
          </cell>
        </row>
        <row r="4">
          <cell r="A4" t="str">
            <v>100690020A</v>
          </cell>
          <cell r="B4" t="str">
            <v>ST MARY'S REGIONAL CTR</v>
          </cell>
          <cell r="C4">
            <v>1417947466</v>
          </cell>
          <cell r="D4">
            <v>1</v>
          </cell>
          <cell r="E4">
            <v>10</v>
          </cell>
        </row>
        <row r="5">
          <cell r="A5" t="str">
            <v>100690120A</v>
          </cell>
          <cell r="B5" t="str">
            <v>PAWHUSKA HSP INC</v>
          </cell>
          <cell r="C5">
            <v>1174521991</v>
          </cell>
          <cell r="D5">
            <v>1</v>
          </cell>
          <cell r="E5">
            <v>10</v>
          </cell>
        </row>
        <row r="6">
          <cell r="A6" t="str">
            <v>100696610B</v>
          </cell>
          <cell r="B6" t="str">
            <v>ALLIANCEHEALTH DURANT</v>
          </cell>
          <cell r="C6">
            <v>1770522906</v>
          </cell>
          <cell r="D6">
            <v>1</v>
          </cell>
          <cell r="E6">
            <v>10</v>
          </cell>
        </row>
        <row r="7">
          <cell r="A7" t="str">
            <v>100697950B</v>
          </cell>
          <cell r="B7" t="str">
            <v>SOUTHWESTERN MEDICAL CENTER</v>
          </cell>
          <cell r="C7">
            <v>1952359986</v>
          </cell>
          <cell r="D7">
            <v>1</v>
          </cell>
          <cell r="E7">
            <v>10</v>
          </cell>
        </row>
        <row r="8">
          <cell r="A8" t="str">
            <v>100699350A</v>
          </cell>
          <cell r="B8" t="str">
            <v>JACKSON CO MEM HSP</v>
          </cell>
          <cell r="C8">
            <v>1093763781</v>
          </cell>
          <cell r="D8">
            <v>1</v>
          </cell>
          <cell r="E8">
            <v>10</v>
          </cell>
        </row>
        <row r="9">
          <cell r="A9" t="str">
            <v>100699360A</v>
          </cell>
          <cell r="B9" t="str">
            <v>NEWMAN MEMORIAL HSP</v>
          </cell>
          <cell r="C9">
            <v>1083617807</v>
          </cell>
          <cell r="D9">
            <v>1</v>
          </cell>
          <cell r="E9">
            <v>10</v>
          </cell>
        </row>
        <row r="10">
          <cell r="A10" t="str">
            <v>100699390A</v>
          </cell>
          <cell r="B10" t="str">
            <v>MERCY HEALTH CENTER</v>
          </cell>
          <cell r="C10">
            <v>1184721722</v>
          </cell>
          <cell r="D10">
            <v>1</v>
          </cell>
          <cell r="E10">
            <v>10</v>
          </cell>
        </row>
        <row r="11">
          <cell r="A11" t="str">
            <v>100699400A</v>
          </cell>
          <cell r="B11" t="str">
            <v>ST JOHN MED CTR</v>
          </cell>
          <cell r="C11">
            <v>1154417368</v>
          </cell>
          <cell r="D11">
            <v>1</v>
          </cell>
          <cell r="E11">
            <v>10</v>
          </cell>
        </row>
        <row r="12">
          <cell r="A12" t="str">
            <v>100699410A</v>
          </cell>
          <cell r="B12" t="str">
            <v>GREAT PLAINS REGIONAL MEDICAL CENTER</v>
          </cell>
          <cell r="C12">
            <v>1184639122</v>
          </cell>
          <cell r="D12">
            <v>1</v>
          </cell>
          <cell r="E12">
            <v>10</v>
          </cell>
        </row>
        <row r="13">
          <cell r="A13" t="str">
            <v>100699420A</v>
          </cell>
          <cell r="B13" t="str">
            <v>KAY COUNTY OKLAHOMA HOSPITAL</v>
          </cell>
          <cell r="C13">
            <v>1225077035</v>
          </cell>
          <cell r="D13">
            <v>1</v>
          </cell>
          <cell r="E13">
            <v>10</v>
          </cell>
        </row>
        <row r="14">
          <cell r="A14" t="str">
            <v>100699440A</v>
          </cell>
          <cell r="B14" t="str">
            <v>INTEGRIS MIAMI HOSPITAL</v>
          </cell>
          <cell r="C14">
            <v>1114931342</v>
          </cell>
          <cell r="D14">
            <v>1</v>
          </cell>
          <cell r="E14">
            <v>10</v>
          </cell>
        </row>
        <row r="15">
          <cell r="A15" t="str">
            <v>100699490A</v>
          </cell>
          <cell r="B15" t="str">
            <v>JANE PHILLIPS EP HSP</v>
          </cell>
          <cell r="C15">
            <v>1215914254</v>
          </cell>
          <cell r="D15">
            <v>1</v>
          </cell>
          <cell r="E15">
            <v>10</v>
          </cell>
        </row>
        <row r="16">
          <cell r="A16" t="str">
            <v>100699500A</v>
          </cell>
          <cell r="B16" t="str">
            <v>INTEGRIS BASS MEM BAP</v>
          </cell>
          <cell r="C16">
            <v>1144236571</v>
          </cell>
          <cell r="D16">
            <v>1</v>
          </cell>
          <cell r="E16">
            <v>10</v>
          </cell>
        </row>
        <row r="17">
          <cell r="A17" t="str">
            <v>100699540A</v>
          </cell>
          <cell r="B17" t="str">
            <v>SSM HEALTH ST. ANTHONY HOSPITAL-OKC</v>
          </cell>
          <cell r="C17">
            <v>1366545311</v>
          </cell>
          <cell r="D17">
            <v>1</v>
          </cell>
          <cell r="E17">
            <v>10</v>
          </cell>
        </row>
        <row r="18">
          <cell r="A18" t="str">
            <v>100699570A</v>
          </cell>
          <cell r="B18" t="str">
            <v>SAINT FRANCIS HOSPITAL</v>
          </cell>
          <cell r="C18">
            <v>1144228487</v>
          </cell>
          <cell r="D18">
            <v>1</v>
          </cell>
          <cell r="E18">
            <v>10</v>
          </cell>
        </row>
        <row r="19">
          <cell r="A19" t="str">
            <v>100699630A</v>
          </cell>
          <cell r="B19" t="str">
            <v>MEMORIAL HOSPITAL OF TEXAS COUNTY</v>
          </cell>
          <cell r="C19">
            <v>1144205360</v>
          </cell>
          <cell r="D19">
            <v>1</v>
          </cell>
          <cell r="E19">
            <v>10</v>
          </cell>
        </row>
        <row r="20">
          <cell r="A20" t="str">
            <v>100699700A</v>
          </cell>
          <cell r="B20" t="str">
            <v>INTEGRIS GROVE HOSPITAL</v>
          </cell>
          <cell r="C20">
            <v>1467473579</v>
          </cell>
          <cell r="D20">
            <v>1</v>
          </cell>
          <cell r="E20">
            <v>10</v>
          </cell>
        </row>
        <row r="21">
          <cell r="A21" t="str">
            <v>100699900A</v>
          </cell>
          <cell r="B21" t="str">
            <v>PURCELL MUNICIPAL HOSPITAL</v>
          </cell>
          <cell r="C21">
            <v>1467476911</v>
          </cell>
          <cell r="D21">
            <v>1</v>
          </cell>
          <cell r="E21">
            <v>10</v>
          </cell>
        </row>
        <row r="22">
          <cell r="A22" t="str">
            <v>100699950A</v>
          </cell>
          <cell r="B22" t="str">
            <v>STILLWATER MEDICAL CENTER</v>
          </cell>
          <cell r="C22">
            <v>1164494027</v>
          </cell>
          <cell r="D22">
            <v>1</v>
          </cell>
          <cell r="E22">
            <v>10</v>
          </cell>
        </row>
        <row r="23">
          <cell r="A23" t="str">
            <v>100700010G</v>
          </cell>
          <cell r="B23" t="str">
            <v>CLINTON HMA LLC</v>
          </cell>
          <cell r="C23">
            <v>1326062456</v>
          </cell>
          <cell r="D23">
            <v>1</v>
          </cell>
          <cell r="E23">
            <v>10</v>
          </cell>
        </row>
        <row r="24">
          <cell r="A24" t="str">
            <v>100700030A</v>
          </cell>
          <cell r="B24" t="str">
            <v>MEMORIAL HOSPITAL</v>
          </cell>
          <cell r="C24">
            <v>1790753358</v>
          </cell>
          <cell r="D24">
            <v>1</v>
          </cell>
          <cell r="E24">
            <v>10</v>
          </cell>
        </row>
        <row r="25">
          <cell r="A25" t="str">
            <v>100700120A</v>
          </cell>
          <cell r="B25" t="str">
            <v>DUNCAN REGIONAL HOSPITAL</v>
          </cell>
          <cell r="C25">
            <v>1851396394</v>
          </cell>
          <cell r="D25">
            <v>1</v>
          </cell>
          <cell r="E25">
            <v>10</v>
          </cell>
        </row>
        <row r="26">
          <cell r="A26" t="str">
            <v>100700190A</v>
          </cell>
          <cell r="B26" t="str">
            <v>SEQUOYAH COUNTY CITY OF SALLISAW HOSPITAL AUTHORIT</v>
          </cell>
          <cell r="C26">
            <v>1972539567</v>
          </cell>
          <cell r="D26">
            <v>1</v>
          </cell>
          <cell r="E26">
            <v>10</v>
          </cell>
        </row>
        <row r="27">
          <cell r="A27" t="str">
            <v>100700200A</v>
          </cell>
          <cell r="B27" t="str">
            <v>INTEGRIS SOUTHWEST MEDICAL</v>
          </cell>
          <cell r="C27">
            <v>1457372625</v>
          </cell>
          <cell r="D27">
            <v>1</v>
          </cell>
          <cell r="E27">
            <v>10</v>
          </cell>
        </row>
        <row r="28">
          <cell r="A28" t="str">
            <v>100700490A</v>
          </cell>
          <cell r="B28" t="str">
            <v>MIDWEST REGIONAL MEDICAL</v>
          </cell>
          <cell r="C28">
            <v>1730128836</v>
          </cell>
          <cell r="D28">
            <v>1</v>
          </cell>
          <cell r="E28">
            <v>10</v>
          </cell>
        </row>
        <row r="29">
          <cell r="A29" t="str">
            <v>100700530A</v>
          </cell>
          <cell r="B29" t="str">
            <v>SURGICAL HOSPITAL OF OKLAHOMA LLC</v>
          </cell>
          <cell r="C29">
            <v>1033229240</v>
          </cell>
          <cell r="D29">
            <v>1</v>
          </cell>
          <cell r="E29">
            <v>10</v>
          </cell>
        </row>
        <row r="30">
          <cell r="A30" t="str">
            <v>100700610A</v>
          </cell>
          <cell r="B30" t="str">
            <v>INTEGRIS CANADIAN VALLEY HOSPITAL</v>
          </cell>
          <cell r="C30">
            <v>1306865357</v>
          </cell>
          <cell r="D30">
            <v>1</v>
          </cell>
          <cell r="E30">
            <v>10</v>
          </cell>
        </row>
        <row r="31">
          <cell r="A31" t="str">
            <v>100700680A</v>
          </cell>
          <cell r="B31" t="str">
            <v>NORTHEASTERN HEALTH SYSTEM</v>
          </cell>
          <cell r="C31">
            <v>1003865999</v>
          </cell>
          <cell r="D31">
            <v>1</v>
          </cell>
          <cell r="E31">
            <v>10</v>
          </cell>
        </row>
        <row r="32">
          <cell r="A32" t="str">
            <v>100700690A</v>
          </cell>
          <cell r="B32" t="str">
            <v>NORMAN REGIONAL HOSPITAL</v>
          </cell>
          <cell r="C32">
            <v>1700882578</v>
          </cell>
          <cell r="D32">
            <v>1</v>
          </cell>
          <cell r="E32">
            <v>10</v>
          </cell>
        </row>
        <row r="33">
          <cell r="A33" t="str">
            <v>100700720A</v>
          </cell>
          <cell r="B33" t="str">
            <v>CHOCTAW MEMORIAL HOSPITAL</v>
          </cell>
          <cell r="C33">
            <v>1881689289</v>
          </cell>
          <cell r="D33">
            <v>1</v>
          </cell>
          <cell r="E33">
            <v>10</v>
          </cell>
        </row>
        <row r="34">
          <cell r="A34" t="str">
            <v>100700770A</v>
          </cell>
          <cell r="B34" t="str">
            <v>PUSHMATAHA HSP</v>
          </cell>
          <cell r="C34">
            <v>1144212556</v>
          </cell>
          <cell r="D34">
            <v>1</v>
          </cell>
          <cell r="E34">
            <v>10</v>
          </cell>
        </row>
        <row r="35">
          <cell r="A35" t="str">
            <v>100700820A</v>
          </cell>
          <cell r="B35" t="str">
            <v>GRADY MEMORIAL HOSPITAL</v>
          </cell>
          <cell r="C35">
            <v>1538169198</v>
          </cell>
          <cell r="D35">
            <v>1</v>
          </cell>
          <cell r="E35">
            <v>10</v>
          </cell>
        </row>
        <row r="36">
          <cell r="A36" t="str">
            <v>100700880A</v>
          </cell>
          <cell r="B36" t="str">
            <v>ELKVIEW GEN HSP</v>
          </cell>
          <cell r="C36">
            <v>1699758086</v>
          </cell>
          <cell r="D36">
            <v>1</v>
          </cell>
          <cell r="E36">
            <v>10</v>
          </cell>
        </row>
        <row r="37">
          <cell r="A37" t="str">
            <v>100710530D</v>
          </cell>
          <cell r="B37" t="str">
            <v>MCALESTER REGIONAL</v>
          </cell>
          <cell r="C37">
            <v>1316940034</v>
          </cell>
          <cell r="D37">
            <v>1</v>
          </cell>
          <cell r="E37">
            <v>10</v>
          </cell>
        </row>
        <row r="38">
          <cell r="A38" t="str">
            <v>100740840B</v>
          </cell>
          <cell r="B38" t="str">
            <v>SSM HEALTH ST. ANTHONY HOSPITAL-SHAWNEE</v>
          </cell>
          <cell r="C38">
            <v>1134123193</v>
          </cell>
          <cell r="D38">
            <v>1</v>
          </cell>
          <cell r="E38">
            <v>10</v>
          </cell>
        </row>
        <row r="39">
          <cell r="A39" t="str">
            <v>100745350B</v>
          </cell>
          <cell r="B39" t="str">
            <v>LAKESIDE WOMENS CENTER OF</v>
          </cell>
          <cell r="C39">
            <v>1639170699</v>
          </cell>
          <cell r="D39">
            <v>1</v>
          </cell>
          <cell r="E39">
            <v>10</v>
          </cell>
        </row>
        <row r="40">
          <cell r="A40" t="str">
            <v>100746230B</v>
          </cell>
          <cell r="B40" t="str">
            <v>COMMUNITY HOSPITAL</v>
          </cell>
          <cell r="C40">
            <v>1275593337</v>
          </cell>
          <cell r="D40">
            <v>1</v>
          </cell>
          <cell r="E40">
            <v>10</v>
          </cell>
        </row>
        <row r="41">
          <cell r="A41" t="str">
            <v>100746230C</v>
          </cell>
          <cell r="B41" t="str">
            <v>COMMUNITY HOSPITAL, LLC</v>
          </cell>
          <cell r="C41">
            <v>1275593337</v>
          </cell>
          <cell r="D41">
            <v>1</v>
          </cell>
          <cell r="E41">
            <v>10</v>
          </cell>
        </row>
        <row r="42">
          <cell r="A42" t="str">
            <v>100747140B</v>
          </cell>
          <cell r="B42" t="str">
            <v>OKLAHOMA SPINE HOSPITAL</v>
          </cell>
          <cell r="C42">
            <v>1699745893</v>
          </cell>
          <cell r="D42">
            <v>1</v>
          </cell>
          <cell r="E42">
            <v>10</v>
          </cell>
        </row>
        <row r="43">
          <cell r="A43" t="str">
            <v>100748450B</v>
          </cell>
          <cell r="B43" t="str">
            <v>ORTHOPEDIC HOSPITAL OF OKLAHOMA</v>
          </cell>
          <cell r="C43">
            <v>1487651857</v>
          </cell>
          <cell r="D43">
            <v>1</v>
          </cell>
          <cell r="E43">
            <v>10</v>
          </cell>
        </row>
        <row r="44">
          <cell r="A44" t="str">
            <v>100749570S</v>
          </cell>
          <cell r="B44" t="str">
            <v>COMANCHE CO MEM HSP</v>
          </cell>
          <cell r="C44">
            <v>1720022379</v>
          </cell>
          <cell r="D44">
            <v>1</v>
          </cell>
          <cell r="E44">
            <v>10</v>
          </cell>
        </row>
        <row r="45">
          <cell r="A45" t="str">
            <v>100806400C</v>
          </cell>
          <cell r="B45" t="str">
            <v>INTEGRIS BAPTIST MEDICAL C</v>
          </cell>
          <cell r="C45">
            <v>1831103654</v>
          </cell>
          <cell r="D45">
            <v>1</v>
          </cell>
          <cell r="E45">
            <v>10</v>
          </cell>
        </row>
        <row r="46">
          <cell r="A46" t="str">
            <v>100818200B</v>
          </cell>
          <cell r="B46" t="str">
            <v>LINDSAY MUNICIPAL HOSPITAL</v>
          </cell>
          <cell r="C46">
            <v>1144268723</v>
          </cell>
          <cell r="D46">
            <v>1</v>
          </cell>
          <cell r="E46">
            <v>10</v>
          </cell>
        </row>
        <row r="47">
          <cell r="A47" t="str">
            <v>200006260A</v>
          </cell>
          <cell r="B47" t="str">
            <v>TULSA SPINE HOSPITAL</v>
          </cell>
          <cell r="C47">
            <v>1033185293</v>
          </cell>
          <cell r="D47">
            <v>1</v>
          </cell>
          <cell r="E47">
            <v>10</v>
          </cell>
        </row>
        <row r="48">
          <cell r="A48" t="str">
            <v>200009170A</v>
          </cell>
          <cell r="B48" t="str">
            <v>OKLAHOMA HEART HOSPITAL LLC</v>
          </cell>
          <cell r="C48">
            <v>1083617005</v>
          </cell>
          <cell r="D48">
            <v>1</v>
          </cell>
          <cell r="E48">
            <v>10</v>
          </cell>
        </row>
        <row r="49">
          <cell r="A49" t="str">
            <v>200019120A</v>
          </cell>
          <cell r="B49" t="str">
            <v>WOODWARD HEALTH SYSTEM LLC</v>
          </cell>
          <cell r="C49">
            <v>1558312553</v>
          </cell>
          <cell r="D49">
            <v>1</v>
          </cell>
          <cell r="E49">
            <v>10</v>
          </cell>
        </row>
        <row r="50">
          <cell r="A50" t="str">
            <v>200031310A</v>
          </cell>
          <cell r="B50" t="str">
            <v>SAINT FRANCIS HOSPITAL SOUTH</v>
          </cell>
          <cell r="C50">
            <v>1376561944</v>
          </cell>
          <cell r="D50">
            <v>1</v>
          </cell>
          <cell r="E50">
            <v>10</v>
          </cell>
        </row>
        <row r="51">
          <cell r="A51" t="str">
            <v>200035670C</v>
          </cell>
          <cell r="B51" t="str">
            <v>NORTHWEST SURGICAL HOSPITAL</v>
          </cell>
          <cell r="C51">
            <v>1942260971</v>
          </cell>
          <cell r="D51">
            <v>1</v>
          </cell>
          <cell r="E51">
            <v>10</v>
          </cell>
        </row>
        <row r="52">
          <cell r="A52" t="str">
            <v>200044190A</v>
          </cell>
          <cell r="B52" t="str">
            <v>HILLCREST HOSPITAL CUSHING</v>
          </cell>
          <cell r="C52">
            <v>1801867643</v>
          </cell>
          <cell r="D52">
            <v>1</v>
          </cell>
          <cell r="E52">
            <v>10</v>
          </cell>
        </row>
        <row r="53">
          <cell r="A53" t="str">
            <v>200044210A</v>
          </cell>
          <cell r="B53" t="str">
            <v>HILLCREST MEDICAL CENTER</v>
          </cell>
          <cell r="C53">
            <v>1629057229</v>
          </cell>
          <cell r="D53">
            <v>1</v>
          </cell>
          <cell r="E53">
            <v>10</v>
          </cell>
        </row>
        <row r="54">
          <cell r="A54" t="str">
            <v>200045700C</v>
          </cell>
          <cell r="B54" t="str">
            <v>HENRYETTA MEDICAL CENTER</v>
          </cell>
          <cell r="C54">
            <v>1720053556</v>
          </cell>
          <cell r="D54">
            <v>1</v>
          </cell>
          <cell r="E54">
            <v>10</v>
          </cell>
        </row>
        <row r="55">
          <cell r="A55" t="str">
            <v>200066700A</v>
          </cell>
          <cell r="B55" t="str">
            <v>OKLAHOMA CENTER FOR ORTHOPAEDIC &amp; MULTI SPECIALTY</v>
          </cell>
          <cell r="C55">
            <v>1063489458</v>
          </cell>
          <cell r="D55">
            <v>1</v>
          </cell>
          <cell r="E55">
            <v>10</v>
          </cell>
        </row>
        <row r="56">
          <cell r="A56" t="str">
            <v>200069370A</v>
          </cell>
          <cell r="B56" t="str">
            <v>MCBRIDE CLINIC ORTHOPEDIC HOSPITAL</v>
          </cell>
          <cell r="C56">
            <v>1932145505</v>
          </cell>
          <cell r="D56">
            <v>1</v>
          </cell>
          <cell r="E56">
            <v>10</v>
          </cell>
        </row>
        <row r="57">
          <cell r="A57" t="str">
            <v>200080160A</v>
          </cell>
          <cell r="B57" t="str">
            <v>CHG CORNERSTONE HOSPITAL OF OKLAHOMA - SHAWNEE</v>
          </cell>
          <cell r="C57">
            <v>1205881125</v>
          </cell>
          <cell r="D57">
            <v>1</v>
          </cell>
          <cell r="E57">
            <v>10</v>
          </cell>
        </row>
        <row r="58">
          <cell r="A58" t="str">
            <v>200100890B</v>
          </cell>
          <cell r="B58" t="str">
            <v>WAGONER COMMUNITY HOSPITAL</v>
          </cell>
          <cell r="C58">
            <v>1386611580</v>
          </cell>
          <cell r="D58">
            <v>1</v>
          </cell>
          <cell r="E58">
            <v>10</v>
          </cell>
        </row>
        <row r="59">
          <cell r="A59" t="str">
            <v>200102450A</v>
          </cell>
          <cell r="B59" t="str">
            <v>BAILEY MEDICAL CENTER LLC</v>
          </cell>
          <cell r="C59">
            <v>1205846037</v>
          </cell>
          <cell r="D59">
            <v>1</v>
          </cell>
          <cell r="E59">
            <v>10</v>
          </cell>
        </row>
        <row r="60">
          <cell r="A60" t="str">
            <v>200106410A</v>
          </cell>
          <cell r="B60" t="str">
            <v>ST JOHN OWASSO</v>
          </cell>
          <cell r="C60">
            <v>1144231432</v>
          </cell>
          <cell r="D60">
            <v>1</v>
          </cell>
          <cell r="E60">
            <v>10</v>
          </cell>
        </row>
        <row r="61">
          <cell r="A61" t="str">
            <v>200108340A</v>
          </cell>
          <cell r="B61" t="str">
            <v>ONECORE HEALTH</v>
          </cell>
          <cell r="C61">
            <v>1851344188</v>
          </cell>
          <cell r="D61">
            <v>1</v>
          </cell>
          <cell r="E61">
            <v>10</v>
          </cell>
        </row>
        <row r="62">
          <cell r="A62" t="str">
            <v>200119790A</v>
          </cell>
          <cell r="B62" t="str">
            <v>SOLARA HOSPITAL MUSKOGEE LLC</v>
          </cell>
          <cell r="C62">
            <v>1518980978</v>
          </cell>
          <cell r="D62">
            <v>1</v>
          </cell>
          <cell r="E62">
            <v>10</v>
          </cell>
        </row>
        <row r="63">
          <cell r="A63" t="str">
            <v>200196450C</v>
          </cell>
          <cell r="B63" t="str">
            <v>SEMINOLE HMA LLC</v>
          </cell>
          <cell r="C63">
            <v>1891980124</v>
          </cell>
          <cell r="D63">
            <v>1</v>
          </cell>
          <cell r="E63">
            <v>10</v>
          </cell>
        </row>
        <row r="64">
          <cell r="A64" t="str">
            <v>200224040B</v>
          </cell>
          <cell r="B64" t="str">
            <v>SELECT SPECIALTY HOSPITAL - TULSA/MIDTOWN</v>
          </cell>
          <cell r="C64">
            <v>1427154178</v>
          </cell>
          <cell r="D64">
            <v>1</v>
          </cell>
          <cell r="E64">
            <v>10</v>
          </cell>
        </row>
        <row r="65">
          <cell r="A65" t="str">
            <v>200226190A</v>
          </cell>
          <cell r="B65" t="str">
            <v>MERCY HOSPITAL HEALDTON INC</v>
          </cell>
          <cell r="C65">
            <v>1578710406</v>
          </cell>
          <cell r="D65">
            <v>1</v>
          </cell>
          <cell r="E65">
            <v>10</v>
          </cell>
        </row>
        <row r="66">
          <cell r="A66" t="str">
            <v>200242900A</v>
          </cell>
          <cell r="B66" t="str">
            <v>OKLAHOMA STATE UNIVERSITY MEDICAL TRUST</v>
          </cell>
          <cell r="C66">
            <v>1578704938</v>
          </cell>
          <cell r="D66">
            <v>1</v>
          </cell>
          <cell r="E66">
            <v>10</v>
          </cell>
        </row>
        <row r="67">
          <cell r="A67" t="str">
            <v>200265330A</v>
          </cell>
          <cell r="B67" t="str">
            <v>NORTHEAST OKLAHOMA EYE INSTITUTE LLC</v>
          </cell>
          <cell r="C67">
            <v>1386800019</v>
          </cell>
          <cell r="D67">
            <v>1</v>
          </cell>
          <cell r="E67">
            <v>10</v>
          </cell>
        </row>
        <row r="68">
          <cell r="A68" t="str">
            <v>200280620A</v>
          </cell>
          <cell r="B68" t="str">
            <v>OKLAHOMA HEART HOSPITAL</v>
          </cell>
          <cell r="C68">
            <v>1841442274</v>
          </cell>
          <cell r="D68">
            <v>1</v>
          </cell>
          <cell r="E68">
            <v>10</v>
          </cell>
        </row>
        <row r="69">
          <cell r="A69" t="str">
            <v>200292720A</v>
          </cell>
          <cell r="B69" t="str">
            <v>SUMMIT MEDICAL CENTER, LLC</v>
          </cell>
          <cell r="C69">
            <v>1356574560</v>
          </cell>
          <cell r="D69">
            <v>1</v>
          </cell>
          <cell r="E69">
            <v>10</v>
          </cell>
        </row>
        <row r="70">
          <cell r="A70" t="str">
            <v>200310990A</v>
          </cell>
          <cell r="B70" t="str">
            <v>ST JOHN BROKEN ARROW, INC</v>
          </cell>
          <cell r="C70">
            <v>1497988596</v>
          </cell>
          <cell r="D70">
            <v>1</v>
          </cell>
          <cell r="E70">
            <v>10</v>
          </cell>
        </row>
        <row r="71">
          <cell r="A71" t="str">
            <v>200347120A</v>
          </cell>
          <cell r="B71" t="str">
            <v>LTAC HOSPITAL OF EDMOND, LLC</v>
          </cell>
          <cell r="C71">
            <v>1093016818</v>
          </cell>
          <cell r="D71">
            <v>1</v>
          </cell>
          <cell r="E71">
            <v>10</v>
          </cell>
        </row>
        <row r="72">
          <cell r="A72" t="str">
            <v>200405550A</v>
          </cell>
          <cell r="B72" t="str">
            <v>INTEGRIS HEALTH EDMOND, INC.</v>
          </cell>
          <cell r="C72">
            <v>1720373103</v>
          </cell>
          <cell r="D72">
            <v>1</v>
          </cell>
          <cell r="E72">
            <v>10</v>
          </cell>
        </row>
        <row r="73">
          <cell r="A73" t="str">
            <v>200417790W</v>
          </cell>
          <cell r="B73" t="str">
            <v>PERRY MEMORIAL HOSPITAL</v>
          </cell>
          <cell r="C73">
            <v>1003318692</v>
          </cell>
          <cell r="D73">
            <v>1</v>
          </cell>
          <cell r="E73">
            <v>10</v>
          </cell>
        </row>
        <row r="74">
          <cell r="A74" t="str">
            <v>200435950A</v>
          </cell>
          <cell r="B74" t="str">
            <v>HILLCREST HOSPITAL CLAREMORE</v>
          </cell>
          <cell r="C74">
            <v>1023398807</v>
          </cell>
          <cell r="D74">
            <v>1</v>
          </cell>
          <cell r="E74">
            <v>10</v>
          </cell>
        </row>
        <row r="75">
          <cell r="A75" t="str">
            <v>200439230A</v>
          </cell>
          <cell r="B75" t="str">
            <v>AHS SOUTHCREST HOSPITAL, LLC</v>
          </cell>
          <cell r="C75">
            <v>1750661534</v>
          </cell>
          <cell r="D75">
            <v>1</v>
          </cell>
          <cell r="E75">
            <v>10</v>
          </cell>
        </row>
        <row r="76">
          <cell r="A76" t="str">
            <v>200509290A</v>
          </cell>
          <cell r="B76" t="str">
            <v>MERCY HOSPITAL ADA, INC.</v>
          </cell>
          <cell r="C76">
            <v>1952643306</v>
          </cell>
          <cell r="D76">
            <v>1</v>
          </cell>
          <cell r="E76">
            <v>10</v>
          </cell>
        </row>
        <row r="77">
          <cell r="A77" t="str">
            <v>200518600A</v>
          </cell>
          <cell r="B77" t="str">
            <v>PAM SPECIALTY HOSPITAL OF TULSA</v>
          </cell>
          <cell r="C77">
            <v>1699110155</v>
          </cell>
          <cell r="D77">
            <v>1</v>
          </cell>
          <cell r="E77">
            <v>10</v>
          </cell>
        </row>
        <row r="78">
          <cell r="A78" t="str">
            <v>200573000A</v>
          </cell>
          <cell r="B78" t="str">
            <v>BRISTOW ENDEAVOR HEALTHCARE, LLC</v>
          </cell>
          <cell r="C78">
            <v>1265863583</v>
          </cell>
          <cell r="D78">
            <v>1</v>
          </cell>
          <cell r="E78">
            <v>10</v>
          </cell>
        </row>
        <row r="79">
          <cell r="A79" t="str">
            <v>200668710A</v>
          </cell>
          <cell r="B79" t="str">
            <v>BLACKWELL REGIONAL HOSPITAL</v>
          </cell>
          <cell r="C79">
            <v>1104375237</v>
          </cell>
          <cell r="D79">
            <v>1</v>
          </cell>
          <cell r="E79">
            <v>10</v>
          </cell>
        </row>
        <row r="80">
          <cell r="A80" t="str">
            <v>200693850A</v>
          </cell>
          <cell r="B80" t="str">
            <v>CURAHEALTH OKLAHOMA CITY</v>
          </cell>
          <cell r="C80">
            <v>1447601877</v>
          </cell>
          <cell r="D80">
            <v>1</v>
          </cell>
          <cell r="E80">
            <v>10</v>
          </cell>
        </row>
        <row r="81">
          <cell r="A81" t="str">
            <v>200693850B</v>
          </cell>
          <cell r="B81" t="str">
            <v>CURAHEALTH OKLAHOMA, LLC</v>
          </cell>
          <cell r="C81">
            <v>1437500873</v>
          </cell>
          <cell r="D81">
            <v>1</v>
          </cell>
          <cell r="E81">
            <v>10</v>
          </cell>
        </row>
        <row r="82">
          <cell r="A82" t="str">
            <v>200697510F</v>
          </cell>
          <cell r="B82" t="str">
            <v>CENTER FOR ORTHOPAEDIC RECONSTRUCTION &amp; EXCELLENCE</v>
          </cell>
          <cell r="C82">
            <v>1114435666</v>
          </cell>
          <cell r="D82">
            <v>1</v>
          </cell>
          <cell r="E82">
            <v>10</v>
          </cell>
        </row>
        <row r="83">
          <cell r="A83" t="str">
            <v>200700900A</v>
          </cell>
          <cell r="B83" t="str">
            <v>SAINT FRANCIS HOSPITAL MUSKOGEE INC</v>
          </cell>
          <cell r="C83">
            <v>1386188837</v>
          </cell>
          <cell r="D83">
            <v>1</v>
          </cell>
          <cell r="E83">
            <v>10</v>
          </cell>
        </row>
        <row r="84">
          <cell r="A84" t="str">
            <v>200702430B</v>
          </cell>
          <cell r="B84" t="str">
            <v>SAINT FRANCIS HOSPITAL VINITA</v>
          </cell>
          <cell r="C84">
            <v>1700334232</v>
          </cell>
          <cell r="D84">
            <v>1</v>
          </cell>
          <cell r="E84">
            <v>10</v>
          </cell>
        </row>
        <row r="85">
          <cell r="A85" t="str">
            <v>200735850A</v>
          </cell>
          <cell r="B85" t="str">
            <v>HILLCREST HOSPITAL PRYOR</v>
          </cell>
          <cell r="C85">
            <v>1780125005</v>
          </cell>
          <cell r="D85">
            <v>1</v>
          </cell>
          <cell r="E85">
            <v>10</v>
          </cell>
        </row>
        <row r="86">
          <cell r="A86" t="str">
            <v>200752850A</v>
          </cell>
          <cell r="B86" t="str">
            <v>OU MEDICINE</v>
          </cell>
          <cell r="C86">
            <v>1649794157</v>
          </cell>
          <cell r="D86">
            <v>1</v>
          </cell>
          <cell r="E86">
            <v>10</v>
          </cell>
        </row>
        <row r="87">
          <cell r="A87" t="str">
            <v>200573000G</v>
          </cell>
          <cell r="B87" t="str">
            <v>CIMARRON HEALTHCARE CENTER</v>
          </cell>
          <cell r="C87">
            <v>1295243749</v>
          </cell>
          <cell r="D87">
            <v>1</v>
          </cell>
          <cell r="E87">
            <v>10</v>
          </cell>
        </row>
        <row r="88">
          <cell r="A88" t="str">
            <v>100726280C</v>
          </cell>
          <cell r="B88" t="str">
            <v>CLAREMORE REGIONAL HOSPITAL-PSY</v>
          </cell>
          <cell r="C88">
            <v>1558328971</v>
          </cell>
          <cell r="D88">
            <v>1</v>
          </cell>
          <cell r="E88">
            <v>10</v>
          </cell>
        </row>
        <row r="89">
          <cell r="A89" t="str">
            <v>200119790B</v>
          </cell>
          <cell r="B89" t="str">
            <v>CORNERSTONE HOSPITAL OF OKLAHOMA - BROKEN ARROW</v>
          </cell>
          <cell r="C89">
            <v>1518980978</v>
          </cell>
          <cell r="D89">
            <v>1</v>
          </cell>
          <cell r="E89">
            <v>10</v>
          </cell>
        </row>
        <row r="90">
          <cell r="A90" t="str">
            <v>100261400G</v>
          </cell>
          <cell r="B90" t="str">
            <v>CRAIG GENERAL HOSPITAL - PSY</v>
          </cell>
          <cell r="C90">
            <v>1487697629</v>
          </cell>
          <cell r="D90">
            <v>1</v>
          </cell>
          <cell r="E90">
            <v>10</v>
          </cell>
        </row>
        <row r="91">
          <cell r="A91" t="str">
            <v>200064180C</v>
          </cell>
          <cell r="B91" t="str">
            <v>HP PRODUCTION TEST ID</v>
          </cell>
          <cell r="C91">
            <v>1096884741</v>
          </cell>
          <cell r="D91">
            <v>1</v>
          </cell>
          <cell r="E91">
            <v>10</v>
          </cell>
        </row>
        <row r="92">
          <cell r="A92" t="str">
            <v>200786710A</v>
          </cell>
          <cell r="B92" t="str">
            <v>INSPIRE SPECIALTY HOSPITAL</v>
          </cell>
          <cell r="C92">
            <v>1124545819</v>
          </cell>
          <cell r="D92">
            <v>1</v>
          </cell>
          <cell r="E92">
            <v>10</v>
          </cell>
        </row>
        <row r="93">
          <cell r="A93" t="str">
            <v>100699740B</v>
          </cell>
          <cell r="B93" t="str">
            <v>INTEGRIS BAPTIST MEDICAL CENTER, INC</v>
          </cell>
          <cell r="C93">
            <v>1831103654</v>
          </cell>
          <cell r="D93">
            <v>1</v>
          </cell>
          <cell r="E93">
            <v>10</v>
          </cell>
        </row>
        <row r="94">
          <cell r="A94" t="str">
            <v>200834400A</v>
          </cell>
          <cell r="B94" t="str">
            <v>INTEGRIS COMMUNITY HOSPITAL COUNCIL CROSSING</v>
          </cell>
          <cell r="C94">
            <v>1194209155</v>
          </cell>
          <cell r="D94">
            <v>1</v>
          </cell>
          <cell r="E94">
            <v>10</v>
          </cell>
        </row>
        <row r="95">
          <cell r="A95" t="str">
            <v>200834400B</v>
          </cell>
          <cell r="B95" t="str">
            <v>INTEGRIS COMMUNITY HOSPITAL DEL CITY</v>
          </cell>
          <cell r="C95">
            <v>1942784715</v>
          </cell>
          <cell r="D95">
            <v>1</v>
          </cell>
          <cell r="E95">
            <v>10</v>
          </cell>
        </row>
        <row r="96">
          <cell r="A96" t="str">
            <v>200834400D</v>
          </cell>
          <cell r="B96" t="str">
            <v>INTEGRIS COMMUNITY HOSPITAL MOORE</v>
          </cell>
          <cell r="C96">
            <v>1447734272</v>
          </cell>
          <cell r="D96">
            <v>1</v>
          </cell>
          <cell r="E96">
            <v>10</v>
          </cell>
        </row>
        <row r="97">
          <cell r="A97" t="str">
            <v>200834400C</v>
          </cell>
          <cell r="B97" t="str">
            <v>INTEGRIS COMMUNITY HOSPITAL - OKC WEST</v>
          </cell>
          <cell r="C97">
            <v>1336623198</v>
          </cell>
          <cell r="D97">
            <v>1</v>
          </cell>
          <cell r="E97">
            <v>10</v>
          </cell>
        </row>
        <row r="98">
          <cell r="A98" t="str">
            <v>100700860A</v>
          </cell>
          <cell r="B98" t="str">
            <v>LATIMER CO GEN HSP</v>
          </cell>
          <cell r="C98">
            <v>1053353631</v>
          </cell>
          <cell r="D98">
            <v>1</v>
          </cell>
          <cell r="E98">
            <v>10</v>
          </cell>
        </row>
        <row r="99">
          <cell r="A99" t="str">
            <v>200069370N</v>
          </cell>
          <cell r="B99" t="str">
            <v>MCBRIDE CLINIC ORTHOPEDIC HOSPITAL LLC</v>
          </cell>
          <cell r="C99">
            <v>1932145505</v>
          </cell>
          <cell r="D99">
            <v>1</v>
          </cell>
          <cell r="E99">
            <v>10</v>
          </cell>
        </row>
        <row r="100">
          <cell r="A100" t="str">
            <v>200320810D</v>
          </cell>
          <cell r="B100" t="str">
            <v>MERCY HOSPITAL EL RENO INC</v>
          </cell>
          <cell r="C100">
            <v>1184945644</v>
          </cell>
          <cell r="D100">
            <v>1</v>
          </cell>
          <cell r="E100">
            <v>10</v>
          </cell>
        </row>
        <row r="101">
          <cell r="A101" t="str">
            <v>100700360F</v>
          </cell>
          <cell r="B101" t="str">
            <v>OKMULGEE MEMORIAL HOSPITAL - PSY</v>
          </cell>
          <cell r="C101">
            <v>1558415372</v>
          </cell>
          <cell r="D101">
            <v>1</v>
          </cell>
          <cell r="E101">
            <v>10</v>
          </cell>
        </row>
        <row r="102">
          <cell r="A102" t="str">
            <v>200752850C</v>
          </cell>
          <cell r="B102" t="str">
            <v>OU MEDICINE</v>
          </cell>
          <cell r="C102">
            <v>1649794157</v>
          </cell>
          <cell r="D102">
            <v>1</v>
          </cell>
          <cell r="E102">
            <v>10</v>
          </cell>
        </row>
        <row r="103">
          <cell r="A103" t="str">
            <v>100699890A</v>
          </cell>
          <cell r="B103" t="str">
            <v>PAULS VALLEY GENERAL HOSPITAL</v>
          </cell>
          <cell r="C103">
            <v>1932169950</v>
          </cell>
          <cell r="D103">
            <v>1</v>
          </cell>
          <cell r="E103">
            <v>10</v>
          </cell>
        </row>
        <row r="104">
          <cell r="A104" t="str">
            <v>200700900D</v>
          </cell>
          <cell r="B104" t="str">
            <v>SAINT FRANCIS REGIONAL SERVICES INC</v>
          </cell>
          <cell r="C104">
            <v>1386188837</v>
          </cell>
          <cell r="D104">
            <v>1</v>
          </cell>
          <cell r="E104">
            <v>10</v>
          </cell>
        </row>
        <row r="105">
          <cell r="A105" t="str">
            <v>100700160I</v>
          </cell>
          <cell r="B105" t="str">
            <v>SAYRE MEMORIAL HOSPITAL - PSY</v>
          </cell>
          <cell r="C105">
            <v>1063604502</v>
          </cell>
          <cell r="D105">
            <v>1</v>
          </cell>
          <cell r="E105">
            <v>10</v>
          </cell>
        </row>
        <row r="106">
          <cell r="A106" t="str">
            <v>100691720C</v>
          </cell>
          <cell r="B106" t="str">
            <v>SOUTHWESTERN REGIONAL MEDICAL CENTER</v>
          </cell>
          <cell r="C106">
            <v>1073500419</v>
          </cell>
          <cell r="D106">
            <v>1</v>
          </cell>
          <cell r="E106">
            <v>10</v>
          </cell>
        </row>
        <row r="107">
          <cell r="A107" t="str">
            <v>100689130A</v>
          </cell>
          <cell r="B107" t="str">
            <v>UNIVERSITY HOSPITAL AUTHOR</v>
          </cell>
          <cell r="C107" t="str">
            <v xml:space="preserve">          </v>
          </cell>
          <cell r="D107">
            <v>1</v>
          </cell>
          <cell r="E107">
            <v>10</v>
          </cell>
        </row>
        <row r="108">
          <cell r="A108" t="str">
            <v>200028650A</v>
          </cell>
          <cell r="B108" t="str">
            <v>VALIR REHABILITATION HOSPITAL OF OKC</v>
          </cell>
          <cell r="C108">
            <v>1750379558</v>
          </cell>
          <cell r="D108">
            <v>1</v>
          </cell>
          <cell r="E108">
            <v>12</v>
          </cell>
        </row>
        <row r="109">
          <cell r="A109" t="str">
            <v>200479750A</v>
          </cell>
          <cell r="B109" t="str">
            <v>MERCY REHABILITATION HOSPITAL, LLC</v>
          </cell>
          <cell r="C109">
            <v>1811253206</v>
          </cell>
          <cell r="D109">
            <v>1</v>
          </cell>
          <cell r="E109">
            <v>12</v>
          </cell>
        </row>
        <row r="110">
          <cell r="A110" t="str">
            <v>200707260A</v>
          </cell>
          <cell r="B110" t="str">
            <v>PAM REHABILITATION HOSPITAL OF TULSA</v>
          </cell>
          <cell r="C110">
            <v>1730635301</v>
          </cell>
          <cell r="D110">
            <v>1</v>
          </cell>
          <cell r="E110">
            <v>12</v>
          </cell>
        </row>
        <row r="111">
          <cell r="A111" t="str">
            <v>100700670A</v>
          </cell>
          <cell r="B111" t="str">
            <v>J D MCCARTY C P CTR</v>
          </cell>
          <cell r="C111">
            <v>1609972058</v>
          </cell>
          <cell r="D111">
            <v>1</v>
          </cell>
          <cell r="E111">
            <v>12</v>
          </cell>
        </row>
        <row r="112">
          <cell r="A112" t="str">
            <v>200682470A</v>
          </cell>
          <cell r="B112" t="str">
            <v>ST. JOHN REHABILITATION HOSPITAL, AN AFFILIATE OF</v>
          </cell>
          <cell r="C112">
            <v>1073995056</v>
          </cell>
          <cell r="D112">
            <v>1</v>
          </cell>
          <cell r="E112">
            <v>12</v>
          </cell>
        </row>
        <row r="113">
          <cell r="A113" t="str">
            <v>100262850D</v>
          </cell>
          <cell r="B113" t="str">
            <v>ATOKA MEMORIAL HOSPITAL</v>
          </cell>
          <cell r="C113">
            <v>1508896499</v>
          </cell>
          <cell r="D113">
            <v>1</v>
          </cell>
          <cell r="E113">
            <v>14</v>
          </cell>
        </row>
        <row r="114">
          <cell r="A114" t="str">
            <v>100699550A</v>
          </cell>
          <cell r="B114" t="str">
            <v>ST JOHN SAPULPA INC</v>
          </cell>
          <cell r="C114">
            <v>1922076603</v>
          </cell>
          <cell r="D114">
            <v>1</v>
          </cell>
          <cell r="E114">
            <v>14</v>
          </cell>
        </row>
        <row r="115">
          <cell r="A115" t="str">
            <v>100699660A</v>
          </cell>
          <cell r="B115" t="str">
            <v>HARPER CO COM HSP</v>
          </cell>
          <cell r="C115">
            <v>1134128499</v>
          </cell>
          <cell r="D115">
            <v>1</v>
          </cell>
          <cell r="E115">
            <v>14</v>
          </cell>
        </row>
        <row r="116">
          <cell r="A116" t="str">
            <v>100699690A</v>
          </cell>
          <cell r="B116" t="str">
            <v>CARNEGIE TRI-COUNTY MUNICI</v>
          </cell>
          <cell r="C116">
            <v>1043323447</v>
          </cell>
          <cell r="D116">
            <v>1</v>
          </cell>
          <cell r="E116">
            <v>14</v>
          </cell>
        </row>
        <row r="117">
          <cell r="A117" t="str">
            <v>100699820A</v>
          </cell>
          <cell r="B117" t="str">
            <v>ROGER MILLS MEMORIAL HOSPITAL</v>
          </cell>
          <cell r="C117">
            <v>1497857437</v>
          </cell>
          <cell r="D117">
            <v>1</v>
          </cell>
          <cell r="E117">
            <v>14</v>
          </cell>
        </row>
        <row r="118">
          <cell r="A118" t="str">
            <v>100699830A</v>
          </cell>
          <cell r="B118" t="str">
            <v>SHARE MEMORIAL HOSPITAL</v>
          </cell>
          <cell r="C118">
            <v>1679684682</v>
          </cell>
          <cell r="D118">
            <v>1</v>
          </cell>
          <cell r="E118">
            <v>14</v>
          </cell>
        </row>
        <row r="119">
          <cell r="A119" t="str">
            <v>100699870E</v>
          </cell>
          <cell r="B119" t="str">
            <v>WEATHERFORD HOSPITAL AUTHORITY</v>
          </cell>
          <cell r="C119">
            <v>1639175185</v>
          </cell>
          <cell r="D119">
            <v>1</v>
          </cell>
          <cell r="E119">
            <v>14</v>
          </cell>
        </row>
        <row r="120">
          <cell r="A120" t="str">
            <v>100699960A</v>
          </cell>
          <cell r="B120" t="str">
            <v>MERCY HEALTH LOVE COUNTY</v>
          </cell>
          <cell r="C120">
            <v>1649221557</v>
          </cell>
          <cell r="D120">
            <v>1</v>
          </cell>
          <cell r="E120">
            <v>14</v>
          </cell>
        </row>
        <row r="121">
          <cell r="A121" t="str">
            <v>100700120Q</v>
          </cell>
          <cell r="B121" t="str">
            <v>DUNCAN REGIONAL HOSPITAL INC</v>
          </cell>
          <cell r="C121">
            <v>1518405331</v>
          </cell>
          <cell r="D121">
            <v>1</v>
          </cell>
          <cell r="E121">
            <v>14</v>
          </cell>
        </row>
        <row r="122">
          <cell r="A122" t="str">
            <v>100700250A</v>
          </cell>
          <cell r="B122" t="str">
            <v>OKEENE MUN HSP</v>
          </cell>
          <cell r="C122">
            <v>1336142033</v>
          </cell>
          <cell r="D122">
            <v>1</v>
          </cell>
          <cell r="E122">
            <v>14</v>
          </cell>
        </row>
        <row r="123">
          <cell r="A123" t="str">
            <v>100700440A</v>
          </cell>
          <cell r="B123" t="str">
            <v>ALLIANCE HEALTH MADILL</v>
          </cell>
          <cell r="C123">
            <v>1467476556</v>
          </cell>
          <cell r="D123">
            <v>1</v>
          </cell>
          <cell r="E123">
            <v>14</v>
          </cell>
        </row>
        <row r="124">
          <cell r="A124" t="str">
            <v>100700450A</v>
          </cell>
          <cell r="B124" t="str">
            <v>SEILING MUNICIPAL HOSPITAL</v>
          </cell>
          <cell r="C124">
            <v>1740698109</v>
          </cell>
          <cell r="D124">
            <v>1</v>
          </cell>
          <cell r="E124">
            <v>14</v>
          </cell>
        </row>
        <row r="125">
          <cell r="A125" t="str">
            <v>100700460A</v>
          </cell>
          <cell r="B125" t="str">
            <v>JANE PHILLIPS NOWATA</v>
          </cell>
          <cell r="C125">
            <v>1548247489</v>
          </cell>
          <cell r="D125">
            <v>1</v>
          </cell>
          <cell r="E125">
            <v>14</v>
          </cell>
        </row>
        <row r="126">
          <cell r="A126" t="str">
            <v>100700730A</v>
          </cell>
          <cell r="B126" t="str">
            <v>EASTERN OKLAHOMA MEDICAL CENTER</v>
          </cell>
          <cell r="C126">
            <v>1396767158</v>
          </cell>
          <cell r="D126">
            <v>1</v>
          </cell>
          <cell r="E126">
            <v>14</v>
          </cell>
        </row>
        <row r="127">
          <cell r="A127" t="str">
            <v>100700740A</v>
          </cell>
          <cell r="B127" t="str">
            <v>CIMARRON MEMORIAL HOSPITAL</v>
          </cell>
          <cell r="C127">
            <v>1073584819</v>
          </cell>
          <cell r="D127">
            <v>1</v>
          </cell>
          <cell r="E127">
            <v>14</v>
          </cell>
        </row>
        <row r="128">
          <cell r="A128" t="str">
            <v>100700760A</v>
          </cell>
          <cell r="B128" t="str">
            <v>BEAVER COUNTY MEMORIAL HOSPITAL</v>
          </cell>
          <cell r="C128">
            <v>1578540274</v>
          </cell>
          <cell r="D128">
            <v>1</v>
          </cell>
          <cell r="E128">
            <v>14</v>
          </cell>
        </row>
        <row r="129">
          <cell r="A129" t="str">
            <v>100700780B</v>
          </cell>
          <cell r="B129" t="str">
            <v>JACKSON COUNTY MEMORIAL HOSPITAL</v>
          </cell>
          <cell r="C129">
            <v>1295735991</v>
          </cell>
          <cell r="D129">
            <v>1</v>
          </cell>
          <cell r="E129">
            <v>14</v>
          </cell>
        </row>
        <row r="130">
          <cell r="A130" t="str">
            <v>100700790A</v>
          </cell>
          <cell r="B130" t="str">
            <v>ARBUCKLE MEM HSP</v>
          </cell>
          <cell r="C130">
            <v>1700869492</v>
          </cell>
          <cell r="D130">
            <v>1</v>
          </cell>
          <cell r="E130">
            <v>14</v>
          </cell>
        </row>
        <row r="131">
          <cell r="A131" t="str">
            <v>100700800A</v>
          </cell>
          <cell r="B131" t="str">
            <v>FAIRVIEW HSP</v>
          </cell>
          <cell r="C131">
            <v>1033153309</v>
          </cell>
          <cell r="D131">
            <v>1</v>
          </cell>
          <cell r="E131">
            <v>14</v>
          </cell>
        </row>
        <row r="132">
          <cell r="A132" t="str">
            <v>100700920A</v>
          </cell>
          <cell r="B132" t="str">
            <v>MCCURTAIN MEMORIAL HOSPITAL</v>
          </cell>
          <cell r="C132">
            <v>1063900975</v>
          </cell>
          <cell r="D132">
            <v>1</v>
          </cell>
          <cell r="E132">
            <v>14</v>
          </cell>
        </row>
        <row r="133">
          <cell r="A133" t="str">
            <v>100774650D</v>
          </cell>
          <cell r="B133" t="str">
            <v>MARY HURLEY HOSPITAL</v>
          </cell>
          <cell r="C133">
            <v>1629077227</v>
          </cell>
          <cell r="D133">
            <v>1</v>
          </cell>
          <cell r="E133">
            <v>14</v>
          </cell>
        </row>
        <row r="134">
          <cell r="A134" t="str">
            <v>100819200B</v>
          </cell>
          <cell r="B134" t="str">
            <v>CORDELL MEMORIAL HOSPITAL</v>
          </cell>
          <cell r="C134">
            <v>1750384426</v>
          </cell>
          <cell r="D134">
            <v>1</v>
          </cell>
          <cell r="E134">
            <v>14</v>
          </cell>
        </row>
        <row r="135">
          <cell r="A135" t="str">
            <v>200125010B</v>
          </cell>
          <cell r="B135" t="str">
            <v>STROUD REGIONAL MEDICAL CENTER</v>
          </cell>
          <cell r="C135">
            <v>1437107117</v>
          </cell>
          <cell r="D135">
            <v>1</v>
          </cell>
          <cell r="E135">
            <v>14</v>
          </cell>
        </row>
        <row r="136">
          <cell r="A136" t="str">
            <v>200125200B</v>
          </cell>
          <cell r="B136" t="str">
            <v>THE PHYSICIANS HOSPITAL IN ANADARKO</v>
          </cell>
          <cell r="C136">
            <v>1023076304</v>
          </cell>
          <cell r="D136">
            <v>1</v>
          </cell>
          <cell r="E136">
            <v>14</v>
          </cell>
        </row>
        <row r="137">
          <cell r="A137" t="str">
            <v>200231400B</v>
          </cell>
          <cell r="B137" t="str">
            <v>PRAGUE COMMUNITY HOSPITAL</v>
          </cell>
          <cell r="C137">
            <v>1750527768</v>
          </cell>
          <cell r="D137">
            <v>1</v>
          </cell>
          <cell r="E137">
            <v>14</v>
          </cell>
        </row>
        <row r="138">
          <cell r="A138" t="str">
            <v>200234090B</v>
          </cell>
          <cell r="B138" t="str">
            <v>CLEVELAND AREA HOSPITAL</v>
          </cell>
          <cell r="C138">
            <v>1427295872</v>
          </cell>
          <cell r="D138">
            <v>1</v>
          </cell>
          <cell r="E138">
            <v>14</v>
          </cell>
        </row>
        <row r="139">
          <cell r="A139" t="str">
            <v>200259440A</v>
          </cell>
          <cell r="B139" t="str">
            <v>DRUMRIGHT REGIONAL HOSPITAL</v>
          </cell>
          <cell r="C139">
            <v>1396988903</v>
          </cell>
          <cell r="D139">
            <v>1</v>
          </cell>
          <cell r="E139">
            <v>14</v>
          </cell>
        </row>
        <row r="140">
          <cell r="A140" t="str">
            <v>200311270A</v>
          </cell>
          <cell r="B140" t="str">
            <v>FAIRFAX COMMUNITY HOSPITAL</v>
          </cell>
          <cell r="C140">
            <v>1134451396</v>
          </cell>
          <cell r="D140">
            <v>1</v>
          </cell>
          <cell r="E140">
            <v>14</v>
          </cell>
        </row>
        <row r="141">
          <cell r="A141" t="str">
            <v>200313370A</v>
          </cell>
          <cell r="B141" t="str">
            <v>HASKELL COUNTY COMMUNITY HOSPITAL</v>
          </cell>
          <cell r="C141">
            <v>1922329853</v>
          </cell>
          <cell r="D141">
            <v>1</v>
          </cell>
          <cell r="E141">
            <v>14</v>
          </cell>
        </row>
        <row r="142">
          <cell r="A142" t="str">
            <v>200318440B</v>
          </cell>
          <cell r="B142" t="str">
            <v>MERCY HOSPITAL TISHOMINGO</v>
          </cell>
          <cell r="C142">
            <v>1932404431</v>
          </cell>
          <cell r="D142">
            <v>1</v>
          </cell>
          <cell r="E142">
            <v>14</v>
          </cell>
        </row>
        <row r="143">
          <cell r="A143" t="str">
            <v>200425410C</v>
          </cell>
          <cell r="B143" t="str">
            <v>MERCY HOSPITAL LOGAN COUNTY</v>
          </cell>
          <cell r="C143">
            <v>1306126818</v>
          </cell>
          <cell r="D143">
            <v>1</v>
          </cell>
          <cell r="E143">
            <v>14</v>
          </cell>
        </row>
        <row r="144">
          <cell r="A144" t="str">
            <v>200490030A</v>
          </cell>
          <cell r="B144" t="str">
            <v>MERCY HOSPITAL WATONGA INC</v>
          </cell>
          <cell r="C144">
            <v>1497017529</v>
          </cell>
          <cell r="D144">
            <v>1</v>
          </cell>
          <cell r="E144">
            <v>14</v>
          </cell>
        </row>
        <row r="145">
          <cell r="A145" t="str">
            <v>200521810B</v>
          </cell>
          <cell r="B145" t="str">
            <v>MERCY HOSPITAL KINGFISHER, INC</v>
          </cell>
          <cell r="C145">
            <v>1083048417</v>
          </cell>
          <cell r="D145">
            <v>1</v>
          </cell>
          <cell r="E145">
            <v>14</v>
          </cell>
        </row>
        <row r="146">
          <cell r="A146" t="str">
            <v>200539880B</v>
          </cell>
          <cell r="B146" t="str">
            <v>HOLDENVILLE GENERAL HOSPITAL</v>
          </cell>
          <cell r="C146">
            <v>1265851455</v>
          </cell>
          <cell r="D146">
            <v>1</v>
          </cell>
          <cell r="E146">
            <v>14</v>
          </cell>
        </row>
        <row r="147">
          <cell r="A147" t="str">
            <v>200740630B</v>
          </cell>
          <cell r="B147" t="str">
            <v>MANGUM REGIONAL MEDICAL CENTER</v>
          </cell>
          <cell r="C147">
            <v>1033635263</v>
          </cell>
          <cell r="D147">
            <v>1</v>
          </cell>
          <cell r="E147">
            <v>14</v>
          </cell>
        </row>
        <row r="148">
          <cell r="A148" t="str">
            <v>100699360I</v>
          </cell>
          <cell r="B148" t="str">
            <v>NEWMAN MEMORIAL HOSPITAL, INC</v>
          </cell>
          <cell r="C148">
            <v>1083617807</v>
          </cell>
          <cell r="D148">
            <v>1</v>
          </cell>
          <cell r="E148">
            <v>14</v>
          </cell>
        </row>
        <row r="149">
          <cell r="A149" t="str">
            <v>200085660J</v>
          </cell>
          <cell r="B149" t="str">
            <v>CEDAR RIDGE PSYCHIATRIC HOSPITAL</v>
          </cell>
          <cell r="C149">
            <v>1588836779</v>
          </cell>
          <cell r="D149">
            <v>63</v>
          </cell>
          <cell r="E149">
            <v>630</v>
          </cell>
        </row>
        <row r="150">
          <cell r="A150" t="str">
            <v>100688950C</v>
          </cell>
          <cell r="B150" t="str">
            <v>CHILDRENS RECOVERY CENTER OF OKLAHOMA RTC</v>
          </cell>
          <cell r="C150">
            <v>1437321882</v>
          </cell>
          <cell r="D150">
            <v>63</v>
          </cell>
          <cell r="E150">
            <v>630</v>
          </cell>
        </row>
        <row r="151">
          <cell r="A151" t="str">
            <v>200592140C</v>
          </cell>
          <cell r="B151" t="str">
            <v>RED RIVER YOUTH ACADEMY</v>
          </cell>
          <cell r="C151">
            <v>1669869145</v>
          </cell>
          <cell r="D151">
            <v>63</v>
          </cell>
          <cell r="E151">
            <v>630</v>
          </cell>
        </row>
        <row r="152">
          <cell r="A152" t="str">
            <v>200673510F</v>
          </cell>
          <cell r="B152" t="str">
            <v>MOCCASIN BEND RANCH</v>
          </cell>
          <cell r="C152">
            <v>1619342136</v>
          </cell>
          <cell r="D152">
            <v>63</v>
          </cell>
          <cell r="E152">
            <v>631</v>
          </cell>
        </row>
        <row r="153">
          <cell r="A153" t="str">
            <v>200285640C</v>
          </cell>
          <cell r="B153" t="str">
            <v>BETHESDA FAMILY SERVICES FOUNDATION</v>
          </cell>
          <cell r="C153">
            <v>1215255393</v>
          </cell>
          <cell r="D153">
            <v>63</v>
          </cell>
          <cell r="E153">
            <v>632</v>
          </cell>
        </row>
        <row r="154">
          <cell r="A154" t="str">
            <v>100700380P</v>
          </cell>
          <cell r="B154" t="str">
            <v>LAUREATE PSYCHIATRIC CLINIC &amp; HOSPITAL INC</v>
          </cell>
          <cell r="C154">
            <v>1710985064</v>
          </cell>
          <cell r="D154">
            <v>63</v>
          </cell>
          <cell r="E154">
            <v>634</v>
          </cell>
        </row>
        <row r="155">
          <cell r="A155" t="str">
            <v>100701680L</v>
          </cell>
          <cell r="B155" t="str">
            <v>ROLLING HILLS HOSPITAL, LLC</v>
          </cell>
          <cell r="C155">
            <v>1720085178</v>
          </cell>
          <cell r="D155">
            <v>63</v>
          </cell>
          <cell r="E155">
            <v>634</v>
          </cell>
        </row>
        <row r="156">
          <cell r="A156" t="str">
            <v>100738360L</v>
          </cell>
          <cell r="B156" t="str">
            <v>PARKSIDE PSYCHIATRIC HOSPITAL &amp; CLINIC</v>
          </cell>
          <cell r="C156">
            <v>1437370772</v>
          </cell>
          <cell r="D156">
            <v>63</v>
          </cell>
          <cell r="E156">
            <v>634</v>
          </cell>
        </row>
        <row r="157">
          <cell r="A157" t="str">
            <v>200085660H</v>
          </cell>
          <cell r="B157" t="str">
            <v>CEDAR RIDGE PSYCHIATRIC HOSPITAL</v>
          </cell>
          <cell r="C157">
            <v>1598716490</v>
          </cell>
          <cell r="D157">
            <v>63</v>
          </cell>
          <cell r="E157">
            <v>634</v>
          </cell>
        </row>
        <row r="158">
          <cell r="A158" t="str">
            <v>200673510G</v>
          </cell>
          <cell r="B158" t="str">
            <v>WILLOW CREST HOSPITAL</v>
          </cell>
          <cell r="C158">
            <v>1619342136</v>
          </cell>
          <cell r="D158">
            <v>63</v>
          </cell>
          <cell r="E158">
            <v>634</v>
          </cell>
        </row>
        <row r="159">
          <cell r="A159" t="str">
            <v>100701410E</v>
          </cell>
          <cell r="B159" t="str">
            <v>BROOKHAVEN HOSPITAL INC</v>
          </cell>
          <cell r="C159">
            <v>1023064300</v>
          </cell>
          <cell r="D159">
            <v>63</v>
          </cell>
          <cell r="E159">
            <v>634</v>
          </cell>
        </row>
        <row r="160">
          <cell r="A160" t="str">
            <v>200085660G</v>
          </cell>
          <cell r="B160" t="str">
            <v>BETHANY BEHAVIORAL HEALTH-A UNIT OF CEDAR RIDGE</v>
          </cell>
          <cell r="C160">
            <v>1598716490</v>
          </cell>
          <cell r="D160">
            <v>63</v>
          </cell>
          <cell r="E160">
            <v>634</v>
          </cell>
        </row>
        <row r="161">
          <cell r="A161" t="str">
            <v>100700640C</v>
          </cell>
          <cell r="B161" t="str">
            <v>CARL ALBERT COMM MHC</v>
          </cell>
          <cell r="C161">
            <v>1205873098</v>
          </cell>
          <cell r="D161">
            <v>63</v>
          </cell>
          <cell r="E161">
            <v>634</v>
          </cell>
        </row>
        <row r="162">
          <cell r="A162" t="str">
            <v>100690030B</v>
          </cell>
          <cell r="B162" t="str">
            <v>GRIFFIN MEMORIAL HOSPITAL</v>
          </cell>
          <cell r="C162">
            <v>1194816074</v>
          </cell>
          <cell r="D162">
            <v>63</v>
          </cell>
          <cell r="E162">
            <v>634</v>
          </cell>
        </row>
        <row r="163">
          <cell r="A163" t="str">
            <v>100700660B</v>
          </cell>
          <cell r="B163" t="str">
            <v>JIM TALIAFERRO MHC</v>
          </cell>
          <cell r="C163">
            <v>1760481899</v>
          </cell>
          <cell r="D163">
            <v>63</v>
          </cell>
          <cell r="E163">
            <v>634</v>
          </cell>
        </row>
        <row r="164">
          <cell r="A164" t="str">
            <v>100704080B</v>
          </cell>
          <cell r="B164" t="str">
            <v>NORTHWEST CENTER FOR BEHAVIORAL HEALTH</v>
          </cell>
          <cell r="C164">
            <v>1922171701</v>
          </cell>
          <cell r="D164">
            <v>63</v>
          </cell>
          <cell r="E164">
            <v>634</v>
          </cell>
        </row>
        <row r="165">
          <cell r="A165" t="str">
            <v>200718040B</v>
          </cell>
          <cell r="B165" t="str">
            <v>OAKWOOD SPRINGS, LLC</v>
          </cell>
          <cell r="C165">
            <v>1770932410</v>
          </cell>
          <cell r="D165">
            <v>63</v>
          </cell>
          <cell r="E165">
            <v>634</v>
          </cell>
        </row>
        <row r="166">
          <cell r="A166" t="str">
            <v>100738360N</v>
          </cell>
          <cell r="B166" t="str">
            <v>PARKSIDE PSYCHIATRIC HOSPITAL &amp; CLINIC</v>
          </cell>
          <cell r="C166">
            <v>1205135936</v>
          </cell>
          <cell r="D166">
            <v>63</v>
          </cell>
          <cell r="E166">
            <v>634</v>
          </cell>
        </row>
        <row r="167">
          <cell r="A167" t="str">
            <v>100707460F</v>
          </cell>
          <cell r="B167" t="str">
            <v>TULSA CENTER FOR BEHAVIORAL HEALTH</v>
          </cell>
          <cell r="C167">
            <v>1578580916</v>
          </cell>
          <cell r="D167">
            <v>63</v>
          </cell>
          <cell r="E167">
            <v>634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793B-FE2E-40B4-A0A7-2F00344F50A2}">
  <dimension ref="A1:Y90"/>
  <sheetViews>
    <sheetView zoomScaleNormal="100" workbookViewId="0">
      <pane xSplit="3" ySplit="1" topLeftCell="D2" activePane="bottomRight" state="frozen"/>
      <selection activeCell="T1" sqref="T1:U1048576"/>
      <selection pane="topRight" activeCell="T1" sqref="T1:U1048576"/>
      <selection pane="bottomLeft" activeCell="T1" sqref="T1:U1048576"/>
      <selection pane="bottomRight" activeCell="C4" sqref="C4"/>
    </sheetView>
  </sheetViews>
  <sheetFormatPr defaultRowHeight="14.4" x14ac:dyDescent="0.3"/>
  <cols>
    <col min="1" max="1" width="4.5546875" style="74" bestFit="1" customWidth="1"/>
    <col min="2" max="2" width="11.6640625" style="74" bestFit="1" customWidth="1"/>
    <col min="3" max="3" width="79.109375" style="74" bestFit="1" customWidth="1"/>
    <col min="4" max="4" width="7.33203125" style="74" bestFit="1" customWidth="1"/>
    <col min="5" max="5" width="2.6640625" style="72" customWidth="1"/>
    <col min="6" max="6" width="15.33203125" style="74" bestFit="1" customWidth="1"/>
    <col min="7" max="7" width="14.33203125" style="74" bestFit="1" customWidth="1"/>
    <col min="8" max="8" width="15.33203125" style="74" bestFit="1" customWidth="1"/>
    <col min="9" max="9" width="2.6640625" style="72" customWidth="1"/>
    <col min="10" max="10" width="15.33203125" style="74" bestFit="1" customWidth="1"/>
    <col min="11" max="11" width="14.33203125" style="74" bestFit="1" customWidth="1"/>
    <col min="12" max="12" width="15.33203125" style="74" bestFit="1" customWidth="1"/>
    <col min="13" max="13" width="2.6640625" style="72" customWidth="1"/>
    <col min="14" max="14" width="15.33203125" style="74" bestFit="1" customWidth="1"/>
    <col min="15" max="15" width="14.33203125" style="74" bestFit="1" customWidth="1"/>
    <col min="16" max="16" width="15.33203125" style="74" bestFit="1" customWidth="1"/>
    <col min="17" max="17" width="2.6640625" style="72" customWidth="1"/>
    <col min="18" max="18" width="15.33203125" style="74" bestFit="1" customWidth="1"/>
    <col min="19" max="19" width="14.33203125" style="74" bestFit="1" customWidth="1"/>
    <col min="20" max="20" width="15.5546875" style="74" bestFit="1" customWidth="1"/>
    <col min="21" max="21" width="2.6640625" style="72" customWidth="1"/>
    <col min="22" max="22" width="12.88671875" style="74" bestFit="1" customWidth="1"/>
    <col min="23" max="23" width="12.6640625" style="74" bestFit="1" customWidth="1"/>
    <col min="24" max="24" width="12.44140625" style="74" bestFit="1" customWidth="1"/>
    <col min="25" max="25" width="2.6640625" style="72" customWidth="1"/>
    <col min="26" max="16384" width="8.88671875" style="74"/>
  </cols>
  <sheetData>
    <row r="1" spans="1:24" ht="82.8" x14ac:dyDescent="0.3">
      <c r="A1" s="8" t="s">
        <v>282</v>
      </c>
      <c r="B1" s="8" t="s">
        <v>2</v>
      </c>
      <c r="C1" s="69" t="s">
        <v>3</v>
      </c>
      <c r="D1" s="69" t="s">
        <v>5</v>
      </c>
      <c r="E1" s="70"/>
      <c r="F1" s="69" t="s">
        <v>283</v>
      </c>
      <c r="G1" s="69" t="s">
        <v>284</v>
      </c>
      <c r="H1" s="71" t="s">
        <v>285</v>
      </c>
      <c r="I1" s="70"/>
      <c r="J1" s="69" t="s">
        <v>286</v>
      </c>
      <c r="K1" s="69" t="s">
        <v>287</v>
      </c>
      <c r="L1" s="71" t="s">
        <v>288</v>
      </c>
      <c r="M1" s="70"/>
      <c r="N1" s="69" t="s">
        <v>289</v>
      </c>
      <c r="O1" s="69" t="s">
        <v>290</v>
      </c>
      <c r="P1" s="71" t="s">
        <v>291</v>
      </c>
      <c r="R1" s="73" t="s">
        <v>292</v>
      </c>
      <c r="S1" s="73" t="s">
        <v>293</v>
      </c>
      <c r="T1" s="71" t="s">
        <v>294</v>
      </c>
      <c r="V1" s="73" t="s">
        <v>295</v>
      </c>
      <c r="W1" s="73" t="s">
        <v>296</v>
      </c>
      <c r="X1" s="71" t="s">
        <v>297</v>
      </c>
    </row>
    <row r="2" spans="1:24" x14ac:dyDescent="0.3">
      <c r="A2" s="75">
        <f>VLOOKUP(B2,[6]Address!$A:$E,5,FALSE)</f>
        <v>10</v>
      </c>
      <c r="B2" s="108" t="s">
        <v>33</v>
      </c>
      <c r="C2" s="76" t="s">
        <v>34</v>
      </c>
      <c r="D2" s="76">
        <v>1</v>
      </c>
      <c r="E2" s="77"/>
      <c r="F2" s="78">
        <v>2355357.64</v>
      </c>
      <c r="G2" s="78">
        <v>371668.38</v>
      </c>
      <c r="H2" s="79">
        <f t="shared" ref="H2:H65" si="0">F2+G2</f>
        <v>2727026.02</v>
      </c>
      <c r="I2" s="77"/>
      <c r="J2" s="78">
        <v>2531266.9</v>
      </c>
      <c r="K2" s="78">
        <v>419602.31</v>
      </c>
      <c r="L2" s="79">
        <f t="shared" ref="L2:L65" si="1">J2+K2</f>
        <v>2950869.21</v>
      </c>
      <c r="M2" s="77"/>
      <c r="N2" s="78">
        <v>2513695.75</v>
      </c>
      <c r="O2" s="78">
        <v>407032.25</v>
      </c>
      <c r="P2" s="79">
        <f t="shared" ref="P2:P65" si="2">N2+O2</f>
        <v>2920728</v>
      </c>
      <c r="R2" s="78">
        <v>2513695.75</v>
      </c>
      <c r="S2" s="78">
        <v>407032.25</v>
      </c>
      <c r="T2" s="79">
        <f t="shared" ref="T2:T65" si="3">R2+S2</f>
        <v>2920728</v>
      </c>
      <c r="V2" s="78">
        <v>140766.96</v>
      </c>
      <c r="W2" s="78">
        <v>22793.81</v>
      </c>
      <c r="X2" s="79">
        <f t="shared" ref="X2:X65" si="4">V2+W2</f>
        <v>163560.76999999999</v>
      </c>
    </row>
    <row r="3" spans="1:24" x14ac:dyDescent="0.3">
      <c r="A3" s="75">
        <f>VLOOKUP(B3,[6]Address!$A:$E,5,FALSE)</f>
        <v>10</v>
      </c>
      <c r="B3" s="109" t="s">
        <v>35</v>
      </c>
      <c r="C3" s="76" t="s">
        <v>36</v>
      </c>
      <c r="D3" s="76">
        <v>1</v>
      </c>
      <c r="E3" s="77"/>
      <c r="F3" s="78">
        <v>1709904.25</v>
      </c>
      <c r="G3" s="78">
        <v>437825.78</v>
      </c>
      <c r="H3" s="79">
        <f t="shared" si="0"/>
        <v>2147730.0300000003</v>
      </c>
      <c r="I3" s="77"/>
      <c r="J3" s="78">
        <v>1810648.65</v>
      </c>
      <c r="K3" s="78">
        <v>487001.59999999998</v>
      </c>
      <c r="L3" s="79">
        <f t="shared" si="1"/>
        <v>2297650.25</v>
      </c>
      <c r="M3" s="77"/>
      <c r="N3" s="78">
        <v>1810984</v>
      </c>
      <c r="O3" s="78">
        <v>475734.25</v>
      </c>
      <c r="P3" s="79">
        <f t="shared" si="2"/>
        <v>2286718.25</v>
      </c>
      <c r="R3" s="78">
        <v>1810984</v>
      </c>
      <c r="S3" s="78">
        <v>475734.25</v>
      </c>
      <c r="T3" s="79">
        <f t="shared" si="3"/>
        <v>2286718.25</v>
      </c>
      <c r="V3" s="78">
        <v>101415.1</v>
      </c>
      <c r="W3" s="78">
        <v>26641.119999999999</v>
      </c>
      <c r="X3" s="79">
        <f t="shared" si="4"/>
        <v>128056.22</v>
      </c>
    </row>
    <row r="4" spans="1:24" x14ac:dyDescent="0.3">
      <c r="A4" s="75">
        <f>VLOOKUP(B4,[6]Address!$A:$E,5,FALSE)</f>
        <v>10</v>
      </c>
      <c r="B4" s="109" t="s">
        <v>37</v>
      </c>
      <c r="C4" s="76" t="s">
        <v>38</v>
      </c>
      <c r="D4" s="76">
        <v>1</v>
      </c>
      <c r="E4" s="77"/>
      <c r="F4" s="78">
        <v>135210.76999999999</v>
      </c>
      <c r="G4" s="78">
        <v>160824.79999999999</v>
      </c>
      <c r="H4" s="79">
        <f t="shared" si="0"/>
        <v>296035.56999999995</v>
      </c>
      <c r="I4" s="77"/>
      <c r="J4" s="78">
        <v>186031.34</v>
      </c>
      <c r="K4" s="78">
        <v>191644.76</v>
      </c>
      <c r="L4" s="79">
        <f t="shared" si="1"/>
        <v>377676.1</v>
      </c>
      <c r="M4" s="77"/>
      <c r="N4" s="78">
        <v>165248</v>
      </c>
      <c r="O4" s="78">
        <v>181311.5</v>
      </c>
      <c r="P4" s="79">
        <f t="shared" si="2"/>
        <v>346559.5</v>
      </c>
      <c r="R4" s="78">
        <v>165248</v>
      </c>
      <c r="S4" s="78">
        <v>181311.5</v>
      </c>
      <c r="T4" s="79">
        <f t="shared" si="3"/>
        <v>346559.5</v>
      </c>
      <c r="V4" s="78">
        <v>9253.89</v>
      </c>
      <c r="W4" s="78">
        <v>10153.44</v>
      </c>
      <c r="X4" s="79">
        <f t="shared" si="4"/>
        <v>19407.330000000002</v>
      </c>
    </row>
    <row r="5" spans="1:24" x14ac:dyDescent="0.3">
      <c r="A5" s="75">
        <f>VLOOKUP(B5,[6]Address!$A:$E,5,FALSE)</f>
        <v>10</v>
      </c>
      <c r="B5" s="115" t="s">
        <v>39</v>
      </c>
      <c r="C5" s="76" t="s">
        <v>40</v>
      </c>
      <c r="D5" s="76">
        <v>1</v>
      </c>
      <c r="E5" s="77"/>
      <c r="F5" s="78">
        <v>284763.26</v>
      </c>
      <c r="G5" s="78">
        <v>175437.44</v>
      </c>
      <c r="H5" s="79">
        <f t="shared" si="0"/>
        <v>460200.7</v>
      </c>
      <c r="I5" s="77"/>
      <c r="J5" s="78">
        <v>311180.63</v>
      </c>
      <c r="K5" s="78">
        <v>184189.91999999998</v>
      </c>
      <c r="L5" s="79">
        <f t="shared" si="1"/>
        <v>495370.55</v>
      </c>
      <c r="M5" s="77"/>
      <c r="N5" s="78">
        <v>306555.5</v>
      </c>
      <c r="O5" s="78">
        <v>184993.5</v>
      </c>
      <c r="P5" s="79">
        <f t="shared" si="2"/>
        <v>491549</v>
      </c>
      <c r="R5" s="78">
        <v>306555.5</v>
      </c>
      <c r="S5" s="78">
        <v>184993.5</v>
      </c>
      <c r="T5" s="79">
        <f t="shared" si="3"/>
        <v>491549</v>
      </c>
      <c r="V5" s="78">
        <v>17167.11</v>
      </c>
      <c r="W5" s="78">
        <v>10359.64</v>
      </c>
      <c r="X5" s="79">
        <f t="shared" si="4"/>
        <v>27526.75</v>
      </c>
    </row>
    <row r="6" spans="1:24" x14ac:dyDescent="0.3">
      <c r="A6" s="75">
        <f>VLOOKUP(B6,[6]Address!$A:$E,5,FALSE)</f>
        <v>634</v>
      </c>
      <c r="B6" s="116" t="s">
        <v>41</v>
      </c>
      <c r="C6" s="76" t="s">
        <v>42</v>
      </c>
      <c r="D6" s="76">
        <v>1</v>
      </c>
      <c r="E6" s="77"/>
      <c r="F6" s="78">
        <v>0</v>
      </c>
      <c r="G6" s="78">
        <v>0</v>
      </c>
      <c r="H6" s="79">
        <f t="shared" si="0"/>
        <v>0</v>
      </c>
      <c r="I6" s="77"/>
      <c r="J6" s="78">
        <v>0</v>
      </c>
      <c r="K6" s="78">
        <v>0</v>
      </c>
      <c r="L6" s="79">
        <f t="shared" si="1"/>
        <v>0</v>
      </c>
      <c r="M6" s="77"/>
      <c r="N6" s="78">
        <v>0</v>
      </c>
      <c r="O6" s="78">
        <v>0</v>
      </c>
      <c r="P6" s="79">
        <f t="shared" si="2"/>
        <v>0</v>
      </c>
      <c r="R6" s="78">
        <v>0</v>
      </c>
      <c r="S6" s="78">
        <v>0</v>
      </c>
      <c r="T6" s="79">
        <f t="shared" si="3"/>
        <v>0</v>
      </c>
      <c r="V6" s="78">
        <v>0</v>
      </c>
      <c r="W6" s="78">
        <v>0</v>
      </c>
      <c r="X6" s="79">
        <f t="shared" si="4"/>
        <v>0</v>
      </c>
    </row>
    <row r="7" spans="1:24" x14ac:dyDescent="0.3">
      <c r="A7" s="75">
        <f>VLOOKUP(B7,[6]Address!$A:$E,5,FALSE)</f>
        <v>634</v>
      </c>
      <c r="B7" s="117" t="s">
        <v>44</v>
      </c>
      <c r="C7" s="76" t="s">
        <v>45</v>
      </c>
      <c r="D7" s="76">
        <v>1</v>
      </c>
      <c r="E7" s="77"/>
      <c r="F7" s="78">
        <v>1874705.88</v>
      </c>
      <c r="G7" s="78">
        <v>0</v>
      </c>
      <c r="H7" s="79">
        <f t="shared" si="0"/>
        <v>1874705.88</v>
      </c>
      <c r="I7" s="77"/>
      <c r="J7" s="78">
        <v>2274445.25</v>
      </c>
      <c r="K7" s="78">
        <v>0</v>
      </c>
      <c r="L7" s="79">
        <f t="shared" si="1"/>
        <v>2274445.25</v>
      </c>
      <c r="M7" s="77"/>
      <c r="N7" s="78">
        <v>2134337</v>
      </c>
      <c r="O7" s="78">
        <v>0</v>
      </c>
      <c r="P7" s="79">
        <f t="shared" si="2"/>
        <v>2134337</v>
      </c>
      <c r="R7" s="78">
        <v>2134337</v>
      </c>
      <c r="S7" s="78">
        <v>0</v>
      </c>
      <c r="T7" s="79">
        <f t="shared" si="3"/>
        <v>2134337</v>
      </c>
      <c r="V7" s="78">
        <v>119522.87</v>
      </c>
      <c r="W7" s="78">
        <v>0</v>
      </c>
      <c r="X7" s="79">
        <f t="shared" si="4"/>
        <v>119522.87</v>
      </c>
    </row>
    <row r="8" spans="1:24" x14ac:dyDescent="0.3">
      <c r="A8" s="75">
        <f>VLOOKUP(B8,[6]Address!$A:$E,5,FALSE)</f>
        <v>10</v>
      </c>
      <c r="B8" s="108" t="s">
        <v>46</v>
      </c>
      <c r="C8" s="76" t="s">
        <v>47</v>
      </c>
      <c r="D8" s="76">
        <v>1</v>
      </c>
      <c r="E8" s="77"/>
      <c r="F8" s="78">
        <v>190341.55</v>
      </c>
      <c r="G8" s="78">
        <v>85089.09</v>
      </c>
      <c r="H8" s="79">
        <f t="shared" si="0"/>
        <v>275430.64</v>
      </c>
      <c r="I8" s="77"/>
      <c r="J8" s="78">
        <v>200009.28</v>
      </c>
      <c r="K8" s="78">
        <v>95972.150000000009</v>
      </c>
      <c r="L8" s="79">
        <f t="shared" si="1"/>
        <v>295981.43</v>
      </c>
      <c r="M8" s="77"/>
      <c r="N8" s="78">
        <v>200797.75</v>
      </c>
      <c r="O8" s="78">
        <v>93138.5</v>
      </c>
      <c r="P8" s="79">
        <f t="shared" si="2"/>
        <v>293936.25</v>
      </c>
      <c r="R8" s="78">
        <v>200797.75</v>
      </c>
      <c r="S8" s="78">
        <v>93138.5</v>
      </c>
      <c r="T8" s="79">
        <f t="shared" si="3"/>
        <v>293936.25</v>
      </c>
      <c r="V8" s="78">
        <v>11244.67</v>
      </c>
      <c r="W8" s="78">
        <v>5215.76</v>
      </c>
      <c r="X8" s="79">
        <f t="shared" si="4"/>
        <v>16460.43</v>
      </c>
    </row>
    <row r="9" spans="1:24" x14ac:dyDescent="0.3">
      <c r="A9" s="75">
        <f>VLOOKUP(B9,[6]Address!$A:$E,5,FALSE)</f>
        <v>10</v>
      </c>
      <c r="B9" s="108" t="s">
        <v>48</v>
      </c>
      <c r="C9" s="76" t="s">
        <v>49</v>
      </c>
      <c r="D9" s="76">
        <v>1</v>
      </c>
      <c r="E9" s="77"/>
      <c r="F9" s="78">
        <v>714416.84</v>
      </c>
      <c r="G9" s="78">
        <v>398474.67</v>
      </c>
      <c r="H9" s="79">
        <f t="shared" si="0"/>
        <v>1112891.51</v>
      </c>
      <c r="I9" s="77"/>
      <c r="J9" s="78">
        <v>748911.18</v>
      </c>
      <c r="K9" s="78">
        <v>406975.56</v>
      </c>
      <c r="L9" s="79">
        <f t="shared" si="1"/>
        <v>1155886.74</v>
      </c>
      <c r="M9" s="77"/>
      <c r="N9" s="78">
        <v>752740.75</v>
      </c>
      <c r="O9" s="78">
        <v>414326.25</v>
      </c>
      <c r="P9" s="79">
        <f t="shared" si="2"/>
        <v>1167067</v>
      </c>
      <c r="R9" s="78">
        <v>752740.75</v>
      </c>
      <c r="S9" s="78">
        <v>414326.25</v>
      </c>
      <c r="T9" s="79">
        <f t="shared" si="3"/>
        <v>1167067</v>
      </c>
      <c r="V9" s="78">
        <v>42153.48</v>
      </c>
      <c r="W9" s="78">
        <v>23202.27</v>
      </c>
      <c r="X9" s="79">
        <f t="shared" si="4"/>
        <v>65355.75</v>
      </c>
    </row>
    <row r="10" spans="1:24" x14ac:dyDescent="0.3">
      <c r="A10" s="75">
        <f>VLOOKUP(B10,[6]Address!$A:$E,5,FALSE)</f>
        <v>10</v>
      </c>
      <c r="B10" s="109" t="s">
        <v>50</v>
      </c>
      <c r="C10" s="76" t="s">
        <v>51</v>
      </c>
      <c r="D10" s="76">
        <v>1</v>
      </c>
      <c r="E10" s="77"/>
      <c r="F10" s="78">
        <v>441695.71</v>
      </c>
      <c r="G10" s="78">
        <v>225341.3</v>
      </c>
      <c r="H10" s="79">
        <f t="shared" si="0"/>
        <v>667037.01</v>
      </c>
      <c r="I10" s="77"/>
      <c r="J10" s="78">
        <v>475761.48</v>
      </c>
      <c r="K10" s="78">
        <v>223489.91</v>
      </c>
      <c r="L10" s="79">
        <f t="shared" si="1"/>
        <v>699251.39</v>
      </c>
      <c r="M10" s="77"/>
      <c r="N10" s="78">
        <v>471943</v>
      </c>
      <c r="O10" s="78">
        <v>230880.25</v>
      </c>
      <c r="P10" s="79">
        <f t="shared" si="2"/>
        <v>702823.25</v>
      </c>
      <c r="R10" s="78">
        <v>471943</v>
      </c>
      <c r="S10" s="78">
        <v>230880.25</v>
      </c>
      <c r="T10" s="79">
        <f t="shared" si="3"/>
        <v>702823.25</v>
      </c>
      <c r="V10" s="78">
        <v>26428.81</v>
      </c>
      <c r="W10" s="78">
        <v>12929.29</v>
      </c>
      <c r="X10" s="79">
        <f t="shared" si="4"/>
        <v>39358.100000000006</v>
      </c>
    </row>
    <row r="11" spans="1:24" x14ac:dyDescent="0.3">
      <c r="A11" s="75">
        <f>VLOOKUP(B11,[6]Address!$A:$E,5,FALSE)</f>
        <v>10</v>
      </c>
      <c r="B11" s="109" t="s">
        <v>52</v>
      </c>
      <c r="C11" s="76" t="s">
        <v>53</v>
      </c>
      <c r="D11" s="76">
        <v>1</v>
      </c>
      <c r="E11" s="77"/>
      <c r="F11" s="78">
        <v>102869.33</v>
      </c>
      <c r="G11" s="78">
        <v>92028.67</v>
      </c>
      <c r="H11" s="79">
        <f t="shared" si="0"/>
        <v>194898</v>
      </c>
      <c r="I11" s="77"/>
      <c r="J11" s="78">
        <v>111767.70999999999</v>
      </c>
      <c r="K11" s="78">
        <v>90295.2</v>
      </c>
      <c r="L11" s="79">
        <f t="shared" si="1"/>
        <v>202062.90999999997</v>
      </c>
      <c r="M11" s="77"/>
      <c r="N11" s="78">
        <v>110410</v>
      </c>
      <c r="O11" s="78">
        <v>93788</v>
      </c>
      <c r="P11" s="79">
        <f t="shared" si="2"/>
        <v>204198</v>
      </c>
      <c r="R11" s="78">
        <v>110410</v>
      </c>
      <c r="S11" s="78">
        <v>93788</v>
      </c>
      <c r="T11" s="79">
        <f t="shared" si="3"/>
        <v>204198</v>
      </c>
      <c r="V11" s="78">
        <v>6182.96</v>
      </c>
      <c r="W11" s="78">
        <v>5252.13</v>
      </c>
      <c r="X11" s="79">
        <f t="shared" si="4"/>
        <v>11435.09</v>
      </c>
    </row>
    <row r="12" spans="1:24" x14ac:dyDescent="0.3">
      <c r="A12" s="75">
        <f>VLOOKUP(B12,[6]Address!$A:$E,5,FALSE)</f>
        <v>10</v>
      </c>
      <c r="B12" s="108" t="s">
        <v>54</v>
      </c>
      <c r="C12" s="76" t="s">
        <v>55</v>
      </c>
      <c r="D12" s="76">
        <v>1</v>
      </c>
      <c r="E12" s="77"/>
      <c r="F12" s="78">
        <v>700105.8</v>
      </c>
      <c r="G12" s="78">
        <v>226195.62</v>
      </c>
      <c r="H12" s="79">
        <f t="shared" si="0"/>
        <v>926301.42</v>
      </c>
      <c r="I12" s="77"/>
      <c r="J12" s="78">
        <v>736171.46</v>
      </c>
      <c r="K12" s="78">
        <v>241998.80000000002</v>
      </c>
      <c r="L12" s="79">
        <f t="shared" si="1"/>
        <v>978170.26</v>
      </c>
      <c r="M12" s="77"/>
      <c r="N12" s="78">
        <v>738825.75</v>
      </c>
      <c r="O12" s="78">
        <v>240840.75</v>
      </c>
      <c r="P12" s="79">
        <f t="shared" si="2"/>
        <v>979666.5</v>
      </c>
      <c r="R12" s="78">
        <v>738825.75</v>
      </c>
      <c r="S12" s="78">
        <v>240840.75</v>
      </c>
      <c r="T12" s="79">
        <f t="shared" si="3"/>
        <v>979666.5</v>
      </c>
      <c r="V12" s="78">
        <v>41374.239999999998</v>
      </c>
      <c r="W12" s="78">
        <v>13487.08</v>
      </c>
      <c r="X12" s="79">
        <f t="shared" si="4"/>
        <v>54861.32</v>
      </c>
    </row>
    <row r="13" spans="1:24" x14ac:dyDescent="0.3">
      <c r="A13" s="75">
        <f>VLOOKUP(B13,[6]Address!$A:$E,5,FALSE)</f>
        <v>10</v>
      </c>
      <c r="B13" s="109" t="s">
        <v>56</v>
      </c>
      <c r="C13" s="76" t="s">
        <v>57</v>
      </c>
      <c r="D13" s="83">
        <v>1</v>
      </c>
      <c r="E13" s="77"/>
      <c r="F13" s="78">
        <v>101028.3</v>
      </c>
      <c r="G13" s="78">
        <v>99018.28</v>
      </c>
      <c r="H13" s="79">
        <f t="shared" si="0"/>
        <v>200046.58000000002</v>
      </c>
      <c r="I13" s="77"/>
      <c r="J13" s="78">
        <v>114351.34999999999</v>
      </c>
      <c r="K13" s="78">
        <v>102821.89</v>
      </c>
      <c r="L13" s="79">
        <f t="shared" si="1"/>
        <v>217173.24</v>
      </c>
      <c r="M13" s="77"/>
      <c r="N13" s="78">
        <v>110792</v>
      </c>
      <c r="O13" s="78">
        <v>103827.25</v>
      </c>
      <c r="P13" s="79">
        <f t="shared" si="2"/>
        <v>214619.25</v>
      </c>
      <c r="R13" s="78">
        <v>110792</v>
      </c>
      <c r="S13" s="78">
        <v>103827.25</v>
      </c>
      <c r="T13" s="79">
        <f t="shared" si="3"/>
        <v>214619.25</v>
      </c>
      <c r="V13" s="78">
        <v>6204.35</v>
      </c>
      <c r="W13" s="78">
        <v>5814.33</v>
      </c>
      <c r="X13" s="79">
        <f t="shared" si="4"/>
        <v>12018.68</v>
      </c>
    </row>
    <row r="14" spans="1:24" x14ac:dyDescent="0.3">
      <c r="A14" s="75">
        <f>VLOOKUP(B14,[6]Address!$A:$E,5,FALSE)</f>
        <v>10</v>
      </c>
      <c r="B14" s="109" t="s">
        <v>58</v>
      </c>
      <c r="C14" s="83" t="s">
        <v>59</v>
      </c>
      <c r="D14" s="76">
        <v>1</v>
      </c>
      <c r="E14" s="77"/>
      <c r="F14" s="78">
        <v>10794899.359999999</v>
      </c>
      <c r="G14" s="78">
        <v>989899.17</v>
      </c>
      <c r="H14" s="79">
        <f t="shared" si="0"/>
        <v>11784798.529999999</v>
      </c>
      <c r="I14" s="77"/>
      <c r="J14" s="78">
        <v>11060977.970000001</v>
      </c>
      <c r="K14" s="78">
        <v>1087115.1400000001</v>
      </c>
      <c r="L14" s="79">
        <f t="shared" si="1"/>
        <v>12148093.110000001</v>
      </c>
      <c r="M14" s="77"/>
      <c r="N14" s="78">
        <v>11242735.25</v>
      </c>
      <c r="O14" s="78">
        <v>1068423</v>
      </c>
      <c r="P14" s="79">
        <f t="shared" si="2"/>
        <v>12311158.25</v>
      </c>
      <c r="R14" s="78">
        <v>11242735.25</v>
      </c>
      <c r="S14" s="78">
        <v>1068423</v>
      </c>
      <c r="T14" s="79">
        <f t="shared" si="3"/>
        <v>12311158.25</v>
      </c>
      <c r="V14" s="78">
        <v>629593.17000000004</v>
      </c>
      <c r="W14" s="78">
        <v>59831.69</v>
      </c>
      <c r="X14" s="79">
        <f t="shared" si="4"/>
        <v>689424.8600000001</v>
      </c>
    </row>
    <row r="15" spans="1:24" x14ac:dyDescent="0.3">
      <c r="A15" s="75">
        <f>VLOOKUP(B15,[6]Address!$A:$E,5,FALSE)</f>
        <v>10</v>
      </c>
      <c r="B15" s="109" t="s">
        <v>60</v>
      </c>
      <c r="C15" s="76" t="s">
        <v>61</v>
      </c>
      <c r="D15" s="76">
        <v>1</v>
      </c>
      <c r="E15" s="77"/>
      <c r="F15" s="78">
        <v>13245398.049999999</v>
      </c>
      <c r="G15" s="78">
        <v>1422487.64</v>
      </c>
      <c r="H15" s="79">
        <f t="shared" si="0"/>
        <v>14667885.689999999</v>
      </c>
      <c r="I15" s="77"/>
      <c r="J15" s="78">
        <f>12244528.57+J89+J90</f>
        <v>13788999.299999999</v>
      </c>
      <c r="K15" s="78">
        <v>1459629.9000000001</v>
      </c>
      <c r="L15" s="79">
        <f t="shared" si="1"/>
        <v>15248629.199999999</v>
      </c>
      <c r="M15" s="77"/>
      <c r="N15" s="78">
        <f>12340535.5+N89+N90</f>
        <v>13906583</v>
      </c>
      <c r="O15" s="78">
        <v>1482570.75</v>
      </c>
      <c r="P15" s="79">
        <f t="shared" si="2"/>
        <v>15389153.75</v>
      </c>
      <c r="R15" s="78">
        <f>12340535.5+R89+R90</f>
        <v>13906583</v>
      </c>
      <c r="S15" s="78">
        <v>1482570.75</v>
      </c>
      <c r="T15" s="79">
        <f t="shared" si="3"/>
        <v>15389153.75</v>
      </c>
      <c r="V15" s="78">
        <f>691069.99+V90+V89</f>
        <v>778768.65</v>
      </c>
      <c r="W15" s="78">
        <v>83023.960000000006</v>
      </c>
      <c r="X15" s="79">
        <f t="shared" si="4"/>
        <v>861792.61</v>
      </c>
    </row>
    <row r="16" spans="1:24" x14ac:dyDescent="0.3">
      <c r="A16" s="75">
        <f>VLOOKUP(B16,[6]Address!$A:$E,5,FALSE)</f>
        <v>10</v>
      </c>
      <c r="B16" s="109" t="s">
        <v>62</v>
      </c>
      <c r="C16" s="76" t="s">
        <v>63</v>
      </c>
      <c r="D16" s="76">
        <v>1</v>
      </c>
      <c r="E16" s="77"/>
      <c r="F16" s="78">
        <v>1232470.82</v>
      </c>
      <c r="G16" s="78">
        <v>283295.11</v>
      </c>
      <c r="H16" s="79">
        <f t="shared" si="0"/>
        <v>1515765.9300000002</v>
      </c>
      <c r="I16" s="77"/>
      <c r="J16" s="78">
        <f>822916.46+J81+J82</f>
        <v>1274447.92</v>
      </c>
      <c r="K16" s="78">
        <v>311433.78000000003</v>
      </c>
      <c r="L16" s="79">
        <f t="shared" si="1"/>
        <v>1585881.7</v>
      </c>
      <c r="M16" s="77"/>
      <c r="N16" s="78">
        <f>831727.75+N81+N82</f>
        <v>1289567.25</v>
      </c>
      <c r="O16" s="78">
        <v>305930.5</v>
      </c>
      <c r="P16" s="79">
        <f t="shared" si="2"/>
        <v>1595497.75</v>
      </c>
      <c r="R16" s="78">
        <f>831727.75+R81+R82</f>
        <v>1289567.25</v>
      </c>
      <c r="S16" s="78">
        <v>305930.5</v>
      </c>
      <c r="T16" s="79">
        <f t="shared" si="3"/>
        <v>1595497.75</v>
      </c>
      <c r="V16" s="78">
        <f>46576.75+V81+V82</f>
        <v>72215.759999999995</v>
      </c>
      <c r="W16" s="78">
        <v>17132.11</v>
      </c>
      <c r="X16" s="79">
        <f t="shared" si="4"/>
        <v>89347.87</v>
      </c>
    </row>
    <row r="17" spans="1:24" x14ac:dyDescent="0.3">
      <c r="A17" s="75">
        <f>VLOOKUP(B17,[6]Address!$A:$E,5,FALSE)</f>
        <v>10</v>
      </c>
      <c r="B17" s="109" t="s">
        <v>64</v>
      </c>
      <c r="C17" s="76" t="s">
        <v>65</v>
      </c>
      <c r="D17" s="76">
        <v>1</v>
      </c>
      <c r="E17" s="77"/>
      <c r="F17" s="78">
        <v>1046460.82</v>
      </c>
      <c r="G17" s="78">
        <v>249928.48</v>
      </c>
      <c r="H17" s="79">
        <f t="shared" si="0"/>
        <v>1296389.3</v>
      </c>
      <c r="I17" s="77"/>
      <c r="J17" s="78">
        <v>1081065.42</v>
      </c>
      <c r="K17" s="78">
        <v>275865.69</v>
      </c>
      <c r="L17" s="79">
        <f t="shared" si="1"/>
        <v>1356931.1099999999</v>
      </c>
      <c r="M17" s="77"/>
      <c r="N17" s="78">
        <v>1094406.5</v>
      </c>
      <c r="O17" s="78">
        <v>270470.25</v>
      </c>
      <c r="P17" s="79">
        <f t="shared" si="2"/>
        <v>1364876.75</v>
      </c>
      <c r="R17" s="78">
        <v>1094406.5</v>
      </c>
      <c r="S17" s="78">
        <v>270470.25</v>
      </c>
      <c r="T17" s="79">
        <f t="shared" si="3"/>
        <v>1364876.75</v>
      </c>
      <c r="V17" s="78">
        <v>61286.76</v>
      </c>
      <c r="W17" s="78">
        <v>15146.33</v>
      </c>
      <c r="X17" s="79">
        <f t="shared" si="4"/>
        <v>76433.09</v>
      </c>
    </row>
    <row r="18" spans="1:24" x14ac:dyDescent="0.3">
      <c r="A18" s="75">
        <f>VLOOKUP(B18,[6]Address!$A:$E,5,FALSE)</f>
        <v>10</v>
      </c>
      <c r="B18" s="118" t="s">
        <v>66</v>
      </c>
      <c r="C18" s="76" t="s">
        <v>67</v>
      </c>
      <c r="D18" s="76">
        <v>1</v>
      </c>
      <c r="E18" s="77"/>
      <c r="F18" s="78">
        <v>6749.13</v>
      </c>
      <c r="G18" s="78">
        <v>339979.48</v>
      </c>
      <c r="H18" s="79">
        <f t="shared" si="0"/>
        <v>346728.61</v>
      </c>
      <c r="I18" s="77"/>
      <c r="J18" s="78">
        <v>6949.75</v>
      </c>
      <c r="K18" s="78">
        <v>347775.16000000003</v>
      </c>
      <c r="L18" s="79">
        <f t="shared" si="1"/>
        <v>354724.91000000003</v>
      </c>
      <c r="M18" s="77"/>
      <c r="N18" s="78">
        <v>7046.75</v>
      </c>
      <c r="O18" s="78">
        <v>353783.25</v>
      </c>
      <c r="P18" s="79">
        <f t="shared" si="2"/>
        <v>360830</v>
      </c>
      <c r="R18" s="78">
        <v>7046.75</v>
      </c>
      <c r="S18" s="78">
        <v>353783.25</v>
      </c>
      <c r="T18" s="79">
        <f t="shared" si="3"/>
        <v>360830</v>
      </c>
      <c r="V18" s="78">
        <v>394.62</v>
      </c>
      <c r="W18" s="78">
        <v>19811.86</v>
      </c>
      <c r="X18" s="79">
        <f t="shared" si="4"/>
        <v>20206.48</v>
      </c>
    </row>
    <row r="19" spans="1:24" x14ac:dyDescent="0.3">
      <c r="A19" s="75">
        <f>VLOOKUP(B19,[6]Address!$A:$E,5,FALSE)</f>
        <v>10</v>
      </c>
      <c r="B19" s="109" t="s">
        <v>68</v>
      </c>
      <c r="C19" s="76" t="s">
        <v>69</v>
      </c>
      <c r="D19" s="76">
        <v>1</v>
      </c>
      <c r="E19" s="77"/>
      <c r="F19" s="78">
        <v>482554.39</v>
      </c>
      <c r="G19" s="78">
        <v>202315.48</v>
      </c>
      <c r="H19" s="79">
        <f t="shared" si="0"/>
        <v>684869.87</v>
      </c>
      <c r="I19" s="77"/>
      <c r="J19" s="78">
        <v>496885.3</v>
      </c>
      <c r="K19" s="78">
        <v>221020.16999999998</v>
      </c>
      <c r="L19" s="79">
        <f t="shared" si="1"/>
        <v>717905.47</v>
      </c>
      <c r="M19" s="77"/>
      <c r="N19" s="78">
        <v>503827</v>
      </c>
      <c r="O19" s="78">
        <v>217765.25</v>
      </c>
      <c r="P19" s="79">
        <f t="shared" si="2"/>
        <v>721592.25</v>
      </c>
      <c r="R19" s="78">
        <v>503827</v>
      </c>
      <c r="S19" s="78">
        <v>217765.25</v>
      </c>
      <c r="T19" s="79">
        <f t="shared" si="3"/>
        <v>721592.25</v>
      </c>
      <c r="V19" s="78">
        <v>28214.31</v>
      </c>
      <c r="W19" s="78">
        <v>12194.85</v>
      </c>
      <c r="X19" s="79">
        <f t="shared" si="4"/>
        <v>40409.160000000003</v>
      </c>
    </row>
    <row r="20" spans="1:24" x14ac:dyDescent="0.3">
      <c r="A20" s="75">
        <f>VLOOKUP(B20,[6]Address!$A:$E,5,FALSE)</f>
        <v>10</v>
      </c>
      <c r="B20" s="109" t="s">
        <v>70</v>
      </c>
      <c r="C20" s="76" t="s">
        <v>71</v>
      </c>
      <c r="D20" s="76">
        <v>1</v>
      </c>
      <c r="E20" s="77"/>
      <c r="F20" s="78">
        <v>651614.41</v>
      </c>
      <c r="G20" s="78">
        <v>177008.97</v>
      </c>
      <c r="H20" s="79">
        <f t="shared" si="0"/>
        <v>828623.38</v>
      </c>
      <c r="I20" s="77"/>
      <c r="J20" s="78">
        <v>686550.14</v>
      </c>
      <c r="K20" s="78">
        <v>221634.96</v>
      </c>
      <c r="L20" s="79">
        <f t="shared" si="1"/>
        <v>908185.1</v>
      </c>
      <c r="M20" s="77"/>
      <c r="N20" s="78">
        <v>688356.25</v>
      </c>
      <c r="O20" s="78">
        <v>205063.75</v>
      </c>
      <c r="P20" s="79">
        <f t="shared" si="2"/>
        <v>893420</v>
      </c>
      <c r="R20" s="78">
        <v>688356.25</v>
      </c>
      <c r="S20" s="78">
        <v>205063.75</v>
      </c>
      <c r="T20" s="79">
        <f t="shared" si="3"/>
        <v>893420</v>
      </c>
      <c r="V20" s="78">
        <v>38547.949999999997</v>
      </c>
      <c r="W20" s="78">
        <v>11483.57</v>
      </c>
      <c r="X20" s="79">
        <f t="shared" si="4"/>
        <v>50031.519999999997</v>
      </c>
    </row>
    <row r="21" spans="1:24" x14ac:dyDescent="0.3">
      <c r="A21" s="75">
        <f>VLOOKUP(B21,[6]Address!$A:$E,5,FALSE)</f>
        <v>10</v>
      </c>
      <c r="B21" s="109" t="s">
        <v>72</v>
      </c>
      <c r="C21" s="76" t="s">
        <v>73</v>
      </c>
      <c r="D21" s="76">
        <v>1</v>
      </c>
      <c r="E21" s="77"/>
      <c r="F21" s="78">
        <v>411184.45</v>
      </c>
      <c r="G21" s="78">
        <v>201062.32</v>
      </c>
      <c r="H21" s="79">
        <f t="shared" si="0"/>
        <v>612246.77</v>
      </c>
      <c r="I21" s="77"/>
      <c r="J21" s="78">
        <v>455986.32</v>
      </c>
      <c r="K21" s="78">
        <v>219695.58</v>
      </c>
      <c r="L21" s="79">
        <f t="shared" si="1"/>
        <v>675681.9</v>
      </c>
      <c r="M21" s="77"/>
      <c r="N21" s="78">
        <v>446075.5</v>
      </c>
      <c r="O21" s="78">
        <v>216439.25</v>
      </c>
      <c r="P21" s="79">
        <f t="shared" si="2"/>
        <v>662514.75</v>
      </c>
      <c r="R21" s="78">
        <v>446075.5</v>
      </c>
      <c r="S21" s="78">
        <v>216439.25</v>
      </c>
      <c r="T21" s="79">
        <f t="shared" si="3"/>
        <v>662514.75</v>
      </c>
      <c r="V21" s="78">
        <v>24980.23</v>
      </c>
      <c r="W21" s="78">
        <v>12120.6</v>
      </c>
      <c r="X21" s="79">
        <f t="shared" si="4"/>
        <v>37100.83</v>
      </c>
    </row>
    <row r="22" spans="1:24" x14ac:dyDescent="0.3">
      <c r="A22" s="75">
        <f>VLOOKUP(B22,[6]Address!$A:$E,5,FALSE)</f>
        <v>10</v>
      </c>
      <c r="B22" s="109" t="s">
        <v>74</v>
      </c>
      <c r="C22" s="76" t="s">
        <v>75</v>
      </c>
      <c r="D22" s="76">
        <v>1</v>
      </c>
      <c r="E22" s="77"/>
      <c r="F22" s="78">
        <v>4414742.7300000004</v>
      </c>
      <c r="G22" s="78">
        <v>787751.72</v>
      </c>
      <c r="H22" s="79">
        <f t="shared" si="0"/>
        <v>5202494.45</v>
      </c>
      <c r="I22" s="77"/>
      <c r="J22" s="78">
        <v>4673127.2799999993</v>
      </c>
      <c r="K22" s="78">
        <v>837878.43</v>
      </c>
      <c r="L22" s="79">
        <f t="shared" si="1"/>
        <v>5511005.709999999</v>
      </c>
      <c r="M22" s="77"/>
      <c r="N22" s="78">
        <v>4674830.25</v>
      </c>
      <c r="O22" s="78">
        <v>836229.5</v>
      </c>
      <c r="P22" s="79">
        <f t="shared" si="2"/>
        <v>5511059.75</v>
      </c>
      <c r="R22" s="78">
        <v>4674830.25</v>
      </c>
      <c r="S22" s="78">
        <v>836229.5</v>
      </c>
      <c r="T22" s="79">
        <f t="shared" si="3"/>
        <v>5511059.75</v>
      </c>
      <c r="V22" s="78">
        <v>261790.49</v>
      </c>
      <c r="W22" s="78">
        <v>46828.85</v>
      </c>
      <c r="X22" s="79">
        <f t="shared" si="4"/>
        <v>308619.33999999997</v>
      </c>
    </row>
    <row r="23" spans="1:24" x14ac:dyDescent="0.3">
      <c r="A23" s="75">
        <f>VLOOKUP(B23,[6]Address!$A:$E,5,FALSE)</f>
        <v>10</v>
      </c>
      <c r="B23" s="109" t="s">
        <v>76</v>
      </c>
      <c r="C23" s="76" t="s">
        <v>77</v>
      </c>
      <c r="D23" s="76">
        <v>1</v>
      </c>
      <c r="E23" s="77"/>
      <c r="F23" s="78">
        <v>909504.12</v>
      </c>
      <c r="G23" s="78">
        <v>313651.08</v>
      </c>
      <c r="H23" s="79">
        <f t="shared" si="0"/>
        <v>1223155.2</v>
      </c>
      <c r="I23" s="77"/>
      <c r="J23" s="78">
        <v>984213.83</v>
      </c>
      <c r="K23" s="78">
        <v>320958.96999999997</v>
      </c>
      <c r="L23" s="79">
        <f t="shared" si="1"/>
        <v>1305172.7999999998</v>
      </c>
      <c r="M23" s="77"/>
      <c r="N23" s="78">
        <v>974134.75</v>
      </c>
      <c r="O23" s="78">
        <v>326445.5</v>
      </c>
      <c r="P23" s="79">
        <f t="shared" si="2"/>
        <v>1300580.25</v>
      </c>
      <c r="R23" s="78">
        <v>974134.75</v>
      </c>
      <c r="S23" s="78">
        <v>326445.5</v>
      </c>
      <c r="T23" s="79">
        <f t="shared" si="3"/>
        <v>1300580.25</v>
      </c>
      <c r="V23" s="78">
        <v>54551.55</v>
      </c>
      <c r="W23" s="78">
        <v>18280.95</v>
      </c>
      <c r="X23" s="79">
        <f t="shared" si="4"/>
        <v>72832.5</v>
      </c>
    </row>
    <row r="24" spans="1:24" x14ac:dyDescent="0.3">
      <c r="A24" s="75">
        <f>VLOOKUP(B24,[6]Address!$A:$E,5,FALSE)</f>
        <v>10</v>
      </c>
      <c r="B24" s="109" t="s">
        <v>78</v>
      </c>
      <c r="C24" s="76" t="s">
        <v>79</v>
      </c>
      <c r="D24" s="76">
        <v>1</v>
      </c>
      <c r="E24" s="77"/>
      <c r="F24" s="78">
        <v>560520.53</v>
      </c>
      <c r="G24" s="78">
        <v>219093.2</v>
      </c>
      <c r="H24" s="79">
        <f t="shared" si="0"/>
        <v>779613.73</v>
      </c>
      <c r="I24" s="77"/>
      <c r="J24" s="78">
        <v>594993.06999999995</v>
      </c>
      <c r="K24" s="78">
        <v>251975.90999999997</v>
      </c>
      <c r="L24" s="79">
        <f t="shared" si="1"/>
        <v>846968.98</v>
      </c>
      <c r="M24" s="77"/>
      <c r="N24" s="78">
        <v>594400</v>
      </c>
      <c r="O24" s="78">
        <v>242319.5</v>
      </c>
      <c r="P24" s="79">
        <f t="shared" si="2"/>
        <v>836719.5</v>
      </c>
      <c r="R24" s="78">
        <v>594400</v>
      </c>
      <c r="S24" s="78">
        <v>242319.5</v>
      </c>
      <c r="T24" s="79">
        <f t="shared" si="3"/>
        <v>836719.5</v>
      </c>
      <c r="V24" s="78">
        <v>33286.400000000001</v>
      </c>
      <c r="W24" s="78">
        <v>13569.89</v>
      </c>
      <c r="X24" s="79">
        <f t="shared" si="4"/>
        <v>46856.29</v>
      </c>
    </row>
    <row r="25" spans="1:24" x14ac:dyDescent="0.3">
      <c r="A25" s="75">
        <f>VLOOKUP(B25,[6]Address!$A:$E,5,FALSE)</f>
        <v>634</v>
      </c>
      <c r="B25" s="113" t="s">
        <v>80</v>
      </c>
      <c r="C25" s="76" t="s">
        <v>81</v>
      </c>
      <c r="D25" s="76">
        <v>1</v>
      </c>
      <c r="E25" s="77"/>
      <c r="F25" s="78">
        <v>479117.76</v>
      </c>
      <c r="G25" s="78">
        <v>0</v>
      </c>
      <c r="H25" s="79">
        <f t="shared" si="0"/>
        <v>479117.76</v>
      </c>
      <c r="I25" s="77"/>
      <c r="J25" s="78">
        <v>1087000.23</v>
      </c>
      <c r="K25" s="78">
        <v>0</v>
      </c>
      <c r="L25" s="79">
        <f t="shared" si="1"/>
        <v>1087000.23</v>
      </c>
      <c r="M25" s="77"/>
      <c r="N25" s="78">
        <v>805616.25</v>
      </c>
      <c r="O25" s="78">
        <v>0</v>
      </c>
      <c r="P25" s="79">
        <f t="shared" si="2"/>
        <v>805616.25</v>
      </c>
      <c r="R25" s="78">
        <v>805616.25</v>
      </c>
      <c r="S25" s="78">
        <v>0</v>
      </c>
      <c r="T25" s="79">
        <f t="shared" si="3"/>
        <v>805616.25</v>
      </c>
      <c r="V25" s="78">
        <v>45114.51</v>
      </c>
      <c r="W25" s="78">
        <v>0</v>
      </c>
      <c r="X25" s="79">
        <f t="shared" si="4"/>
        <v>45114.51</v>
      </c>
    </row>
    <row r="26" spans="1:24" x14ac:dyDescent="0.3">
      <c r="A26" s="75">
        <f>VLOOKUP(B26,[6]Address!$A:$E,5,FALSE)</f>
        <v>10</v>
      </c>
      <c r="B26" s="109" t="s">
        <v>82</v>
      </c>
      <c r="C26" s="76" t="s">
        <v>83</v>
      </c>
      <c r="D26" s="76">
        <v>1</v>
      </c>
      <c r="E26" s="77"/>
      <c r="F26" s="78">
        <v>73292.160000000003</v>
      </c>
      <c r="G26" s="78">
        <v>167103.34</v>
      </c>
      <c r="H26" s="79">
        <f t="shared" si="0"/>
        <v>240395.5</v>
      </c>
      <c r="I26" s="77"/>
      <c r="J26" s="78">
        <v>75469.039999999994</v>
      </c>
      <c r="K26" s="78">
        <v>175506.25</v>
      </c>
      <c r="L26" s="79">
        <f t="shared" si="1"/>
        <v>250975.28999999998</v>
      </c>
      <c r="M26" s="77"/>
      <c r="N26" s="78">
        <v>76523.25</v>
      </c>
      <c r="O26" s="78">
        <v>176239.5</v>
      </c>
      <c r="P26" s="79">
        <f t="shared" si="2"/>
        <v>252762.75</v>
      </c>
      <c r="R26" s="78">
        <v>76523.25</v>
      </c>
      <c r="S26" s="78">
        <v>176239.5</v>
      </c>
      <c r="T26" s="79">
        <f t="shared" si="3"/>
        <v>252762.75</v>
      </c>
      <c r="V26" s="78">
        <v>4285.3</v>
      </c>
      <c r="W26" s="78">
        <v>9869.41</v>
      </c>
      <c r="X26" s="79">
        <f t="shared" si="4"/>
        <v>14154.71</v>
      </c>
    </row>
    <row r="27" spans="1:24" x14ac:dyDescent="0.3">
      <c r="A27" s="75">
        <f>VLOOKUP(B27,[6]Address!$A:$E,5,FALSE)</f>
        <v>10</v>
      </c>
      <c r="B27" s="109" t="s">
        <v>84</v>
      </c>
      <c r="C27" s="76" t="s">
        <v>85</v>
      </c>
      <c r="D27" s="76">
        <v>1</v>
      </c>
      <c r="E27" s="77"/>
      <c r="F27" s="78">
        <v>154226.23999999999</v>
      </c>
      <c r="G27" s="78">
        <v>61796.36</v>
      </c>
      <c r="H27" s="79">
        <f t="shared" si="0"/>
        <v>216022.59999999998</v>
      </c>
      <c r="I27" s="77"/>
      <c r="J27" s="78">
        <v>163925.40000000002</v>
      </c>
      <c r="K27" s="78">
        <v>61194.69</v>
      </c>
      <c r="L27" s="79">
        <f t="shared" si="1"/>
        <v>225120.09000000003</v>
      </c>
      <c r="M27" s="77"/>
      <c r="N27" s="78">
        <v>163658.25</v>
      </c>
      <c r="O27" s="78">
        <v>63267</v>
      </c>
      <c r="P27" s="79">
        <f t="shared" si="2"/>
        <v>226925.25</v>
      </c>
      <c r="R27" s="78">
        <v>163658.25</v>
      </c>
      <c r="S27" s="78">
        <v>63267</v>
      </c>
      <c r="T27" s="79">
        <f t="shared" si="3"/>
        <v>226925.25</v>
      </c>
      <c r="V27" s="78">
        <v>9164.86</v>
      </c>
      <c r="W27" s="78">
        <v>3542.95</v>
      </c>
      <c r="X27" s="79">
        <f t="shared" si="4"/>
        <v>12707.810000000001</v>
      </c>
    </row>
    <row r="28" spans="1:24" x14ac:dyDescent="0.3">
      <c r="A28" s="75">
        <f>VLOOKUP(B28,[6]Address!$A:$E,5,FALSE)</f>
        <v>10</v>
      </c>
      <c r="B28" s="109" t="s">
        <v>86</v>
      </c>
      <c r="C28" s="76" t="s">
        <v>87</v>
      </c>
      <c r="D28" s="76">
        <v>1</v>
      </c>
      <c r="E28" s="77"/>
      <c r="F28" s="78">
        <v>4048923.14</v>
      </c>
      <c r="G28" s="78">
        <v>1039642.78</v>
      </c>
      <c r="H28" s="79">
        <f t="shared" si="0"/>
        <v>5088565.92</v>
      </c>
      <c r="I28" s="77"/>
      <c r="J28" s="78">
        <v>4328610.72</v>
      </c>
      <c r="K28" s="78">
        <v>1100184.1200000001</v>
      </c>
      <c r="L28" s="79">
        <f t="shared" si="1"/>
        <v>5428794.8399999999</v>
      </c>
      <c r="M28" s="77"/>
      <c r="N28" s="78">
        <v>4309431</v>
      </c>
      <c r="O28" s="78">
        <v>1100734</v>
      </c>
      <c r="P28" s="79">
        <f t="shared" si="2"/>
        <v>5410165</v>
      </c>
      <c r="R28" s="78">
        <v>4309431</v>
      </c>
      <c r="S28" s="78">
        <v>1100734</v>
      </c>
      <c r="T28" s="79">
        <f t="shared" si="3"/>
        <v>5410165</v>
      </c>
      <c r="V28" s="78">
        <v>241328.14</v>
      </c>
      <c r="W28" s="78">
        <v>61641.1</v>
      </c>
      <c r="X28" s="79">
        <f t="shared" si="4"/>
        <v>302969.24</v>
      </c>
    </row>
    <row r="29" spans="1:24" x14ac:dyDescent="0.3">
      <c r="A29" s="75">
        <f>VLOOKUP(B29,[6]Address!$A:$E,5,FALSE)</f>
        <v>10</v>
      </c>
      <c r="B29" s="109" t="s">
        <v>88</v>
      </c>
      <c r="C29" s="76" t="s">
        <v>89</v>
      </c>
      <c r="D29" s="76">
        <v>1</v>
      </c>
      <c r="E29" s="77"/>
      <c r="F29" s="78">
        <v>1037287.26</v>
      </c>
      <c r="G29" s="78">
        <v>296746.15999999997</v>
      </c>
      <c r="H29" s="79">
        <f t="shared" si="0"/>
        <v>1334033.42</v>
      </c>
      <c r="I29" s="77"/>
      <c r="J29" s="78">
        <v>1089491.02</v>
      </c>
      <c r="K29" s="78">
        <v>324846.87000000005</v>
      </c>
      <c r="L29" s="79">
        <f t="shared" si="1"/>
        <v>1414337.8900000001</v>
      </c>
      <c r="M29" s="77"/>
      <c r="N29" s="78">
        <v>1094021.75</v>
      </c>
      <c r="O29" s="78">
        <v>319749.5</v>
      </c>
      <c r="P29" s="79">
        <f t="shared" si="2"/>
        <v>1413771.25</v>
      </c>
      <c r="R29" s="78">
        <v>1094021.75</v>
      </c>
      <c r="S29" s="78">
        <v>319749.5</v>
      </c>
      <c r="T29" s="79">
        <f t="shared" si="3"/>
        <v>1413771.25</v>
      </c>
      <c r="V29" s="78">
        <v>61265.22</v>
      </c>
      <c r="W29" s="78">
        <v>17905.97</v>
      </c>
      <c r="X29" s="79">
        <f t="shared" si="4"/>
        <v>79171.19</v>
      </c>
    </row>
    <row r="30" spans="1:24" x14ac:dyDescent="0.3">
      <c r="A30" s="75">
        <f>VLOOKUP(B30,[6]Address!$A:$E,5,FALSE)</f>
        <v>10</v>
      </c>
      <c r="B30" s="109" t="s">
        <v>90</v>
      </c>
      <c r="C30" s="76" t="s">
        <v>91</v>
      </c>
      <c r="D30" s="76">
        <v>1</v>
      </c>
      <c r="E30" s="77"/>
      <c r="F30" s="78">
        <v>1252984.42</v>
      </c>
      <c r="G30" s="78">
        <v>516971.22</v>
      </c>
      <c r="H30" s="79">
        <f t="shared" si="0"/>
        <v>1769955.64</v>
      </c>
      <c r="I30" s="77"/>
      <c r="J30" s="78">
        <v>1305125.6700000002</v>
      </c>
      <c r="K30" s="78">
        <v>520036.14</v>
      </c>
      <c r="L30" s="79">
        <f t="shared" si="1"/>
        <v>1825161.81</v>
      </c>
      <c r="M30" s="77"/>
      <c r="N30" s="78">
        <v>1315900.25</v>
      </c>
      <c r="O30" s="78">
        <v>533440</v>
      </c>
      <c r="P30" s="79">
        <f t="shared" si="2"/>
        <v>1849340.25</v>
      </c>
      <c r="R30" s="78">
        <v>1315900.25</v>
      </c>
      <c r="S30" s="78">
        <v>533440</v>
      </c>
      <c r="T30" s="79">
        <f t="shared" si="3"/>
        <v>1849340.25</v>
      </c>
      <c r="V30" s="78">
        <v>73690.41</v>
      </c>
      <c r="W30" s="78">
        <v>29872.639999999999</v>
      </c>
      <c r="X30" s="79">
        <f t="shared" si="4"/>
        <v>103563.05</v>
      </c>
    </row>
    <row r="31" spans="1:24" x14ac:dyDescent="0.3">
      <c r="A31" s="75">
        <f>VLOOKUP(B31,[6]Address!$A:$E,5,FALSE)</f>
        <v>12</v>
      </c>
      <c r="B31" s="109" t="s">
        <v>92</v>
      </c>
      <c r="C31" s="76" t="s">
        <v>93</v>
      </c>
      <c r="D31" s="76">
        <v>1</v>
      </c>
      <c r="E31" s="77"/>
      <c r="F31" s="78">
        <v>16717.53</v>
      </c>
      <c r="G31" s="78">
        <v>0</v>
      </c>
      <c r="H31" s="79">
        <f t="shared" si="0"/>
        <v>16717.53</v>
      </c>
      <c r="I31" s="77"/>
      <c r="J31" s="78">
        <v>17214.02</v>
      </c>
      <c r="K31" s="78">
        <v>0</v>
      </c>
      <c r="L31" s="79">
        <f t="shared" si="1"/>
        <v>17214.02</v>
      </c>
      <c r="M31" s="77"/>
      <c r="N31" s="78">
        <v>17454.5</v>
      </c>
      <c r="O31" s="78">
        <v>0</v>
      </c>
      <c r="P31" s="79">
        <f t="shared" si="2"/>
        <v>17454.5</v>
      </c>
      <c r="R31" s="78">
        <v>17454.5</v>
      </c>
      <c r="S31" s="78">
        <v>0</v>
      </c>
      <c r="T31" s="79">
        <f t="shared" si="3"/>
        <v>17454.5</v>
      </c>
      <c r="V31" s="78">
        <v>977.45</v>
      </c>
      <c r="W31" s="78">
        <v>0</v>
      </c>
      <c r="X31" s="79">
        <f t="shared" si="4"/>
        <v>977.45</v>
      </c>
    </row>
    <row r="32" spans="1:24" x14ac:dyDescent="0.3">
      <c r="A32" s="75">
        <v>10</v>
      </c>
      <c r="B32" s="109" t="s">
        <v>94</v>
      </c>
      <c r="C32" s="76" t="s">
        <v>298</v>
      </c>
      <c r="D32" s="76">
        <v>1</v>
      </c>
      <c r="E32" s="77"/>
      <c r="F32" s="78">
        <v>1128976.0900000001</v>
      </c>
      <c r="G32" s="78">
        <v>196814.09</v>
      </c>
      <c r="H32" s="79">
        <f t="shared" si="0"/>
        <v>1325790.1800000002</v>
      </c>
      <c r="I32" s="77"/>
      <c r="J32" s="78">
        <v>1484726.5599999998</v>
      </c>
      <c r="K32" s="78">
        <v>352172</v>
      </c>
      <c r="L32" s="79">
        <f t="shared" si="1"/>
        <v>1836898.5599999998</v>
      </c>
      <c r="M32" s="77"/>
      <c r="N32" s="78">
        <v>1344497.25</v>
      </c>
      <c r="O32" s="78">
        <v>282400.25</v>
      </c>
      <c r="P32" s="79">
        <f t="shared" si="2"/>
        <v>1626897.5</v>
      </c>
      <c r="R32" s="78">
        <v>1344497.25</v>
      </c>
      <c r="S32" s="78">
        <v>282400.25</v>
      </c>
      <c r="T32" s="79">
        <f t="shared" si="3"/>
        <v>1626897.5</v>
      </c>
      <c r="V32" s="78">
        <v>75291.850000000006</v>
      </c>
      <c r="W32" s="78">
        <v>15814.41</v>
      </c>
      <c r="X32" s="79">
        <f t="shared" si="4"/>
        <v>91106.260000000009</v>
      </c>
    </row>
    <row r="33" spans="1:24" x14ac:dyDescent="0.3">
      <c r="A33" s="75">
        <f>VLOOKUP(B33,[6]Address!$A:$E,5,FALSE)</f>
        <v>634</v>
      </c>
      <c r="B33" s="109" t="s">
        <v>96</v>
      </c>
      <c r="C33" s="76" t="s">
        <v>97</v>
      </c>
      <c r="D33" s="76">
        <v>1</v>
      </c>
      <c r="E33" s="77"/>
      <c r="F33" s="78">
        <v>371008.05</v>
      </c>
      <c r="G33" s="78">
        <v>0</v>
      </c>
      <c r="H33" s="79">
        <f t="shared" si="0"/>
        <v>371008.05</v>
      </c>
      <c r="I33" s="77"/>
      <c r="J33" s="78">
        <v>786439.83000000007</v>
      </c>
      <c r="K33" s="78">
        <v>0</v>
      </c>
      <c r="L33" s="79">
        <f t="shared" si="1"/>
        <v>786439.83000000007</v>
      </c>
      <c r="M33" s="77"/>
      <c r="N33" s="78">
        <v>595395</v>
      </c>
      <c r="O33" s="78">
        <v>0</v>
      </c>
      <c r="P33" s="79">
        <f t="shared" si="2"/>
        <v>595395</v>
      </c>
      <c r="R33" s="78">
        <v>595395</v>
      </c>
      <c r="S33" s="78">
        <v>0</v>
      </c>
      <c r="T33" s="79">
        <f t="shared" si="3"/>
        <v>595395</v>
      </c>
      <c r="V33" s="78">
        <v>33342.120000000003</v>
      </c>
      <c r="W33" s="78">
        <v>0</v>
      </c>
      <c r="X33" s="79">
        <f t="shared" si="4"/>
        <v>33342.120000000003</v>
      </c>
    </row>
    <row r="34" spans="1:24" x14ac:dyDescent="0.3">
      <c r="A34" s="75">
        <f>VLOOKUP(B34,[6]Address!$A:$E,5,FALSE)</f>
        <v>10</v>
      </c>
      <c r="B34" s="109" t="s">
        <v>98</v>
      </c>
      <c r="C34" s="76" t="s">
        <v>99</v>
      </c>
      <c r="D34" s="76">
        <v>1</v>
      </c>
      <c r="E34" s="77"/>
      <c r="F34" s="78">
        <v>2925969.77</v>
      </c>
      <c r="G34" s="78">
        <v>506656.36</v>
      </c>
      <c r="H34" s="79">
        <f t="shared" si="0"/>
        <v>3432626.13</v>
      </c>
      <c r="I34" s="77"/>
      <c r="J34" s="78">
        <v>3037732.83</v>
      </c>
      <c r="K34" s="78">
        <v>530729.11</v>
      </c>
      <c r="L34" s="79">
        <f t="shared" si="1"/>
        <v>3568461.94</v>
      </c>
      <c r="M34" s="77"/>
      <c r="N34" s="78">
        <v>3067748.25</v>
      </c>
      <c r="O34" s="78">
        <v>533634.5</v>
      </c>
      <c r="P34" s="79">
        <f t="shared" si="2"/>
        <v>3601382.75</v>
      </c>
      <c r="R34" s="78">
        <v>3067748.25</v>
      </c>
      <c r="S34" s="78">
        <v>533634.5</v>
      </c>
      <c r="T34" s="79">
        <f t="shared" si="3"/>
        <v>3601382.75</v>
      </c>
      <c r="V34" s="78">
        <v>171793.9</v>
      </c>
      <c r="W34" s="78">
        <v>29883.53</v>
      </c>
      <c r="X34" s="79">
        <f t="shared" si="4"/>
        <v>201677.43</v>
      </c>
    </row>
    <row r="35" spans="1:24" x14ac:dyDescent="0.3">
      <c r="A35" s="75">
        <v>10</v>
      </c>
      <c r="B35" s="109" t="s">
        <v>100</v>
      </c>
      <c r="C35" s="84" t="s">
        <v>101</v>
      </c>
      <c r="D35" s="76">
        <v>1</v>
      </c>
      <c r="E35" s="77"/>
      <c r="F35" s="78">
        <v>3828.39</v>
      </c>
      <c r="G35" s="78">
        <v>8815.7800000000007</v>
      </c>
      <c r="H35" s="79">
        <f t="shared" si="0"/>
        <v>12644.17</v>
      </c>
      <c r="I35" s="77"/>
      <c r="J35" s="78">
        <v>7869.1399999999994</v>
      </c>
      <c r="K35" s="78">
        <v>54629.58</v>
      </c>
      <c r="L35" s="79">
        <f t="shared" si="1"/>
        <v>62498.720000000001</v>
      </c>
      <c r="M35" s="77"/>
      <c r="N35" s="78">
        <v>6017.25</v>
      </c>
      <c r="O35" s="78">
        <v>32636.5</v>
      </c>
      <c r="P35" s="79">
        <f t="shared" si="2"/>
        <v>38653.75</v>
      </c>
      <c r="R35" s="78">
        <v>6017.25</v>
      </c>
      <c r="S35" s="78">
        <v>32636.5</v>
      </c>
      <c r="T35" s="79">
        <f t="shared" si="3"/>
        <v>38653.75</v>
      </c>
      <c r="V35" s="78">
        <v>336.97</v>
      </c>
      <c r="W35" s="78">
        <v>1827.64</v>
      </c>
      <c r="X35" s="79">
        <f t="shared" si="4"/>
        <v>2164.61</v>
      </c>
    </row>
    <row r="36" spans="1:24" x14ac:dyDescent="0.3">
      <c r="A36" s="75">
        <f>VLOOKUP(B36,[6]Address!$A:$E,5,FALSE)</f>
        <v>12</v>
      </c>
      <c r="B36" s="119" t="s">
        <v>103</v>
      </c>
      <c r="C36" s="42" t="s">
        <v>104</v>
      </c>
      <c r="D36" s="76">
        <v>1</v>
      </c>
      <c r="E36" s="77"/>
      <c r="F36" s="78">
        <v>47720.14</v>
      </c>
      <c r="G36" s="78">
        <v>0</v>
      </c>
      <c r="H36" s="79">
        <f t="shared" si="0"/>
        <v>47720.14</v>
      </c>
      <c r="I36" s="77"/>
      <c r="J36" s="78">
        <v>49137.72</v>
      </c>
      <c r="K36" s="78">
        <v>0</v>
      </c>
      <c r="L36" s="79">
        <f t="shared" si="1"/>
        <v>49137.72</v>
      </c>
      <c r="M36" s="77"/>
      <c r="N36" s="78">
        <v>49824</v>
      </c>
      <c r="O36" s="78">
        <v>0</v>
      </c>
      <c r="P36" s="79">
        <f t="shared" si="2"/>
        <v>49824</v>
      </c>
      <c r="R36" s="78">
        <v>49824</v>
      </c>
      <c r="S36" s="78">
        <v>0</v>
      </c>
      <c r="T36" s="79">
        <f t="shared" si="3"/>
        <v>49824</v>
      </c>
      <c r="V36" s="78">
        <v>2790.14</v>
      </c>
      <c r="W36" s="78">
        <v>0</v>
      </c>
      <c r="X36" s="79">
        <f t="shared" si="4"/>
        <v>2790.14</v>
      </c>
    </row>
    <row r="37" spans="1:24" x14ac:dyDescent="0.3">
      <c r="A37" s="75">
        <f>VLOOKUP(B37,[6]Address!$A:$E,5,FALSE)</f>
        <v>634</v>
      </c>
      <c r="B37" s="109" t="s">
        <v>105</v>
      </c>
      <c r="C37" s="76" t="s">
        <v>106</v>
      </c>
      <c r="D37" s="76">
        <v>1</v>
      </c>
      <c r="E37" s="77"/>
      <c r="F37" s="78">
        <v>1413661.24</v>
      </c>
      <c r="G37" s="78">
        <v>0</v>
      </c>
      <c r="H37" s="79">
        <f t="shared" si="0"/>
        <v>1413661.24</v>
      </c>
      <c r="I37" s="77"/>
      <c r="J37" s="78">
        <f>1176223.36+J84</f>
        <v>1759013.34</v>
      </c>
      <c r="K37" s="78">
        <v>0</v>
      </c>
      <c r="L37" s="79">
        <f t="shared" si="1"/>
        <v>1759013.34</v>
      </c>
      <c r="M37" s="77"/>
      <c r="N37" s="78">
        <f>1041102.5+N84</f>
        <v>1632034.25</v>
      </c>
      <c r="O37" s="78">
        <v>0</v>
      </c>
      <c r="P37" s="79">
        <f t="shared" si="2"/>
        <v>1632034.25</v>
      </c>
      <c r="R37" s="78">
        <f>1041102.5+R84</f>
        <v>1632034.25</v>
      </c>
      <c r="S37" s="78">
        <v>0</v>
      </c>
      <c r="T37" s="79">
        <f t="shared" si="3"/>
        <v>1632034.25</v>
      </c>
      <c r="V37" s="78">
        <f>58301.74+V84</f>
        <v>91393.919999999998</v>
      </c>
      <c r="W37" s="78">
        <v>0</v>
      </c>
      <c r="X37" s="79">
        <f t="shared" si="4"/>
        <v>91393.919999999998</v>
      </c>
    </row>
    <row r="38" spans="1:24" x14ac:dyDescent="0.3">
      <c r="A38" s="75">
        <f>VLOOKUP(B38,[6]Address!$A:$E,5,FALSE)</f>
        <v>634</v>
      </c>
      <c r="B38" s="120" t="s">
        <v>107</v>
      </c>
      <c r="C38" s="76" t="s">
        <v>108</v>
      </c>
      <c r="D38" s="76">
        <v>1</v>
      </c>
      <c r="E38" s="77"/>
      <c r="F38" s="78">
        <v>270852.47999999998</v>
      </c>
      <c r="G38" s="78">
        <v>2848.99</v>
      </c>
      <c r="H38" s="79">
        <f t="shared" si="0"/>
        <v>273701.46999999997</v>
      </c>
      <c r="I38" s="77"/>
      <c r="J38" s="78">
        <v>278896.14</v>
      </c>
      <c r="K38" s="78">
        <v>0</v>
      </c>
      <c r="L38" s="79">
        <f t="shared" si="1"/>
        <v>278896.14</v>
      </c>
      <c r="M38" s="77"/>
      <c r="N38" s="78">
        <v>282792.5</v>
      </c>
      <c r="O38" s="78">
        <v>0</v>
      </c>
      <c r="P38" s="79">
        <f t="shared" si="2"/>
        <v>282792.5</v>
      </c>
      <c r="R38" s="78">
        <v>282792.5</v>
      </c>
      <c r="S38" s="78">
        <v>0</v>
      </c>
      <c r="T38" s="79">
        <f t="shared" si="3"/>
        <v>282792.5</v>
      </c>
      <c r="V38" s="78">
        <v>15836.38</v>
      </c>
      <c r="W38" s="78">
        <v>0</v>
      </c>
      <c r="X38" s="79">
        <f t="shared" si="4"/>
        <v>15836.38</v>
      </c>
    </row>
    <row r="39" spans="1:24" x14ac:dyDescent="0.3">
      <c r="A39" s="75">
        <f>VLOOKUP(B39,[6]Address!$A:$E,5,FALSE)</f>
        <v>10</v>
      </c>
      <c r="B39" s="109" t="s">
        <v>109</v>
      </c>
      <c r="C39" s="76" t="s">
        <v>110</v>
      </c>
      <c r="D39" s="76">
        <v>1</v>
      </c>
      <c r="E39" s="77"/>
      <c r="F39" s="78">
        <v>21881970.98</v>
      </c>
      <c r="G39" s="78">
        <v>2316665.92</v>
      </c>
      <c r="H39" s="79">
        <f t="shared" si="0"/>
        <v>24198636.899999999</v>
      </c>
      <c r="I39" s="77"/>
      <c r="J39" s="78">
        <v>22721293.32</v>
      </c>
      <c r="K39" s="78">
        <v>2365453.2200000002</v>
      </c>
      <c r="L39" s="79">
        <f t="shared" si="1"/>
        <v>25086746.539999999</v>
      </c>
      <c r="M39" s="77"/>
      <c r="N39" s="78">
        <v>22944066</v>
      </c>
      <c r="O39" s="78">
        <v>2408497.5</v>
      </c>
      <c r="P39" s="79">
        <f t="shared" si="2"/>
        <v>25352563.5</v>
      </c>
      <c r="R39" s="78">
        <v>22944066</v>
      </c>
      <c r="S39" s="78">
        <v>2408497.5</v>
      </c>
      <c r="T39" s="79">
        <f t="shared" si="3"/>
        <v>25352563.5</v>
      </c>
      <c r="V39" s="78">
        <v>1284867.7</v>
      </c>
      <c r="W39" s="78">
        <v>134875.85999999999</v>
      </c>
      <c r="X39" s="79">
        <f t="shared" si="4"/>
        <v>1419743.56</v>
      </c>
    </row>
    <row r="40" spans="1:24" x14ac:dyDescent="0.3">
      <c r="A40" s="75">
        <f>VLOOKUP(B40,[6]Address!$A:$E,5,FALSE)</f>
        <v>10</v>
      </c>
      <c r="B40" s="109" t="s">
        <v>111</v>
      </c>
      <c r="C40" s="76" t="s">
        <v>112</v>
      </c>
      <c r="D40" s="76">
        <v>1</v>
      </c>
      <c r="E40" s="77"/>
      <c r="F40" s="78">
        <v>1611383.69</v>
      </c>
      <c r="G40" s="78">
        <v>430100.8</v>
      </c>
      <c r="H40" s="79">
        <f t="shared" si="0"/>
        <v>2041484.49</v>
      </c>
      <c r="I40" s="77"/>
      <c r="J40" s="78">
        <v>1669149.84</v>
      </c>
      <c r="K40" s="78">
        <v>472789.51</v>
      </c>
      <c r="L40" s="79">
        <f t="shared" si="1"/>
        <v>2141939.35</v>
      </c>
      <c r="M40" s="77"/>
      <c r="N40" s="78">
        <v>1687517.25</v>
      </c>
      <c r="O40" s="78">
        <v>464449.75</v>
      </c>
      <c r="P40" s="79">
        <f t="shared" si="2"/>
        <v>2151967</v>
      </c>
      <c r="R40" s="78">
        <v>1687517.25</v>
      </c>
      <c r="S40" s="78">
        <v>464449.75</v>
      </c>
      <c r="T40" s="79">
        <f t="shared" si="3"/>
        <v>2151967</v>
      </c>
      <c r="V40" s="78">
        <v>94500.97</v>
      </c>
      <c r="W40" s="78">
        <v>26009.19</v>
      </c>
      <c r="X40" s="79">
        <f t="shared" si="4"/>
        <v>120510.16</v>
      </c>
    </row>
    <row r="41" spans="1:24" x14ac:dyDescent="0.3">
      <c r="A41" s="75">
        <f>VLOOKUP(B41,[6]Address!$A:$E,5,FALSE)</f>
        <v>10</v>
      </c>
      <c r="B41" s="109" t="s">
        <v>113</v>
      </c>
      <c r="C41" s="76" t="s">
        <v>114</v>
      </c>
      <c r="D41" s="76">
        <v>1</v>
      </c>
      <c r="E41" s="77"/>
      <c r="F41" s="78">
        <v>162017.54</v>
      </c>
      <c r="G41" s="78">
        <v>96545.71</v>
      </c>
      <c r="H41" s="79">
        <f t="shared" si="0"/>
        <v>258563.25</v>
      </c>
      <c r="I41" s="77"/>
      <c r="J41" s="78">
        <v>171668.6</v>
      </c>
      <c r="K41" s="78">
        <v>100751.81999999999</v>
      </c>
      <c r="L41" s="79">
        <f t="shared" si="1"/>
        <v>272420.42</v>
      </c>
      <c r="M41" s="77"/>
      <c r="N41" s="78">
        <v>171649.25</v>
      </c>
      <c r="O41" s="78">
        <v>101490.5</v>
      </c>
      <c r="P41" s="79">
        <f t="shared" si="2"/>
        <v>273139.75</v>
      </c>
      <c r="R41" s="78">
        <v>171649.25</v>
      </c>
      <c r="S41" s="78">
        <v>101490.5</v>
      </c>
      <c r="T41" s="79">
        <f t="shared" si="3"/>
        <v>273139.75</v>
      </c>
      <c r="V41" s="78">
        <v>9612.36</v>
      </c>
      <c r="W41" s="78">
        <v>5683.47</v>
      </c>
      <c r="X41" s="79">
        <f t="shared" si="4"/>
        <v>15295.830000000002</v>
      </c>
    </row>
    <row r="42" spans="1:24" x14ac:dyDescent="0.3">
      <c r="A42" s="75">
        <f>VLOOKUP(B42,[6]Address!$A:$E,5,FALSE)</f>
        <v>10</v>
      </c>
      <c r="B42" s="109" t="s">
        <v>115</v>
      </c>
      <c r="C42" s="76" t="s">
        <v>116</v>
      </c>
      <c r="D42" s="76">
        <v>1</v>
      </c>
      <c r="E42" s="77"/>
      <c r="F42" s="78">
        <v>3023722.86</v>
      </c>
      <c r="G42" s="78">
        <v>678053.96</v>
      </c>
      <c r="H42" s="79">
        <f t="shared" si="0"/>
        <v>3701776.82</v>
      </c>
      <c r="I42" s="77"/>
      <c r="J42" s="78">
        <v>3150818.69</v>
      </c>
      <c r="K42" s="78">
        <v>685024.41</v>
      </c>
      <c r="L42" s="79">
        <f t="shared" si="1"/>
        <v>3835843.1</v>
      </c>
      <c r="M42" s="77"/>
      <c r="N42" s="78">
        <v>3176204.5</v>
      </c>
      <c r="O42" s="78">
        <v>701172</v>
      </c>
      <c r="P42" s="79">
        <f t="shared" si="2"/>
        <v>3877376.5</v>
      </c>
      <c r="R42" s="78">
        <v>3176204.5</v>
      </c>
      <c r="S42" s="78">
        <v>701172</v>
      </c>
      <c r="T42" s="79">
        <f t="shared" si="3"/>
        <v>3877376.5</v>
      </c>
      <c r="V42" s="78">
        <v>177867.45</v>
      </c>
      <c r="W42" s="78">
        <v>39265.629999999997</v>
      </c>
      <c r="X42" s="79">
        <f t="shared" si="4"/>
        <v>217133.08000000002</v>
      </c>
    </row>
    <row r="43" spans="1:24" x14ac:dyDescent="0.3">
      <c r="A43" s="75">
        <f>VLOOKUP(B43,[6]Address!$A:$E,5,FALSE)</f>
        <v>10</v>
      </c>
      <c r="B43" s="108" t="s">
        <v>117</v>
      </c>
      <c r="C43" s="76" t="s">
        <v>118</v>
      </c>
      <c r="D43" s="76">
        <v>1</v>
      </c>
      <c r="E43" s="77"/>
      <c r="F43" s="78">
        <v>74842.210000000006</v>
      </c>
      <c r="G43" s="78">
        <v>128771.75</v>
      </c>
      <c r="H43" s="79">
        <f t="shared" si="0"/>
        <v>203613.96000000002</v>
      </c>
      <c r="I43" s="77"/>
      <c r="J43" s="78">
        <v>77064.87</v>
      </c>
      <c r="K43" s="78">
        <v>125583.15</v>
      </c>
      <c r="L43" s="79">
        <f t="shared" si="1"/>
        <v>202648.02</v>
      </c>
      <c r="M43" s="77"/>
      <c r="N43" s="78">
        <v>78141.5</v>
      </c>
      <c r="O43" s="78">
        <v>130841</v>
      </c>
      <c r="P43" s="79">
        <f t="shared" si="2"/>
        <v>208982.5</v>
      </c>
      <c r="R43" s="78">
        <v>78141.5</v>
      </c>
      <c r="S43" s="78">
        <v>130841</v>
      </c>
      <c r="T43" s="79">
        <f t="shared" si="3"/>
        <v>208982.5</v>
      </c>
      <c r="V43" s="78">
        <v>4375.92</v>
      </c>
      <c r="W43" s="78">
        <v>7327.1</v>
      </c>
      <c r="X43" s="79">
        <f t="shared" si="4"/>
        <v>11703.02</v>
      </c>
    </row>
    <row r="44" spans="1:24" x14ac:dyDescent="0.3">
      <c r="A44" s="75">
        <f>VLOOKUP(B44,[6]Address!$A:$E,5,FALSE)</f>
        <v>10</v>
      </c>
      <c r="B44" s="109" t="s">
        <v>119</v>
      </c>
      <c r="C44" s="76" t="s">
        <v>120</v>
      </c>
      <c r="D44" s="76">
        <v>1</v>
      </c>
      <c r="E44" s="77"/>
      <c r="F44" s="78">
        <v>1177236.9099999999</v>
      </c>
      <c r="G44" s="78">
        <v>185426.38</v>
      </c>
      <c r="H44" s="79">
        <f t="shared" si="0"/>
        <v>1362663.29</v>
      </c>
      <c r="I44" s="77"/>
      <c r="J44" s="78">
        <f>882684.76+J83</f>
        <v>1257541.93</v>
      </c>
      <c r="K44" s="78">
        <v>191866.11</v>
      </c>
      <c r="L44" s="79">
        <f t="shared" si="1"/>
        <v>1449408.04</v>
      </c>
      <c r="M44" s="77"/>
      <c r="N44" s="78">
        <f>872364+N83</f>
        <v>1252458.25</v>
      </c>
      <c r="O44" s="78">
        <v>194080.5</v>
      </c>
      <c r="P44" s="79">
        <f t="shared" si="2"/>
        <v>1446538.75</v>
      </c>
      <c r="R44" s="78">
        <f>872364+R83</f>
        <v>1252458.25</v>
      </c>
      <c r="S44" s="78">
        <v>194080.5</v>
      </c>
      <c r="T44" s="79">
        <f t="shared" si="3"/>
        <v>1446538.75</v>
      </c>
      <c r="V44" s="78">
        <f>48852.38+V83</f>
        <v>70137.66</v>
      </c>
      <c r="W44" s="78">
        <v>10868.51</v>
      </c>
      <c r="X44" s="79">
        <f t="shared" si="4"/>
        <v>81006.17</v>
      </c>
    </row>
    <row r="45" spans="1:24" x14ac:dyDescent="0.3">
      <c r="A45" s="75">
        <f>VLOOKUP(B45,[6]Address!$A:$E,5,FALSE)</f>
        <v>10</v>
      </c>
      <c r="B45" s="109" t="s">
        <v>121</v>
      </c>
      <c r="C45" s="76" t="s">
        <v>122</v>
      </c>
      <c r="D45" s="76">
        <v>1</v>
      </c>
      <c r="E45" s="77"/>
      <c r="F45" s="78">
        <v>9311942.6199999992</v>
      </c>
      <c r="G45" s="78">
        <v>1498180.63</v>
      </c>
      <c r="H45" s="79">
        <f t="shared" si="0"/>
        <v>10810123.25</v>
      </c>
      <c r="I45" s="77"/>
      <c r="J45" s="78">
        <f>7265013.85+J85+J86+J87</f>
        <v>9605632.6500000004</v>
      </c>
      <c r="K45" s="78">
        <v>1514566.9000000001</v>
      </c>
      <c r="L45" s="79">
        <f t="shared" si="1"/>
        <v>11120199.550000001</v>
      </c>
      <c r="M45" s="77"/>
      <c r="N45" s="78">
        <f>7357944.75+N85+N86+N87</f>
        <v>9731263</v>
      </c>
      <c r="O45" s="78">
        <v>1549767.25</v>
      </c>
      <c r="P45" s="79">
        <f t="shared" si="2"/>
        <v>11281030.25</v>
      </c>
      <c r="R45" s="78">
        <f>7357944.75+R85+R86+R87</f>
        <v>9731263</v>
      </c>
      <c r="S45" s="78">
        <v>1549767.25</v>
      </c>
      <c r="T45" s="79">
        <f t="shared" si="3"/>
        <v>11281030.25</v>
      </c>
      <c r="V45" s="78">
        <f>412044.91+V85+V86+V87</f>
        <v>544950.73</v>
      </c>
      <c r="W45" s="78">
        <v>86786.97</v>
      </c>
      <c r="X45" s="79">
        <f t="shared" si="4"/>
        <v>631737.69999999995</v>
      </c>
    </row>
    <row r="46" spans="1:24" x14ac:dyDescent="0.3">
      <c r="A46" s="75">
        <f>VLOOKUP(B46,[6]Address!$A:$E,5,FALSE)</f>
        <v>10</v>
      </c>
      <c r="B46" s="109" t="s">
        <v>123</v>
      </c>
      <c r="C46" s="76" t="s">
        <v>124</v>
      </c>
      <c r="D46" s="76">
        <v>1</v>
      </c>
      <c r="E46" s="77"/>
      <c r="F46" s="78">
        <v>157028.26</v>
      </c>
      <c r="G46" s="78">
        <v>227364.29</v>
      </c>
      <c r="H46" s="79">
        <f t="shared" si="0"/>
        <v>384392.55000000005</v>
      </c>
      <c r="I46" s="77"/>
      <c r="J46" s="78">
        <v>174969.03</v>
      </c>
      <c r="K46" s="78">
        <v>243539.58</v>
      </c>
      <c r="L46" s="79">
        <f t="shared" si="1"/>
        <v>418508.61</v>
      </c>
      <c r="M46" s="77"/>
      <c r="N46" s="78">
        <v>170780.5</v>
      </c>
      <c r="O46" s="78">
        <v>242234.5</v>
      </c>
      <c r="P46" s="79">
        <f t="shared" si="2"/>
        <v>413015</v>
      </c>
      <c r="R46" s="78">
        <v>170780.5</v>
      </c>
      <c r="S46" s="78">
        <v>242234.5</v>
      </c>
      <c r="T46" s="79">
        <f t="shared" si="3"/>
        <v>413015</v>
      </c>
      <c r="V46" s="78">
        <v>9563.7099999999991</v>
      </c>
      <c r="W46" s="78">
        <v>13565.13</v>
      </c>
      <c r="X46" s="79">
        <f t="shared" si="4"/>
        <v>23128.839999999997</v>
      </c>
    </row>
    <row r="47" spans="1:24" x14ac:dyDescent="0.3">
      <c r="A47" s="75">
        <f>VLOOKUP(B47,[6]Address!$A:$E,5,FALSE)</f>
        <v>10</v>
      </c>
      <c r="B47" s="109" t="s">
        <v>125</v>
      </c>
      <c r="C47" s="76" t="s">
        <v>126</v>
      </c>
      <c r="D47" s="76">
        <v>1</v>
      </c>
      <c r="E47" s="77"/>
      <c r="F47" s="78">
        <v>9513312.2200000007</v>
      </c>
      <c r="G47" s="78">
        <v>700985.37</v>
      </c>
      <c r="H47" s="79">
        <f t="shared" si="0"/>
        <v>10214297.59</v>
      </c>
      <c r="I47" s="77"/>
      <c r="J47" s="78">
        <v>9234372.5199999996</v>
      </c>
      <c r="K47" s="78">
        <v>732724.35</v>
      </c>
      <c r="L47" s="79">
        <f t="shared" si="1"/>
        <v>9967096.8699999992</v>
      </c>
      <c r="M47" s="77"/>
      <c r="N47" s="78">
        <v>9643870.75</v>
      </c>
      <c r="O47" s="78">
        <v>737505</v>
      </c>
      <c r="P47" s="79">
        <f t="shared" si="2"/>
        <v>10381375.75</v>
      </c>
      <c r="R47" s="78">
        <v>9643870.75</v>
      </c>
      <c r="S47" s="78">
        <v>737505</v>
      </c>
      <c r="T47" s="79">
        <f t="shared" si="3"/>
        <v>10381375.75</v>
      </c>
      <c r="V47" s="78">
        <v>540056.76</v>
      </c>
      <c r="W47" s="78">
        <v>41300.28</v>
      </c>
      <c r="X47" s="79">
        <f t="shared" si="4"/>
        <v>581357.04</v>
      </c>
    </row>
    <row r="48" spans="1:24" x14ac:dyDescent="0.3">
      <c r="A48" s="75">
        <f>VLOOKUP(B48,[6]Address!$A:$E,5,FALSE)</f>
        <v>10</v>
      </c>
      <c r="B48" s="109" t="s">
        <v>127</v>
      </c>
      <c r="C48" s="76" t="s">
        <v>128</v>
      </c>
      <c r="D48" s="76">
        <v>1</v>
      </c>
      <c r="E48" s="77"/>
      <c r="F48" s="78">
        <v>234355.08</v>
      </c>
      <c r="G48" s="78">
        <v>127362.12</v>
      </c>
      <c r="H48" s="79">
        <f t="shared" si="0"/>
        <v>361717.19999999995</v>
      </c>
      <c r="I48" s="77"/>
      <c r="J48" s="78">
        <v>246008.29</v>
      </c>
      <c r="K48" s="78">
        <v>133434.23000000001</v>
      </c>
      <c r="L48" s="79">
        <f t="shared" si="1"/>
        <v>379442.52</v>
      </c>
      <c r="M48" s="77"/>
      <c r="N48" s="78">
        <v>247100.5</v>
      </c>
      <c r="O48" s="78">
        <v>134154.5</v>
      </c>
      <c r="P48" s="79">
        <f t="shared" si="2"/>
        <v>381255</v>
      </c>
      <c r="R48" s="78">
        <v>247100.5</v>
      </c>
      <c r="S48" s="78">
        <v>134154.5</v>
      </c>
      <c r="T48" s="79">
        <f t="shared" si="3"/>
        <v>381255</v>
      </c>
      <c r="V48" s="78">
        <v>13837.63</v>
      </c>
      <c r="W48" s="78">
        <v>7512.65</v>
      </c>
      <c r="X48" s="79">
        <f t="shared" si="4"/>
        <v>21350.28</v>
      </c>
    </row>
    <row r="49" spans="1:24" x14ac:dyDescent="0.3">
      <c r="A49" s="75">
        <f>VLOOKUP(B49,[6]Address!$A:$E,5,FALSE)</f>
        <v>12</v>
      </c>
      <c r="B49" s="109" t="s">
        <v>129</v>
      </c>
      <c r="C49" s="76" t="s">
        <v>130</v>
      </c>
      <c r="D49" s="76">
        <v>1</v>
      </c>
      <c r="E49" s="77"/>
      <c r="F49" s="78">
        <v>300748.02</v>
      </c>
      <c r="G49" s="78">
        <v>0</v>
      </c>
      <c r="H49" s="79">
        <f t="shared" si="0"/>
        <v>300748.02</v>
      </c>
      <c r="I49" s="77"/>
      <c r="J49" s="78">
        <v>478916.51</v>
      </c>
      <c r="K49" s="78">
        <v>0</v>
      </c>
      <c r="L49" s="79">
        <f t="shared" si="1"/>
        <v>478916.51</v>
      </c>
      <c r="M49" s="77"/>
      <c r="N49" s="78">
        <v>401062</v>
      </c>
      <c r="O49" s="78">
        <v>0</v>
      </c>
      <c r="P49" s="79">
        <f t="shared" si="2"/>
        <v>401062</v>
      </c>
      <c r="R49" s="78">
        <v>401062</v>
      </c>
      <c r="S49" s="78">
        <v>0</v>
      </c>
      <c r="T49" s="79">
        <f t="shared" si="3"/>
        <v>401062</v>
      </c>
      <c r="V49" s="78">
        <v>22459.47</v>
      </c>
      <c r="W49" s="78">
        <v>0</v>
      </c>
      <c r="X49" s="79">
        <f t="shared" si="4"/>
        <v>22459.47</v>
      </c>
    </row>
    <row r="50" spans="1:24" x14ac:dyDescent="0.3">
      <c r="A50" s="75">
        <f>VLOOKUP(B50,[6]Address!$A:$E,5,FALSE)</f>
        <v>10</v>
      </c>
      <c r="B50" s="109" t="s">
        <v>131</v>
      </c>
      <c r="C50" s="76" t="s">
        <v>132</v>
      </c>
      <c r="D50" s="76">
        <v>1</v>
      </c>
      <c r="E50" s="77"/>
      <c r="F50" s="78">
        <v>704337.28</v>
      </c>
      <c r="G50" s="78">
        <v>172226.43</v>
      </c>
      <c r="H50" s="79">
        <f t="shared" si="0"/>
        <v>876563.71</v>
      </c>
      <c r="I50" s="77"/>
      <c r="J50" s="78">
        <v>727970.82</v>
      </c>
      <c r="K50" s="78">
        <v>166365.4</v>
      </c>
      <c r="L50" s="79">
        <f t="shared" si="1"/>
        <v>894336.22</v>
      </c>
      <c r="M50" s="77"/>
      <c r="N50" s="78">
        <v>736784</v>
      </c>
      <c r="O50" s="78">
        <v>174172.75</v>
      </c>
      <c r="P50" s="79">
        <f t="shared" si="2"/>
        <v>910956.75</v>
      </c>
      <c r="R50" s="78">
        <v>736784</v>
      </c>
      <c r="S50" s="78">
        <v>174172.75</v>
      </c>
      <c r="T50" s="79">
        <f t="shared" si="3"/>
        <v>910956.75</v>
      </c>
      <c r="V50" s="78">
        <v>41259.9</v>
      </c>
      <c r="W50" s="78">
        <v>9753.67</v>
      </c>
      <c r="X50" s="79">
        <f t="shared" si="4"/>
        <v>51013.57</v>
      </c>
    </row>
    <row r="51" spans="1:24" x14ac:dyDescent="0.3">
      <c r="A51" s="75">
        <f>VLOOKUP(B51,[6]Address!$A:$E,5,FALSE)</f>
        <v>10</v>
      </c>
      <c r="B51" s="109" t="s">
        <v>133</v>
      </c>
      <c r="C51" s="76" t="s">
        <v>134</v>
      </c>
      <c r="D51" s="76">
        <v>1</v>
      </c>
      <c r="E51" s="77"/>
      <c r="F51" s="78">
        <v>1184255.32</v>
      </c>
      <c r="G51" s="78">
        <v>455507.61</v>
      </c>
      <c r="H51" s="79">
        <f t="shared" si="0"/>
        <v>1639762.9300000002</v>
      </c>
      <c r="I51" s="77"/>
      <c r="J51" s="78">
        <v>1304305.25</v>
      </c>
      <c r="K51" s="78">
        <v>459771.33</v>
      </c>
      <c r="L51" s="79">
        <f t="shared" si="1"/>
        <v>1764076.58</v>
      </c>
      <c r="M51" s="77"/>
      <c r="N51" s="78">
        <v>1280123.75</v>
      </c>
      <c r="O51" s="78">
        <v>470822.5</v>
      </c>
      <c r="P51" s="79">
        <f t="shared" si="2"/>
        <v>1750946.25</v>
      </c>
      <c r="R51" s="78">
        <v>1280123.75</v>
      </c>
      <c r="S51" s="78">
        <v>470822.5</v>
      </c>
      <c r="T51" s="79">
        <f t="shared" si="3"/>
        <v>1750946.25</v>
      </c>
      <c r="V51" s="78">
        <v>71686.929999999993</v>
      </c>
      <c r="W51" s="78">
        <v>26366.06</v>
      </c>
      <c r="X51" s="79">
        <f t="shared" si="4"/>
        <v>98052.989999999991</v>
      </c>
    </row>
    <row r="52" spans="1:24" x14ac:dyDescent="0.3">
      <c r="A52" s="75">
        <f>VLOOKUP(B52,[6]Address!$A:$E,5,FALSE)</f>
        <v>10</v>
      </c>
      <c r="B52" s="109" t="s">
        <v>135</v>
      </c>
      <c r="C52" s="76" t="s">
        <v>136</v>
      </c>
      <c r="D52" s="76">
        <v>1</v>
      </c>
      <c r="E52" s="77"/>
      <c r="F52" s="78">
        <v>229000</v>
      </c>
      <c r="G52" s="78">
        <v>308867.59999999998</v>
      </c>
      <c r="H52" s="79">
        <f t="shared" si="0"/>
        <v>537867.6</v>
      </c>
      <c r="I52" s="77"/>
      <c r="J52" s="78">
        <v>245364.19</v>
      </c>
      <c r="K52" s="78">
        <v>308949.21000000002</v>
      </c>
      <c r="L52" s="79">
        <f t="shared" si="1"/>
        <v>554313.4</v>
      </c>
      <c r="M52" s="77"/>
      <c r="N52" s="78">
        <v>244014.5</v>
      </c>
      <c r="O52" s="78">
        <v>317807</v>
      </c>
      <c r="P52" s="79">
        <f t="shared" si="2"/>
        <v>561821.5</v>
      </c>
      <c r="R52" s="78">
        <v>244014.5</v>
      </c>
      <c r="S52" s="78">
        <v>317807</v>
      </c>
      <c r="T52" s="79">
        <f t="shared" si="3"/>
        <v>561821.5</v>
      </c>
      <c r="V52" s="78">
        <v>13664.81</v>
      </c>
      <c r="W52" s="78">
        <v>17797.189999999999</v>
      </c>
      <c r="X52" s="79">
        <f t="shared" si="4"/>
        <v>31462</v>
      </c>
    </row>
    <row r="53" spans="1:24" x14ac:dyDescent="0.3">
      <c r="A53" s="75">
        <f>VLOOKUP(B53,[6]Address!$A:$E,5,FALSE)</f>
        <v>12</v>
      </c>
      <c r="B53" s="109" t="s">
        <v>137</v>
      </c>
      <c r="C53" s="76" t="s">
        <v>138</v>
      </c>
      <c r="D53" s="76">
        <v>1</v>
      </c>
      <c r="E53" s="77"/>
      <c r="F53" s="78">
        <v>854457.59</v>
      </c>
      <c r="G53" s="78">
        <v>0</v>
      </c>
      <c r="H53" s="79">
        <f t="shared" si="0"/>
        <v>854457.59</v>
      </c>
      <c r="I53" s="77"/>
      <c r="J53" s="78">
        <v>1202577.75</v>
      </c>
      <c r="K53" s="78">
        <v>0</v>
      </c>
      <c r="L53" s="79">
        <f t="shared" si="1"/>
        <v>1202577.75</v>
      </c>
      <c r="M53" s="77"/>
      <c r="N53" s="78">
        <v>1058145.75</v>
      </c>
      <c r="O53" s="78">
        <v>0</v>
      </c>
      <c r="P53" s="79">
        <f t="shared" si="2"/>
        <v>1058145.75</v>
      </c>
      <c r="R53" s="78">
        <v>1058145.75</v>
      </c>
      <c r="S53" s="78">
        <v>0</v>
      </c>
      <c r="T53" s="79">
        <f t="shared" si="3"/>
        <v>1058145.75</v>
      </c>
      <c r="V53" s="78">
        <v>59256.160000000003</v>
      </c>
      <c r="W53" s="78">
        <v>0</v>
      </c>
      <c r="X53" s="79">
        <f t="shared" si="4"/>
        <v>59256.160000000003</v>
      </c>
    </row>
    <row r="54" spans="1:24" x14ac:dyDescent="0.3">
      <c r="A54" s="75">
        <f>VLOOKUP(B54,[6]Address!$A:$E,5,FALSE)</f>
        <v>634</v>
      </c>
      <c r="B54" s="109" t="s">
        <v>139</v>
      </c>
      <c r="C54" s="76" t="s">
        <v>140</v>
      </c>
      <c r="D54" s="76">
        <v>1</v>
      </c>
      <c r="E54" s="77"/>
      <c r="F54" s="78">
        <v>1209103.75</v>
      </c>
      <c r="G54" s="78">
        <v>0</v>
      </c>
      <c r="H54" s="79">
        <f t="shared" si="0"/>
        <v>1209103.75</v>
      </c>
      <c r="I54" s="77"/>
      <c r="J54" s="78">
        <f>297889.13+J88</f>
        <v>1245011.57</v>
      </c>
      <c r="K54" s="78">
        <v>0</v>
      </c>
      <c r="L54" s="79">
        <f t="shared" si="1"/>
        <v>1245011.57</v>
      </c>
      <c r="M54" s="77"/>
      <c r="N54" s="78">
        <f>302050.75+N88</f>
        <v>1262405</v>
      </c>
      <c r="O54" s="78">
        <v>0</v>
      </c>
      <c r="P54" s="79">
        <f t="shared" si="2"/>
        <v>1262405</v>
      </c>
      <c r="R54" s="78">
        <f>302050.75+R88</f>
        <v>1262405</v>
      </c>
      <c r="S54" s="78">
        <v>0</v>
      </c>
      <c r="T54" s="79">
        <f t="shared" si="3"/>
        <v>1262405</v>
      </c>
      <c r="V54" s="78">
        <f>16914.84+V88</f>
        <v>70694.679999999993</v>
      </c>
      <c r="W54" s="78">
        <v>0</v>
      </c>
      <c r="X54" s="79">
        <f t="shared" si="4"/>
        <v>70694.679999999993</v>
      </c>
    </row>
    <row r="55" spans="1:24" x14ac:dyDescent="0.3">
      <c r="A55" s="75">
        <f>VLOOKUP(B55,[6]Address!$A:$E,5,FALSE)</f>
        <v>10</v>
      </c>
      <c r="B55" s="109" t="s">
        <v>141</v>
      </c>
      <c r="C55" s="76" t="s">
        <v>142</v>
      </c>
      <c r="D55" s="76">
        <v>1</v>
      </c>
      <c r="E55" s="77"/>
      <c r="F55" s="78">
        <v>227099.97</v>
      </c>
      <c r="G55" s="78">
        <v>122025.45</v>
      </c>
      <c r="H55" s="79">
        <f t="shared" si="0"/>
        <v>349125.42</v>
      </c>
      <c r="I55" s="77"/>
      <c r="J55" s="78">
        <v>233844.3</v>
      </c>
      <c r="K55" s="78">
        <v>137839.72</v>
      </c>
      <c r="L55" s="79">
        <f t="shared" si="1"/>
        <v>371684.02</v>
      </c>
      <c r="M55" s="77"/>
      <c r="N55" s="78">
        <v>237111.25</v>
      </c>
      <c r="O55" s="78">
        <v>133675.5</v>
      </c>
      <c r="P55" s="79">
        <f t="shared" si="2"/>
        <v>370786.75</v>
      </c>
      <c r="R55" s="78">
        <v>237111.25</v>
      </c>
      <c r="S55" s="78">
        <v>133675.5</v>
      </c>
      <c r="T55" s="79">
        <f t="shared" si="3"/>
        <v>370786.75</v>
      </c>
      <c r="V55" s="78">
        <v>13278.23</v>
      </c>
      <c r="W55" s="78">
        <v>7485.83</v>
      </c>
      <c r="X55" s="79">
        <f t="shared" si="4"/>
        <v>20764.059999999998</v>
      </c>
    </row>
    <row r="56" spans="1:24" x14ac:dyDescent="0.3">
      <c r="A56" s="75">
        <f>VLOOKUP(B56,[6]Address!$A:$E,5,FALSE)</f>
        <v>10</v>
      </c>
      <c r="B56" s="109" t="s">
        <v>203</v>
      </c>
      <c r="C56" s="76" t="s">
        <v>204</v>
      </c>
      <c r="D56" s="76">
        <v>2</v>
      </c>
      <c r="E56" s="77"/>
      <c r="F56" s="78">
        <v>27761.62</v>
      </c>
      <c r="G56" s="78">
        <v>52709.42</v>
      </c>
      <c r="H56" s="79">
        <f t="shared" si="0"/>
        <v>80471.039999999994</v>
      </c>
      <c r="I56" s="77"/>
      <c r="J56" s="78">
        <v>28332.010000000002</v>
      </c>
      <c r="K56" s="78">
        <v>52304.490000000005</v>
      </c>
      <c r="L56" s="79">
        <f t="shared" si="1"/>
        <v>80636.5</v>
      </c>
      <c r="M56" s="77"/>
      <c r="N56" s="78">
        <v>28854.75</v>
      </c>
      <c r="O56" s="78">
        <v>54019.5</v>
      </c>
      <c r="P56" s="79">
        <f t="shared" si="2"/>
        <v>82874.25</v>
      </c>
      <c r="R56" s="78">
        <v>28854.75</v>
      </c>
      <c r="S56" s="78">
        <v>54019.5</v>
      </c>
      <c r="T56" s="79">
        <f t="shared" si="3"/>
        <v>82874.25</v>
      </c>
      <c r="V56" s="78">
        <v>1615.87</v>
      </c>
      <c r="W56" s="78">
        <v>3025.09</v>
      </c>
      <c r="X56" s="79">
        <f t="shared" si="4"/>
        <v>4640.96</v>
      </c>
    </row>
    <row r="57" spans="1:24" x14ac:dyDescent="0.3">
      <c r="A57" s="75">
        <f>VLOOKUP(B57,[6]Address!$A:$E,5,FALSE)</f>
        <v>10</v>
      </c>
      <c r="B57" s="109" t="s">
        <v>205</v>
      </c>
      <c r="C57" s="76" t="s">
        <v>206</v>
      </c>
      <c r="D57" s="76">
        <v>2</v>
      </c>
      <c r="E57" s="77"/>
      <c r="F57" s="78">
        <v>105869.6</v>
      </c>
      <c r="G57" s="78">
        <v>60242.07</v>
      </c>
      <c r="H57" s="79">
        <f t="shared" si="0"/>
        <v>166111.67000000001</v>
      </c>
      <c r="I57" s="77"/>
      <c r="J57" s="78">
        <v>125782.29999999999</v>
      </c>
      <c r="K57" s="78">
        <v>62136.13</v>
      </c>
      <c r="L57" s="79">
        <f t="shared" si="1"/>
        <v>187918.43</v>
      </c>
      <c r="M57" s="77"/>
      <c r="N57" s="78">
        <v>119162.5</v>
      </c>
      <c r="O57" s="78">
        <v>62951.75</v>
      </c>
      <c r="P57" s="79">
        <f t="shared" si="2"/>
        <v>182114.25</v>
      </c>
      <c r="R57" s="78">
        <v>119162.5</v>
      </c>
      <c r="S57" s="78">
        <v>62951.75</v>
      </c>
      <c r="T57" s="79">
        <f t="shared" si="3"/>
        <v>182114.25</v>
      </c>
      <c r="V57" s="78">
        <v>6673.1</v>
      </c>
      <c r="W57" s="78">
        <v>3525.3</v>
      </c>
      <c r="X57" s="79">
        <f t="shared" si="4"/>
        <v>10198.400000000001</v>
      </c>
    </row>
    <row r="58" spans="1:24" x14ac:dyDescent="0.3">
      <c r="A58" s="75">
        <f>VLOOKUP(B58,[6]Address!$A:$E,5,FALSE)</f>
        <v>10</v>
      </c>
      <c r="B58" s="109" t="s">
        <v>207</v>
      </c>
      <c r="C58" s="25" t="s">
        <v>208</v>
      </c>
      <c r="D58" s="76">
        <v>2</v>
      </c>
      <c r="E58" s="77"/>
      <c r="F58" s="78">
        <v>4430810.32</v>
      </c>
      <c r="G58" s="78">
        <v>927600.6</v>
      </c>
      <c r="H58" s="79">
        <f t="shared" si="0"/>
        <v>5358410.92</v>
      </c>
      <c r="I58" s="77"/>
      <c r="J58" s="78">
        <v>4632809.7399999993</v>
      </c>
      <c r="K58" s="78">
        <v>950422.96000000008</v>
      </c>
      <c r="L58" s="79">
        <f t="shared" si="1"/>
        <v>5583232.6999999993</v>
      </c>
      <c r="M58" s="77"/>
      <c r="N58" s="78">
        <v>4662356</v>
      </c>
      <c r="O58" s="78">
        <v>966061.5</v>
      </c>
      <c r="P58" s="79">
        <f t="shared" si="2"/>
        <v>5628417.5</v>
      </c>
      <c r="R58" s="78">
        <v>4662356</v>
      </c>
      <c r="S58" s="78">
        <v>966061.5</v>
      </c>
      <c r="T58" s="79">
        <f t="shared" si="3"/>
        <v>5628417.5</v>
      </c>
      <c r="V58" s="78">
        <v>261091.94</v>
      </c>
      <c r="W58" s="78">
        <v>54099.44</v>
      </c>
      <c r="X58" s="79">
        <f t="shared" si="4"/>
        <v>315191.38</v>
      </c>
    </row>
    <row r="59" spans="1:24" x14ac:dyDescent="0.3">
      <c r="A59" s="75">
        <f>VLOOKUP(B59,[6]Address!$A:$E,5,FALSE)</f>
        <v>10</v>
      </c>
      <c r="B59" s="109" t="s">
        <v>209</v>
      </c>
      <c r="C59" s="76" t="s">
        <v>210</v>
      </c>
      <c r="D59" s="76">
        <v>2</v>
      </c>
      <c r="E59" s="77"/>
      <c r="F59" s="78">
        <v>131877.98000000001</v>
      </c>
      <c r="G59" s="78">
        <v>40102.06</v>
      </c>
      <c r="H59" s="79">
        <f t="shared" si="0"/>
        <v>171980.04</v>
      </c>
      <c r="I59" s="77"/>
      <c r="J59" s="78">
        <v>134588.03999999998</v>
      </c>
      <c r="K59" s="78">
        <v>38904.04</v>
      </c>
      <c r="L59" s="79">
        <f t="shared" si="1"/>
        <v>173492.08</v>
      </c>
      <c r="M59" s="77"/>
      <c r="N59" s="78">
        <v>137071</v>
      </c>
      <c r="O59" s="78">
        <v>40641</v>
      </c>
      <c r="P59" s="79">
        <f t="shared" si="2"/>
        <v>177712</v>
      </c>
      <c r="R59" s="78">
        <v>137071</v>
      </c>
      <c r="S59" s="78">
        <v>40641</v>
      </c>
      <c r="T59" s="79">
        <f t="shared" si="3"/>
        <v>177712</v>
      </c>
      <c r="V59" s="78">
        <v>7675.98</v>
      </c>
      <c r="W59" s="78">
        <v>2275.9</v>
      </c>
      <c r="X59" s="79">
        <f t="shared" si="4"/>
        <v>9951.8799999999992</v>
      </c>
    </row>
    <row r="60" spans="1:24" x14ac:dyDescent="0.3">
      <c r="A60" s="75">
        <f>VLOOKUP(B60,[6]Address!$A:$E,5,FALSE)</f>
        <v>10</v>
      </c>
      <c r="B60" s="109" t="s">
        <v>211</v>
      </c>
      <c r="C60" s="76" t="s">
        <v>212</v>
      </c>
      <c r="D60" s="76">
        <v>2</v>
      </c>
      <c r="E60" s="77"/>
      <c r="F60" s="78">
        <v>169128.22</v>
      </c>
      <c r="G60" s="78">
        <v>180580.59</v>
      </c>
      <c r="H60" s="79">
        <f t="shared" si="0"/>
        <v>349708.81</v>
      </c>
      <c r="I60" s="77"/>
      <c r="J60" s="78">
        <v>172604.13999999998</v>
      </c>
      <c r="K60" s="78">
        <v>183766.32</v>
      </c>
      <c r="L60" s="79">
        <f t="shared" si="1"/>
        <v>356370.45999999996</v>
      </c>
      <c r="M60" s="77"/>
      <c r="N60" s="78">
        <v>175788.25</v>
      </c>
      <c r="O60" s="78">
        <v>187421.25</v>
      </c>
      <c r="P60" s="79">
        <f t="shared" si="2"/>
        <v>363209.5</v>
      </c>
      <c r="R60" s="78">
        <v>175788.25</v>
      </c>
      <c r="S60" s="78">
        <v>187421.25</v>
      </c>
      <c r="T60" s="79">
        <f t="shared" si="3"/>
        <v>363209.5</v>
      </c>
      <c r="V60" s="78">
        <v>9844.14</v>
      </c>
      <c r="W60" s="78">
        <v>10495.59</v>
      </c>
      <c r="X60" s="79">
        <f t="shared" si="4"/>
        <v>20339.73</v>
      </c>
    </row>
    <row r="61" spans="1:24" x14ac:dyDescent="0.3">
      <c r="A61" s="75">
        <f>VLOOKUP(B61,[6]Address!$A:$E,5,FALSE)</f>
        <v>10</v>
      </c>
      <c r="B61" s="109" t="s">
        <v>213</v>
      </c>
      <c r="C61" s="76" t="s">
        <v>214</v>
      </c>
      <c r="D61" s="76">
        <v>2</v>
      </c>
      <c r="E61" s="77"/>
      <c r="F61" s="78">
        <v>551616.72</v>
      </c>
      <c r="G61" s="78">
        <v>195248.23</v>
      </c>
      <c r="H61" s="79">
        <f t="shared" si="0"/>
        <v>746864.95</v>
      </c>
      <c r="I61" s="77"/>
      <c r="J61" s="78">
        <v>562952.35</v>
      </c>
      <c r="K61" s="78">
        <v>200995.83</v>
      </c>
      <c r="L61" s="79">
        <f t="shared" si="1"/>
        <v>763948.17999999993</v>
      </c>
      <c r="M61" s="77"/>
      <c r="N61" s="78">
        <v>573338</v>
      </c>
      <c r="O61" s="78">
        <v>203829.25</v>
      </c>
      <c r="P61" s="79">
        <f t="shared" si="2"/>
        <v>777167.25</v>
      </c>
      <c r="R61" s="78">
        <v>573338</v>
      </c>
      <c r="S61" s="78">
        <v>203829.25</v>
      </c>
      <c r="T61" s="79">
        <f t="shared" si="3"/>
        <v>777167.25</v>
      </c>
      <c r="V61" s="78">
        <v>32106.93</v>
      </c>
      <c r="W61" s="78">
        <v>11414.44</v>
      </c>
      <c r="X61" s="79">
        <f t="shared" si="4"/>
        <v>43521.37</v>
      </c>
    </row>
    <row r="62" spans="1:24" x14ac:dyDescent="0.3">
      <c r="A62" s="75">
        <f>VLOOKUP(B62,[6]Address!$A:$E,5,FALSE)</f>
        <v>10</v>
      </c>
      <c r="B62" s="109" t="s">
        <v>215</v>
      </c>
      <c r="C62" s="76" t="s">
        <v>216</v>
      </c>
      <c r="D62" s="76">
        <v>2</v>
      </c>
      <c r="E62" s="77"/>
      <c r="F62" s="78">
        <v>1571266.05</v>
      </c>
      <c r="G62" s="78">
        <v>379606</v>
      </c>
      <c r="H62" s="79">
        <f t="shared" si="0"/>
        <v>1950872.05</v>
      </c>
      <c r="I62" s="77"/>
      <c r="J62" s="78">
        <v>1824650.2</v>
      </c>
      <c r="K62" s="78">
        <v>383203.08</v>
      </c>
      <c r="L62" s="79">
        <f t="shared" si="1"/>
        <v>2207853.2799999998</v>
      </c>
      <c r="M62" s="77"/>
      <c r="N62" s="78">
        <v>1746870.5</v>
      </c>
      <c r="O62" s="78">
        <v>392391.5</v>
      </c>
      <c r="P62" s="79">
        <f t="shared" si="2"/>
        <v>2139262</v>
      </c>
      <c r="R62" s="78">
        <v>1746870.5</v>
      </c>
      <c r="S62" s="78">
        <v>392391.5</v>
      </c>
      <c r="T62" s="79">
        <f t="shared" si="3"/>
        <v>2139262</v>
      </c>
      <c r="V62" s="78">
        <v>97824.75</v>
      </c>
      <c r="W62" s="78">
        <v>21973.919999999998</v>
      </c>
      <c r="X62" s="79">
        <f t="shared" si="4"/>
        <v>119798.67</v>
      </c>
    </row>
    <row r="63" spans="1:24" x14ac:dyDescent="0.3">
      <c r="A63" s="75">
        <f>VLOOKUP(B63,[6]Address!$A:$E,5,FALSE)</f>
        <v>10</v>
      </c>
      <c r="B63" s="109" t="s">
        <v>217</v>
      </c>
      <c r="C63" s="76" t="s">
        <v>218</v>
      </c>
      <c r="D63" s="76">
        <v>2</v>
      </c>
      <c r="E63" s="77"/>
      <c r="F63" s="78">
        <v>6154645.8899999997</v>
      </c>
      <c r="G63" s="78">
        <v>1258773.26</v>
      </c>
      <c r="H63" s="79">
        <f t="shared" si="0"/>
        <v>7413419.1499999994</v>
      </c>
      <c r="I63" s="77"/>
      <c r="J63" s="78">
        <v>6526304.7400000002</v>
      </c>
      <c r="K63" s="78">
        <v>1386646.24</v>
      </c>
      <c r="L63" s="79">
        <f t="shared" si="1"/>
        <v>7912950.9800000004</v>
      </c>
      <c r="M63" s="77"/>
      <c r="N63" s="78">
        <v>6523122.75</v>
      </c>
      <c r="O63" s="78">
        <v>1360812.5</v>
      </c>
      <c r="P63" s="79">
        <f t="shared" si="2"/>
        <v>7883935.25</v>
      </c>
      <c r="R63" s="78">
        <v>6523122.75</v>
      </c>
      <c r="S63" s="78">
        <v>1360812.5</v>
      </c>
      <c r="T63" s="79">
        <f t="shared" si="3"/>
        <v>7883935.25</v>
      </c>
      <c r="V63" s="78">
        <v>365294.87</v>
      </c>
      <c r="W63" s="78">
        <v>76205.5</v>
      </c>
      <c r="X63" s="79">
        <f t="shared" si="4"/>
        <v>441500.37</v>
      </c>
    </row>
    <row r="64" spans="1:24" x14ac:dyDescent="0.3">
      <c r="A64" s="75">
        <f>VLOOKUP(B64,[6]Address!$A:$E,5,FALSE)</f>
        <v>10</v>
      </c>
      <c r="B64" s="109" t="s">
        <v>219</v>
      </c>
      <c r="C64" s="76" t="s">
        <v>220</v>
      </c>
      <c r="D64" s="76">
        <v>2</v>
      </c>
      <c r="E64" s="77"/>
      <c r="F64" s="78">
        <v>2018485.58</v>
      </c>
      <c r="G64" s="78">
        <v>535113.01</v>
      </c>
      <c r="H64" s="79">
        <f t="shared" si="0"/>
        <v>2553598.59</v>
      </c>
      <c r="I64" s="77"/>
      <c r="J64" s="78">
        <v>2120024.09</v>
      </c>
      <c r="K64" s="78">
        <v>558864.73</v>
      </c>
      <c r="L64" s="79">
        <f t="shared" si="1"/>
        <v>2678888.8199999998</v>
      </c>
      <c r="M64" s="77"/>
      <c r="N64" s="78">
        <v>2128863</v>
      </c>
      <c r="O64" s="78">
        <v>562745.75</v>
      </c>
      <c r="P64" s="79">
        <f t="shared" si="2"/>
        <v>2691608.75</v>
      </c>
      <c r="R64" s="78">
        <v>2128863</v>
      </c>
      <c r="S64" s="78">
        <v>562745.75</v>
      </c>
      <c r="T64" s="79">
        <f t="shared" si="3"/>
        <v>2691608.75</v>
      </c>
      <c r="V64" s="78">
        <v>119216.33</v>
      </c>
      <c r="W64" s="78">
        <v>31513.759999999998</v>
      </c>
      <c r="X64" s="79">
        <f t="shared" si="4"/>
        <v>150730.09</v>
      </c>
    </row>
    <row r="65" spans="1:24" x14ac:dyDescent="0.3">
      <c r="A65" s="75">
        <f>VLOOKUP(B65,[6]Address!$A:$E,5,FALSE)</f>
        <v>10</v>
      </c>
      <c r="B65" s="109" t="s">
        <v>221</v>
      </c>
      <c r="C65" s="76" t="s">
        <v>222</v>
      </c>
      <c r="D65" s="76">
        <v>2</v>
      </c>
      <c r="E65" s="77"/>
      <c r="F65" s="78">
        <v>37594.800000000003</v>
      </c>
      <c r="G65" s="78">
        <v>25917.05</v>
      </c>
      <c r="H65" s="79">
        <f t="shared" si="0"/>
        <v>63511.850000000006</v>
      </c>
      <c r="I65" s="77"/>
      <c r="J65" s="78">
        <v>38367</v>
      </c>
      <c r="K65" s="78">
        <v>23965.99</v>
      </c>
      <c r="L65" s="79">
        <f t="shared" si="1"/>
        <v>62332.990000000005</v>
      </c>
      <c r="M65" s="77"/>
      <c r="N65" s="78">
        <v>39075</v>
      </c>
      <c r="O65" s="78">
        <v>25660</v>
      </c>
      <c r="P65" s="79">
        <f t="shared" si="2"/>
        <v>64735</v>
      </c>
      <c r="R65" s="78">
        <v>39075</v>
      </c>
      <c r="S65" s="78">
        <v>25660</v>
      </c>
      <c r="T65" s="79">
        <f t="shared" si="3"/>
        <v>64735</v>
      </c>
      <c r="V65" s="78">
        <v>2188.1999999999998</v>
      </c>
      <c r="W65" s="78">
        <v>1436.96</v>
      </c>
      <c r="X65" s="79">
        <f t="shared" si="4"/>
        <v>3625.16</v>
      </c>
    </row>
    <row r="66" spans="1:24" x14ac:dyDescent="0.3">
      <c r="A66" s="75">
        <f>VLOOKUP(B66,[6]Address!$A:$E,5,FALSE)</f>
        <v>10</v>
      </c>
      <c r="B66" s="109" t="s">
        <v>223</v>
      </c>
      <c r="C66" s="76" t="s">
        <v>224</v>
      </c>
      <c r="D66" s="76">
        <v>2</v>
      </c>
      <c r="E66" s="77"/>
      <c r="F66" s="78">
        <v>24402.639999999999</v>
      </c>
      <c r="G66" s="78">
        <v>63475.5</v>
      </c>
      <c r="H66" s="79">
        <f t="shared" ref="H66:H70" si="5">F66+G66</f>
        <v>87878.14</v>
      </c>
      <c r="I66" s="77"/>
      <c r="J66" s="78">
        <v>24904.49</v>
      </c>
      <c r="K66" s="78">
        <v>61066.86</v>
      </c>
      <c r="L66" s="79">
        <f t="shared" ref="L66:L70" si="6">J66+K66</f>
        <v>85971.35</v>
      </c>
      <c r="M66" s="77"/>
      <c r="N66" s="78">
        <v>25363.75</v>
      </c>
      <c r="O66" s="78">
        <v>64065</v>
      </c>
      <c r="P66" s="79">
        <f t="shared" ref="P66:P70" si="7">N66+O66</f>
        <v>89428.75</v>
      </c>
      <c r="R66" s="78">
        <v>25363.75</v>
      </c>
      <c r="S66" s="78">
        <v>64065</v>
      </c>
      <c r="T66" s="79">
        <f t="shared" ref="T66:T70" si="8">R66+S66</f>
        <v>89428.75</v>
      </c>
      <c r="V66" s="78">
        <v>1420.37</v>
      </c>
      <c r="W66" s="78">
        <v>3587.64</v>
      </c>
      <c r="X66" s="79">
        <f t="shared" ref="X66:X70" si="9">V66+W66</f>
        <v>5008.01</v>
      </c>
    </row>
    <row r="67" spans="1:24" x14ac:dyDescent="0.3">
      <c r="A67" s="75">
        <f>VLOOKUP(B67,[6]Address!$A:$E,5,FALSE)</f>
        <v>10</v>
      </c>
      <c r="B67" s="109" t="s">
        <v>225</v>
      </c>
      <c r="C67" s="76" t="s">
        <v>226</v>
      </c>
      <c r="D67" s="76">
        <v>2</v>
      </c>
      <c r="E67" s="77"/>
      <c r="F67" s="78">
        <v>43285.94</v>
      </c>
      <c r="G67" s="78">
        <v>24408.3</v>
      </c>
      <c r="H67" s="79">
        <f t="shared" si="5"/>
        <v>67694.240000000005</v>
      </c>
      <c r="I67" s="77"/>
      <c r="J67" s="78">
        <v>50066.399999999994</v>
      </c>
      <c r="K67" s="78">
        <v>26167.29</v>
      </c>
      <c r="L67" s="79">
        <f t="shared" si="6"/>
        <v>76233.69</v>
      </c>
      <c r="M67" s="77"/>
      <c r="N67" s="78">
        <v>48020.75</v>
      </c>
      <c r="O67" s="78">
        <v>26016.25</v>
      </c>
      <c r="P67" s="79">
        <f t="shared" si="7"/>
        <v>74037</v>
      </c>
      <c r="R67" s="78">
        <v>48020.75</v>
      </c>
      <c r="S67" s="78">
        <v>26016.25</v>
      </c>
      <c r="T67" s="79">
        <f t="shared" si="8"/>
        <v>74037</v>
      </c>
      <c r="V67" s="78">
        <v>2689.16</v>
      </c>
      <c r="W67" s="78">
        <v>1456.91</v>
      </c>
      <c r="X67" s="79">
        <f t="shared" si="9"/>
        <v>4146.07</v>
      </c>
    </row>
    <row r="68" spans="1:24" x14ac:dyDescent="0.3">
      <c r="A68" s="75">
        <f>VLOOKUP(B68,[6]Address!$A:$E,5,FALSE)</f>
        <v>10</v>
      </c>
      <c r="B68" s="109" t="s">
        <v>227</v>
      </c>
      <c r="C68" s="76" t="s">
        <v>228</v>
      </c>
      <c r="D68" s="76">
        <v>2</v>
      </c>
      <c r="E68" s="77"/>
      <c r="F68" s="78">
        <v>100664.62</v>
      </c>
      <c r="G68" s="78">
        <v>122361.28</v>
      </c>
      <c r="H68" s="79">
        <f t="shared" si="5"/>
        <v>223025.9</v>
      </c>
      <c r="I68" s="77"/>
      <c r="J68" s="78">
        <v>112225.25</v>
      </c>
      <c r="K68" s="78">
        <v>123723.85</v>
      </c>
      <c r="L68" s="79">
        <f t="shared" si="6"/>
        <v>235949.1</v>
      </c>
      <c r="M68" s="77"/>
      <c r="N68" s="78">
        <v>109511.25</v>
      </c>
      <c r="O68" s="78">
        <v>126587</v>
      </c>
      <c r="P68" s="79">
        <f t="shared" si="7"/>
        <v>236098.25</v>
      </c>
      <c r="R68" s="78">
        <v>109511.25</v>
      </c>
      <c r="S68" s="78">
        <v>126587</v>
      </c>
      <c r="T68" s="79">
        <f t="shared" si="8"/>
        <v>236098.25</v>
      </c>
      <c r="V68" s="78">
        <v>6132.63</v>
      </c>
      <c r="W68" s="78">
        <v>7088.87</v>
      </c>
      <c r="X68" s="79">
        <f t="shared" si="9"/>
        <v>13221.5</v>
      </c>
    </row>
    <row r="69" spans="1:24" x14ac:dyDescent="0.3">
      <c r="A69" s="75">
        <f>VLOOKUP(B69,[6]Address!$A:$E,5,FALSE)</f>
        <v>10</v>
      </c>
      <c r="B69" s="109" t="s">
        <v>229</v>
      </c>
      <c r="C69" s="76" t="s">
        <v>230</v>
      </c>
      <c r="D69" s="76">
        <v>2</v>
      </c>
      <c r="E69" s="77"/>
      <c r="F69" s="78">
        <v>1419415.16</v>
      </c>
      <c r="G69" s="78">
        <v>723795.48</v>
      </c>
      <c r="H69" s="79">
        <f t="shared" si="5"/>
        <v>2143210.6399999997</v>
      </c>
      <c r="I69" s="77"/>
      <c r="J69" s="78">
        <v>1469596.29</v>
      </c>
      <c r="K69" s="78">
        <v>819599.58000000007</v>
      </c>
      <c r="L69" s="79">
        <f t="shared" si="6"/>
        <v>2289195.87</v>
      </c>
      <c r="M69" s="77"/>
      <c r="N69" s="78">
        <v>1486117</v>
      </c>
      <c r="O69" s="78">
        <v>793927.5</v>
      </c>
      <c r="P69" s="79">
        <f t="shared" si="7"/>
        <v>2280044.5</v>
      </c>
      <c r="R69" s="78">
        <v>1486117</v>
      </c>
      <c r="S69" s="78">
        <v>793927.5</v>
      </c>
      <c r="T69" s="79">
        <f t="shared" si="8"/>
        <v>2280044.5</v>
      </c>
      <c r="V69" s="78">
        <v>83222.55</v>
      </c>
      <c r="W69" s="78">
        <v>44459.94</v>
      </c>
      <c r="X69" s="79">
        <f t="shared" si="9"/>
        <v>127682.49</v>
      </c>
    </row>
    <row r="70" spans="1:24" x14ac:dyDescent="0.3">
      <c r="A70" s="75">
        <f>VLOOKUP(B70,[6]Address!$A:$E,5,FALSE)</f>
        <v>10</v>
      </c>
      <c r="B70" s="109" t="s">
        <v>231</v>
      </c>
      <c r="C70" s="76" t="s">
        <v>232</v>
      </c>
      <c r="D70" s="76">
        <v>2</v>
      </c>
      <c r="E70" s="77"/>
      <c r="F70" s="78">
        <v>1045940.67</v>
      </c>
      <c r="G70" s="78">
        <v>102676.05</v>
      </c>
      <c r="H70" s="79">
        <f t="shared" si="5"/>
        <v>1148616.72</v>
      </c>
      <c r="I70" s="77"/>
      <c r="J70" s="78">
        <v>1067434.7</v>
      </c>
      <c r="K70" s="78">
        <v>99217.58</v>
      </c>
      <c r="L70" s="79">
        <f t="shared" si="6"/>
        <v>1166652.28</v>
      </c>
      <c r="M70" s="77"/>
      <c r="N70" s="78">
        <v>1087127.25</v>
      </c>
      <c r="O70" s="78">
        <v>103854.75</v>
      </c>
      <c r="P70" s="79">
        <f t="shared" si="7"/>
        <v>1190982</v>
      </c>
      <c r="R70" s="78">
        <v>1087127.25</v>
      </c>
      <c r="S70" s="78">
        <v>103854.75</v>
      </c>
      <c r="T70" s="79">
        <f t="shared" si="8"/>
        <v>1190982</v>
      </c>
      <c r="V70" s="78">
        <v>60879.13</v>
      </c>
      <c r="W70" s="78">
        <v>5815.87</v>
      </c>
      <c r="X70" s="79">
        <f t="shared" si="9"/>
        <v>66695</v>
      </c>
    </row>
    <row r="71" spans="1:24" ht="15" thickBot="1" x14ac:dyDescent="0.35">
      <c r="F71" s="85">
        <f>SUM(F2:F70)</f>
        <v>125280642.91999997</v>
      </c>
      <c r="G71" s="85">
        <f>SUM(G2:G70)</f>
        <v>22396464.680000011</v>
      </c>
      <c r="H71" s="85">
        <f>SUM(H2:H70)</f>
        <v>147677107.59999999</v>
      </c>
      <c r="J71" s="85">
        <f>SUM(J2:J70)</f>
        <v>132712545.06000002</v>
      </c>
      <c r="K71" s="85">
        <f>SUM(K2:K70)</f>
        <v>23727918.459999986</v>
      </c>
      <c r="L71" s="85">
        <f>SUM(L2:L70)</f>
        <v>156440463.52000001</v>
      </c>
      <c r="N71" s="85">
        <f>SUM(N2:N70)</f>
        <v>132712545.25</v>
      </c>
      <c r="O71" s="85">
        <f>SUM(O2:O70)</f>
        <v>23725069</v>
      </c>
      <c r="P71" s="85">
        <f>SUM(P2:P70)</f>
        <v>156437614.25</v>
      </c>
      <c r="Q71" s="86"/>
      <c r="R71" s="85">
        <f>SUM(R2:R70)</f>
        <v>132712545.25</v>
      </c>
      <c r="S71" s="85">
        <f>SUM(S2:S70)</f>
        <v>23725069</v>
      </c>
      <c r="T71" s="85">
        <f>SUM(T2:T70)</f>
        <v>156437614.25</v>
      </c>
      <c r="U71" s="86"/>
      <c r="V71" s="85">
        <f>SUM(V2:V70)</f>
        <v>7431902.5200000005</v>
      </c>
      <c r="W71" s="85">
        <f>SUM(W2:W70)</f>
        <v>1328603.8499999999</v>
      </c>
      <c r="X71" s="85">
        <f>SUM(X2:X70)</f>
        <v>8760506.370000001</v>
      </c>
    </row>
    <row r="72" spans="1:24" ht="15" thickTop="1" x14ac:dyDescent="0.3">
      <c r="H72" s="87"/>
      <c r="L72" s="87"/>
      <c r="P72" s="87"/>
      <c r="T72" s="87"/>
      <c r="X72" s="87"/>
    </row>
    <row r="73" spans="1:24" x14ac:dyDescent="0.3">
      <c r="F73" s="88">
        <f>F71+'2022 CAH Payments'!F41</f>
        <v>126341431.66999997</v>
      </c>
      <c r="G73" s="88">
        <f>G71+'2022 CAH Payments'!G41</f>
        <v>27537215.180000011</v>
      </c>
      <c r="H73" s="88">
        <f>H71+'2022 CAH Payments'!H41</f>
        <v>153878646.84999999</v>
      </c>
      <c r="J73" s="88">
        <f>J71+'2022 CAH Payments'!J41</f>
        <v>135069881.31</v>
      </c>
      <c r="K73" s="88">
        <f>K71+'2022 CAH Payments'!K41</f>
        <v>32516938.959999986</v>
      </c>
      <c r="L73" s="88">
        <f>L71+'2022 CAH Payments'!L41</f>
        <v>167586820.27000001</v>
      </c>
      <c r="N73" s="88">
        <f>N71+'2022 CAH Payments'!N41</f>
        <v>134421607.75</v>
      </c>
      <c r="O73" s="88">
        <f>O71+'2022 CAH Payments'!O41</f>
        <v>30689954.5</v>
      </c>
      <c r="P73" s="88">
        <f>P71+'2022 CAH Payments'!P41</f>
        <v>165111562.25</v>
      </c>
      <c r="R73" s="88">
        <f>R71+'2022 CAH Payments'!R41</f>
        <v>134421607.75</v>
      </c>
      <c r="S73" s="88">
        <f>S71+'2022 CAH Payments'!S41</f>
        <v>30689954.5</v>
      </c>
      <c r="T73" s="88">
        <f>T71+'2022 CAH Payments'!T41</f>
        <v>165111562.25</v>
      </c>
      <c r="V73" s="87"/>
      <c r="W73" s="87"/>
      <c r="X73" s="87"/>
    </row>
    <row r="74" spans="1:24" x14ac:dyDescent="0.3">
      <c r="H74" s="87"/>
      <c r="P74" s="87"/>
    </row>
    <row r="75" spans="1:24" x14ac:dyDescent="0.3">
      <c r="F75" s="81"/>
      <c r="G75" s="80"/>
      <c r="H75" s="87"/>
      <c r="N75" s="87"/>
      <c r="O75" s="87"/>
      <c r="P75" s="87"/>
      <c r="R75" s="87"/>
      <c r="S75" s="87"/>
      <c r="T75" s="87"/>
      <c r="V75" s="87"/>
    </row>
    <row r="76" spans="1:24" x14ac:dyDescent="0.3">
      <c r="F76" s="81"/>
      <c r="G76" s="80"/>
      <c r="H76" s="80"/>
      <c r="L76" s="87"/>
    </row>
    <row r="77" spans="1:24" x14ac:dyDescent="0.3">
      <c r="F77" s="81"/>
      <c r="G77" s="80"/>
      <c r="H77" s="80"/>
    </row>
    <row r="78" spans="1:24" x14ac:dyDescent="0.3">
      <c r="F78" s="82"/>
      <c r="H78" s="82"/>
    </row>
    <row r="79" spans="1:24" x14ac:dyDescent="0.3">
      <c r="H79" s="80"/>
    </row>
    <row r="80" spans="1:24" x14ac:dyDescent="0.3">
      <c r="H80" s="82"/>
    </row>
    <row r="81" spans="2:22" x14ac:dyDescent="0.3">
      <c r="B81" s="45" t="s">
        <v>144</v>
      </c>
      <c r="C81" s="89" t="s">
        <v>145</v>
      </c>
      <c r="F81" s="90">
        <v>321878.03999999998</v>
      </c>
      <c r="G81" s="91"/>
      <c r="H81" s="91"/>
      <c r="I81" s="92"/>
      <c r="J81" s="78">
        <v>331437.18</v>
      </c>
      <c r="K81" s="91"/>
      <c r="L81" s="91"/>
      <c r="M81" s="92"/>
      <c r="N81" s="78">
        <v>336067.5</v>
      </c>
      <c r="O81" s="91"/>
      <c r="P81" s="91"/>
      <c r="Q81" s="92"/>
      <c r="R81" s="78">
        <v>336067.5</v>
      </c>
      <c r="S81" s="91"/>
      <c r="T81" s="91"/>
      <c r="U81" s="92"/>
      <c r="V81" s="78">
        <v>18819.78</v>
      </c>
    </row>
    <row r="82" spans="2:22" x14ac:dyDescent="0.3">
      <c r="B82" s="46" t="s">
        <v>146</v>
      </c>
      <c r="C82" s="89" t="s">
        <v>147</v>
      </c>
      <c r="F82" s="90">
        <v>116630.49</v>
      </c>
      <c r="G82" s="91"/>
      <c r="H82" s="91"/>
      <c r="I82" s="92"/>
      <c r="J82" s="78">
        <v>120094.28</v>
      </c>
      <c r="K82" s="91"/>
      <c r="L82" s="91"/>
      <c r="M82" s="92"/>
      <c r="N82" s="78">
        <v>121772</v>
      </c>
      <c r="O82" s="91"/>
      <c r="P82" s="91"/>
      <c r="Q82" s="92"/>
      <c r="R82" s="78">
        <v>121772</v>
      </c>
      <c r="S82" s="91"/>
      <c r="T82" s="91"/>
      <c r="U82" s="92"/>
      <c r="V82" s="78">
        <v>6819.23</v>
      </c>
    </row>
    <row r="83" spans="2:22" x14ac:dyDescent="0.3">
      <c r="B83" s="45" t="s">
        <v>148</v>
      </c>
      <c r="C83" s="89" t="s">
        <v>149</v>
      </c>
      <c r="F83" s="90">
        <v>364046.05</v>
      </c>
      <c r="G83" s="91"/>
      <c r="H83" s="91"/>
      <c r="I83" s="92"/>
      <c r="J83" s="78">
        <v>374857.17</v>
      </c>
      <c r="K83" s="91"/>
      <c r="L83" s="91"/>
      <c r="M83" s="92"/>
      <c r="N83" s="78">
        <v>380094.25</v>
      </c>
      <c r="O83" s="91"/>
      <c r="P83" s="91"/>
      <c r="Q83" s="92"/>
      <c r="R83" s="78">
        <v>380094.25</v>
      </c>
      <c r="S83" s="91"/>
      <c r="T83" s="91"/>
      <c r="U83" s="92"/>
      <c r="V83" s="78">
        <v>21285.279999999999</v>
      </c>
    </row>
    <row r="84" spans="2:22" x14ac:dyDescent="0.3">
      <c r="B84" s="40" t="s">
        <v>150</v>
      </c>
      <c r="C84" s="89" t="s">
        <v>106</v>
      </c>
      <c r="F84" s="90">
        <v>565981.34</v>
      </c>
      <c r="G84" s="91"/>
      <c r="H84" s="91"/>
      <c r="I84" s="92"/>
      <c r="J84" s="78">
        <v>582789.98</v>
      </c>
      <c r="K84" s="91"/>
      <c r="L84" s="91"/>
      <c r="M84" s="92"/>
      <c r="N84" s="78">
        <v>590931.75</v>
      </c>
      <c r="O84" s="91"/>
      <c r="P84" s="91"/>
      <c r="Q84" s="92"/>
      <c r="R84" s="78">
        <v>590931.75</v>
      </c>
      <c r="S84" s="91"/>
      <c r="T84" s="91"/>
      <c r="U84" s="92"/>
      <c r="V84" s="78">
        <v>33092.18</v>
      </c>
    </row>
    <row r="85" spans="2:22" x14ac:dyDescent="0.3">
      <c r="B85" s="47" t="s">
        <v>151</v>
      </c>
      <c r="C85" s="89" t="s">
        <v>152</v>
      </c>
      <c r="F85" s="90">
        <v>518594.42</v>
      </c>
      <c r="G85" s="91"/>
      <c r="H85" s="91"/>
      <c r="I85" s="92"/>
      <c r="J85" s="78">
        <v>533995.56000000006</v>
      </c>
      <c r="K85" s="91"/>
      <c r="L85" s="91"/>
      <c r="M85" s="92"/>
      <c r="N85" s="78">
        <v>541455.75</v>
      </c>
      <c r="O85" s="91"/>
      <c r="P85" s="91"/>
      <c r="Q85" s="92"/>
      <c r="R85" s="78">
        <v>541455.75</v>
      </c>
      <c r="S85" s="91"/>
      <c r="T85" s="91"/>
      <c r="U85" s="92"/>
      <c r="V85" s="78">
        <v>30321.52</v>
      </c>
    </row>
    <row r="86" spans="2:22" x14ac:dyDescent="0.3">
      <c r="B86" s="45" t="s">
        <v>153</v>
      </c>
      <c r="C86" s="89" t="s">
        <v>154</v>
      </c>
      <c r="F86" s="90">
        <v>558304.26</v>
      </c>
      <c r="G86" s="91"/>
      <c r="H86" s="91"/>
      <c r="I86" s="92"/>
      <c r="J86" s="78">
        <v>574884.92999999993</v>
      </c>
      <c r="K86" s="91"/>
      <c r="L86" s="91"/>
      <c r="M86" s="92"/>
      <c r="N86" s="78">
        <v>582916.25</v>
      </c>
      <c r="O86" s="91"/>
      <c r="P86" s="91"/>
      <c r="Q86" s="92"/>
      <c r="R86" s="78">
        <v>582916.25</v>
      </c>
      <c r="S86" s="91"/>
      <c r="T86" s="91"/>
      <c r="U86" s="92"/>
      <c r="V86" s="78">
        <v>32643.31</v>
      </c>
    </row>
    <row r="87" spans="2:22" x14ac:dyDescent="0.3">
      <c r="B87" s="45" t="s">
        <v>155</v>
      </c>
      <c r="C87" s="89" t="s">
        <v>156</v>
      </c>
      <c r="F87" s="90">
        <v>1196213.2</v>
      </c>
      <c r="G87" s="91"/>
      <c r="H87" s="91"/>
      <c r="I87" s="92"/>
      <c r="J87" s="78">
        <v>1231738.31</v>
      </c>
      <c r="K87" s="91"/>
      <c r="L87" s="91"/>
      <c r="M87" s="92"/>
      <c r="N87" s="78">
        <v>1248946.25</v>
      </c>
      <c r="O87" s="91"/>
      <c r="P87" s="91"/>
      <c r="Q87" s="92"/>
      <c r="R87" s="78">
        <v>1248946.25</v>
      </c>
      <c r="S87" s="91"/>
      <c r="T87" s="91"/>
      <c r="U87" s="92"/>
      <c r="V87" s="78">
        <v>69940.990000000005</v>
      </c>
    </row>
    <row r="88" spans="2:22" x14ac:dyDescent="0.3">
      <c r="B88" s="45" t="s">
        <v>157</v>
      </c>
      <c r="C88" s="93" t="s">
        <v>140</v>
      </c>
      <c r="F88" s="94">
        <v>919806.22</v>
      </c>
      <c r="G88" s="91"/>
      <c r="H88" s="91"/>
      <c r="I88" s="92"/>
      <c r="J88" s="78">
        <v>947122.44000000006</v>
      </c>
      <c r="K88" s="91"/>
      <c r="L88" s="91"/>
      <c r="M88" s="92"/>
      <c r="N88" s="78">
        <v>960354.25</v>
      </c>
      <c r="O88" s="91"/>
      <c r="P88" s="91"/>
      <c r="Q88" s="92"/>
      <c r="R88" s="78">
        <v>960354.25</v>
      </c>
      <c r="S88" s="91"/>
      <c r="T88" s="91"/>
      <c r="U88" s="92"/>
      <c r="V88" s="78">
        <v>53779.839999999997</v>
      </c>
    </row>
    <row r="89" spans="2:22" x14ac:dyDescent="0.3">
      <c r="B89" s="45" t="s">
        <v>158</v>
      </c>
      <c r="C89" s="89" t="s">
        <v>159</v>
      </c>
      <c r="F89" s="94">
        <v>725699.53</v>
      </c>
      <c r="G89" s="91"/>
      <c r="H89" s="91"/>
      <c r="I89" s="92"/>
      <c r="J89" s="78">
        <v>747251.28999999992</v>
      </c>
      <c r="K89" s="91"/>
      <c r="L89" s="91"/>
      <c r="M89" s="92"/>
      <c r="N89" s="78">
        <v>757690.75</v>
      </c>
      <c r="O89" s="91"/>
      <c r="P89" s="91"/>
      <c r="Q89" s="92"/>
      <c r="R89" s="78">
        <v>757690.75</v>
      </c>
      <c r="S89" s="91"/>
      <c r="T89" s="91"/>
      <c r="U89" s="92"/>
      <c r="V89" s="78">
        <v>42430.68</v>
      </c>
    </row>
    <row r="90" spans="2:22" x14ac:dyDescent="0.3">
      <c r="B90" s="49" t="s">
        <v>160</v>
      </c>
      <c r="C90" s="89" t="s">
        <v>161</v>
      </c>
      <c r="F90" s="94">
        <v>774226.08</v>
      </c>
      <c r="G90" s="91"/>
      <c r="H90" s="91"/>
      <c r="I90" s="92"/>
      <c r="J90" s="78">
        <v>797219.44000000006</v>
      </c>
      <c r="K90" s="91"/>
      <c r="L90" s="91"/>
      <c r="M90" s="92"/>
      <c r="N90" s="78">
        <v>808356.75</v>
      </c>
      <c r="O90" s="91"/>
      <c r="P90" s="91"/>
      <c r="Q90" s="92"/>
      <c r="R90" s="78">
        <v>808356.75</v>
      </c>
      <c r="S90" s="91"/>
      <c r="T90" s="91"/>
      <c r="U90" s="92"/>
      <c r="V90" s="78">
        <v>45267.98</v>
      </c>
    </row>
  </sheetData>
  <conditionalFormatting sqref="C58">
    <cfRule type="cellIs" dxfId="9" priority="1" operator="equal">
      <formula>XAO58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5095-292A-4163-BC57-12E294B287C2}">
  <dimension ref="A1:U52"/>
  <sheetViews>
    <sheetView zoomScaleNormal="100" workbookViewId="0">
      <pane xSplit="3" ySplit="1" topLeftCell="D2" activePane="bottomRight" state="frozen"/>
      <selection activeCell="T1" sqref="T1:U1048576"/>
      <selection pane="topRight" activeCell="T1" sqref="T1:U1048576"/>
      <selection pane="bottomLeft" activeCell="T1" sqref="T1:U1048576"/>
      <selection pane="bottomRight" activeCell="C6" sqref="C6"/>
    </sheetView>
  </sheetViews>
  <sheetFormatPr defaultRowHeight="14.4" x14ac:dyDescent="0.3"/>
  <cols>
    <col min="1" max="1" width="4.5546875" style="101" bestFit="1" customWidth="1"/>
    <col min="2" max="2" width="11.33203125" style="101" bestFit="1" customWidth="1"/>
    <col min="3" max="3" width="62.109375" style="101" bestFit="1" customWidth="1"/>
    <col min="4" max="4" width="7.33203125" style="101" bestFit="1" customWidth="1"/>
    <col min="5" max="5" width="2.6640625" style="97" customWidth="1"/>
    <col min="6" max="6" width="14.6640625" style="101" bestFit="1" customWidth="1"/>
    <col min="7" max="7" width="16.6640625" style="101" bestFit="1" customWidth="1"/>
    <col min="8" max="8" width="14.5546875" style="101" bestFit="1" customWidth="1"/>
    <col min="9" max="9" width="2.6640625" style="97" customWidth="1"/>
    <col min="10" max="10" width="14.6640625" style="101" bestFit="1" customWidth="1"/>
    <col min="11" max="11" width="16.6640625" style="101" bestFit="1" customWidth="1"/>
    <col min="12" max="12" width="14.5546875" style="101" bestFit="1" customWidth="1"/>
    <col min="13" max="13" width="2.6640625" style="97" customWidth="1"/>
    <col min="14" max="14" width="13.6640625" style="101" bestFit="1" customWidth="1"/>
    <col min="15" max="15" width="13.5546875" style="101" bestFit="1" customWidth="1"/>
    <col min="16" max="16" width="15.109375" style="101" bestFit="1" customWidth="1"/>
    <col min="17" max="17" width="2.6640625" style="97" customWidth="1"/>
    <col min="18" max="18" width="12.6640625" style="101" bestFit="1" customWidth="1"/>
    <col min="19" max="19" width="13.33203125" style="101" bestFit="1" customWidth="1"/>
    <col min="20" max="20" width="15.5546875" style="101" bestFit="1" customWidth="1"/>
    <col min="21" max="21" width="2.6640625" style="97" customWidth="1"/>
    <col min="22" max="16384" width="8.88671875" style="101"/>
  </cols>
  <sheetData>
    <row r="1" spans="1:20" ht="69.75" customHeight="1" x14ac:dyDescent="0.3">
      <c r="A1" s="95" t="s">
        <v>282</v>
      </c>
      <c r="B1" s="8" t="s">
        <v>2</v>
      </c>
      <c r="C1" s="96" t="s">
        <v>3</v>
      </c>
      <c r="D1" s="96" t="s">
        <v>5</v>
      </c>
      <c r="F1" s="98" t="s">
        <v>299</v>
      </c>
      <c r="G1" s="98" t="s">
        <v>300</v>
      </c>
      <c r="H1" s="71" t="s">
        <v>285</v>
      </c>
      <c r="J1" s="98" t="s">
        <v>286</v>
      </c>
      <c r="K1" s="98" t="s">
        <v>301</v>
      </c>
      <c r="L1" s="99" t="s">
        <v>288</v>
      </c>
      <c r="N1" s="98" t="s">
        <v>302</v>
      </c>
      <c r="O1" s="98" t="s">
        <v>303</v>
      </c>
      <c r="P1" s="99" t="s">
        <v>304</v>
      </c>
      <c r="R1" s="98" t="s">
        <v>305</v>
      </c>
      <c r="S1" s="98" t="s">
        <v>306</v>
      </c>
      <c r="T1" s="100" t="s">
        <v>307</v>
      </c>
    </row>
    <row r="2" spans="1:20" x14ac:dyDescent="0.3">
      <c r="A2" s="102">
        <f>VLOOKUP(B2,[6]Address!$A:$E,5,FALSE)</f>
        <v>14</v>
      </c>
      <c r="B2" s="108" t="s">
        <v>163</v>
      </c>
      <c r="C2" s="103" t="s">
        <v>164</v>
      </c>
      <c r="D2" s="84">
        <v>1</v>
      </c>
      <c r="F2" s="78">
        <v>16853.5</v>
      </c>
      <c r="G2" s="78">
        <v>308233.25</v>
      </c>
      <c r="H2" s="78">
        <f>F2+G2</f>
        <v>325086.75</v>
      </c>
      <c r="J2" s="78">
        <v>44088.5</v>
      </c>
      <c r="K2" s="78">
        <v>608470.25</v>
      </c>
      <c r="L2" s="78">
        <f t="shared" ref="L2:L40" si="0">J2+K2</f>
        <v>652558.75</v>
      </c>
      <c r="N2" s="78">
        <v>30471</v>
      </c>
      <c r="O2" s="78">
        <v>458351.75</v>
      </c>
      <c r="P2" s="78">
        <f t="shared" ref="P2:P40" si="1">N2+O2</f>
        <v>488822.75</v>
      </c>
      <c r="R2" s="78">
        <v>30471</v>
      </c>
      <c r="S2" s="78">
        <v>458351.75</v>
      </c>
      <c r="T2" s="78">
        <f>R2+S2</f>
        <v>488822.75</v>
      </c>
    </row>
    <row r="3" spans="1:20" x14ac:dyDescent="0.3">
      <c r="A3" s="102">
        <f>VLOOKUP(B3,[6]Address!$A:$E,5,FALSE)</f>
        <v>14</v>
      </c>
      <c r="B3" s="109" t="s">
        <v>240</v>
      </c>
      <c r="C3" s="84" t="s">
        <v>241</v>
      </c>
      <c r="D3" s="84">
        <v>1</v>
      </c>
      <c r="F3" s="78">
        <v>82695.75</v>
      </c>
      <c r="G3" s="78">
        <v>66664.75</v>
      </c>
      <c r="H3" s="78">
        <f t="shared" ref="H3:H40" si="2">F3+G3</f>
        <v>149360.5</v>
      </c>
      <c r="J3" s="78">
        <v>65076.75</v>
      </c>
      <c r="K3" s="78">
        <v>66086.25</v>
      </c>
      <c r="L3" s="78">
        <f t="shared" si="0"/>
        <v>131163</v>
      </c>
      <c r="N3" s="78">
        <v>73886.25</v>
      </c>
      <c r="O3" s="78">
        <v>66375.5</v>
      </c>
      <c r="P3" s="78">
        <f t="shared" si="1"/>
        <v>140261.75</v>
      </c>
      <c r="R3" s="78">
        <v>73886.25</v>
      </c>
      <c r="S3" s="78">
        <v>66375.5</v>
      </c>
      <c r="T3" s="78">
        <f t="shared" ref="T3:T40" si="3">R3+S3</f>
        <v>140261.75</v>
      </c>
    </row>
    <row r="4" spans="1:20" x14ac:dyDescent="0.3">
      <c r="A4" s="102">
        <v>14</v>
      </c>
      <c r="B4" s="109" t="s">
        <v>248</v>
      </c>
      <c r="C4" s="84" t="s">
        <v>249</v>
      </c>
      <c r="D4" s="84">
        <v>1</v>
      </c>
      <c r="F4" s="78">
        <v>10093.5</v>
      </c>
      <c r="G4" s="78">
        <v>222573.25</v>
      </c>
      <c r="H4" s="78">
        <f t="shared" si="2"/>
        <v>232666.75</v>
      </c>
      <c r="J4" s="78">
        <v>145734.5</v>
      </c>
      <c r="K4" s="78">
        <v>428741.25</v>
      </c>
      <c r="L4" s="78">
        <f t="shared" si="0"/>
        <v>574475.75</v>
      </c>
      <c r="N4" s="78">
        <v>77914</v>
      </c>
      <c r="O4" s="78">
        <v>325657.25</v>
      </c>
      <c r="P4" s="78">
        <f t="shared" si="1"/>
        <v>403571.25</v>
      </c>
      <c r="R4" s="78">
        <v>77914</v>
      </c>
      <c r="S4" s="78">
        <v>325657.25</v>
      </c>
      <c r="T4" s="78">
        <f t="shared" si="3"/>
        <v>403571.25</v>
      </c>
    </row>
    <row r="5" spans="1:20" x14ac:dyDescent="0.3">
      <c r="A5" s="102">
        <v>14</v>
      </c>
      <c r="B5" s="109" t="s">
        <v>167</v>
      </c>
      <c r="C5" s="84" t="s">
        <v>168</v>
      </c>
      <c r="D5" s="84">
        <v>1</v>
      </c>
      <c r="F5" s="78">
        <v>3336.75</v>
      </c>
      <c r="G5" s="78">
        <v>125238.75</v>
      </c>
      <c r="H5" s="78">
        <f t="shared" si="2"/>
        <v>128575.5</v>
      </c>
      <c r="J5" s="78">
        <v>1850.25</v>
      </c>
      <c r="K5" s="78">
        <v>153954.75</v>
      </c>
      <c r="L5" s="78">
        <f t="shared" si="0"/>
        <v>155805</v>
      </c>
      <c r="N5" s="78">
        <v>2593.5</v>
      </c>
      <c r="O5" s="78">
        <v>139596.75</v>
      </c>
      <c r="P5" s="78">
        <f t="shared" si="1"/>
        <v>142190.25</v>
      </c>
      <c r="R5" s="78">
        <v>2593.5</v>
      </c>
      <c r="S5" s="78">
        <v>139596.75</v>
      </c>
      <c r="T5" s="105">
        <f t="shared" si="3"/>
        <v>142190.25</v>
      </c>
    </row>
    <row r="6" spans="1:20" x14ac:dyDescent="0.3">
      <c r="A6" s="102">
        <v>14</v>
      </c>
      <c r="B6" s="109" t="s">
        <v>169</v>
      </c>
      <c r="C6" s="84" t="s">
        <v>170</v>
      </c>
      <c r="D6" s="84">
        <v>1</v>
      </c>
      <c r="F6" s="78">
        <v>14080</v>
      </c>
      <c r="G6" s="78">
        <v>342914.5</v>
      </c>
      <c r="H6" s="78">
        <f t="shared" si="2"/>
        <v>356994.5</v>
      </c>
      <c r="J6" s="78">
        <v>71351.5</v>
      </c>
      <c r="K6" s="78">
        <v>703455.5</v>
      </c>
      <c r="L6" s="78">
        <f t="shared" si="0"/>
        <v>774807</v>
      </c>
      <c r="N6" s="78">
        <v>42715.75</v>
      </c>
      <c r="O6" s="78">
        <v>523185</v>
      </c>
      <c r="P6" s="105">
        <f t="shared" si="1"/>
        <v>565900.75</v>
      </c>
      <c r="R6" s="78">
        <v>42715.75</v>
      </c>
      <c r="S6" s="78">
        <v>523185</v>
      </c>
      <c r="T6" s="105">
        <f t="shared" si="3"/>
        <v>565900.75</v>
      </c>
    </row>
    <row r="7" spans="1:20" x14ac:dyDescent="0.3">
      <c r="A7" s="102">
        <f>VLOOKUP(B7,[6]Address!$A:$E,5,FALSE)</f>
        <v>14</v>
      </c>
      <c r="B7" s="109" t="s">
        <v>171</v>
      </c>
      <c r="C7" s="84" t="s">
        <v>172</v>
      </c>
      <c r="D7" s="84">
        <v>1</v>
      </c>
      <c r="F7" s="78">
        <v>7.5</v>
      </c>
      <c r="G7" s="78">
        <v>95289.25</v>
      </c>
      <c r="H7" s="78">
        <f t="shared" si="2"/>
        <v>95296.75</v>
      </c>
      <c r="J7" s="78">
        <v>7291.5</v>
      </c>
      <c r="K7" s="78">
        <v>149921.75</v>
      </c>
      <c r="L7" s="78">
        <f t="shared" si="0"/>
        <v>157213.25</v>
      </c>
      <c r="N7" s="78">
        <v>3649.5</v>
      </c>
      <c r="O7" s="78">
        <v>122605.5</v>
      </c>
      <c r="P7" s="78">
        <f t="shared" si="1"/>
        <v>126255</v>
      </c>
      <c r="R7" s="78">
        <v>3649.5</v>
      </c>
      <c r="S7" s="78">
        <v>122605.5</v>
      </c>
      <c r="T7" s="78">
        <f t="shared" si="3"/>
        <v>126255</v>
      </c>
    </row>
    <row r="8" spans="1:20" x14ac:dyDescent="0.3">
      <c r="A8" s="102">
        <f>VLOOKUP(B8,[6]Address!$A:$E,5,FALSE)</f>
        <v>14</v>
      </c>
      <c r="B8" s="109" t="s">
        <v>173</v>
      </c>
      <c r="C8" s="84" t="s">
        <v>174</v>
      </c>
      <c r="D8" s="84">
        <v>1</v>
      </c>
      <c r="F8" s="78">
        <v>4515.5</v>
      </c>
      <c r="G8" s="78">
        <v>48939.75</v>
      </c>
      <c r="H8" s="78">
        <f t="shared" si="2"/>
        <v>53455.25</v>
      </c>
      <c r="J8" s="78">
        <v>3933.5</v>
      </c>
      <c r="K8" s="78">
        <v>70461.75</v>
      </c>
      <c r="L8" s="78">
        <f t="shared" si="0"/>
        <v>74395.25</v>
      </c>
      <c r="N8" s="78">
        <v>4224.5</v>
      </c>
      <c r="O8" s="78">
        <v>59700.75</v>
      </c>
      <c r="P8" s="78">
        <f t="shared" si="1"/>
        <v>63925.25</v>
      </c>
      <c r="R8" s="78">
        <v>4224.5</v>
      </c>
      <c r="S8" s="78">
        <v>59700.75</v>
      </c>
      <c r="T8" s="78">
        <f t="shared" si="3"/>
        <v>63925.25</v>
      </c>
    </row>
    <row r="9" spans="1:20" x14ac:dyDescent="0.3">
      <c r="A9" s="102">
        <f>VLOOKUP(B9,[6]Address!$A:$E,5,FALSE)</f>
        <v>14</v>
      </c>
      <c r="B9" s="109" t="s">
        <v>175</v>
      </c>
      <c r="C9" s="84" t="s">
        <v>176</v>
      </c>
      <c r="D9" s="84">
        <v>1</v>
      </c>
      <c r="F9" s="78">
        <v>90636.75</v>
      </c>
      <c r="G9" s="78">
        <v>14292</v>
      </c>
      <c r="H9" s="105">
        <f t="shared" si="2"/>
        <v>104928.75</v>
      </c>
      <c r="J9" s="78">
        <v>399904.25</v>
      </c>
      <c r="K9" s="78">
        <v>14574.5</v>
      </c>
      <c r="L9" s="78">
        <f t="shared" si="0"/>
        <v>414478.75</v>
      </c>
      <c r="N9" s="78">
        <v>245270.5</v>
      </c>
      <c r="O9" s="78">
        <v>14433.25</v>
      </c>
      <c r="P9" s="78">
        <f t="shared" si="1"/>
        <v>259703.75</v>
      </c>
      <c r="R9" s="78">
        <v>245270.5</v>
      </c>
      <c r="S9" s="78">
        <v>14433.25</v>
      </c>
      <c r="T9" s="78">
        <f t="shared" si="3"/>
        <v>259703.75</v>
      </c>
    </row>
    <row r="10" spans="1:20" x14ac:dyDescent="0.3">
      <c r="A10" s="102">
        <v>14</v>
      </c>
      <c r="B10" s="109" t="s">
        <v>177</v>
      </c>
      <c r="C10" s="84" t="s">
        <v>178</v>
      </c>
      <c r="D10" s="84">
        <v>1</v>
      </c>
      <c r="F10" s="78">
        <v>5908.5</v>
      </c>
      <c r="G10" s="78">
        <v>92608</v>
      </c>
      <c r="H10" s="78">
        <f t="shared" si="2"/>
        <v>98516.5</v>
      </c>
      <c r="J10" s="78">
        <v>23998</v>
      </c>
      <c r="K10" s="78">
        <v>149479.5</v>
      </c>
      <c r="L10" s="78">
        <f t="shared" si="0"/>
        <v>173477.5</v>
      </c>
      <c r="N10" s="78">
        <v>14953.25</v>
      </c>
      <c r="O10" s="78">
        <v>121043.75</v>
      </c>
      <c r="P10" s="78">
        <f t="shared" si="1"/>
        <v>135997</v>
      </c>
      <c r="R10" s="78">
        <v>14953.25</v>
      </c>
      <c r="S10" s="78">
        <v>121043.75</v>
      </c>
      <c r="T10" s="78">
        <f t="shared" si="3"/>
        <v>135997</v>
      </c>
    </row>
    <row r="11" spans="1:20" x14ac:dyDescent="0.3">
      <c r="A11" s="102">
        <f>VLOOKUP(B11,[6]Address!$A:$E,5,FALSE)</f>
        <v>14</v>
      </c>
      <c r="B11" s="109" t="s">
        <v>179</v>
      </c>
      <c r="C11" s="84" t="s">
        <v>180</v>
      </c>
      <c r="D11" s="84">
        <v>1</v>
      </c>
      <c r="F11" s="78">
        <v>22410</v>
      </c>
      <c r="G11" s="78">
        <v>100812.5</v>
      </c>
      <c r="H11" s="78">
        <f t="shared" si="2"/>
        <v>123222.5</v>
      </c>
      <c r="J11" s="78">
        <v>61662.5</v>
      </c>
      <c r="K11" s="78">
        <v>120641.5</v>
      </c>
      <c r="L11" s="78">
        <f t="shared" si="0"/>
        <v>182304</v>
      </c>
      <c r="N11" s="78">
        <v>42036.25</v>
      </c>
      <c r="O11" s="78">
        <v>110727</v>
      </c>
      <c r="P11" s="78">
        <f t="shared" si="1"/>
        <v>152763.25</v>
      </c>
      <c r="R11" s="78">
        <v>42036.25</v>
      </c>
      <c r="S11" s="78">
        <v>110727</v>
      </c>
      <c r="T11" s="78">
        <f t="shared" si="3"/>
        <v>152763.25</v>
      </c>
    </row>
    <row r="12" spans="1:20" x14ac:dyDescent="0.3">
      <c r="A12" s="102">
        <f>VLOOKUP(B12,[6]Address!$A:$E,5,FALSE)</f>
        <v>14</v>
      </c>
      <c r="B12" s="110" t="s">
        <v>181</v>
      </c>
      <c r="C12" s="51" t="s">
        <v>182</v>
      </c>
      <c r="D12" s="84">
        <v>1</v>
      </c>
      <c r="F12" s="78">
        <v>8019</v>
      </c>
      <c r="G12" s="78">
        <v>194156.25</v>
      </c>
      <c r="H12" s="78">
        <f t="shared" si="2"/>
        <v>202175.25</v>
      </c>
      <c r="J12" s="78">
        <v>176262</v>
      </c>
      <c r="K12" s="78">
        <v>430338.25</v>
      </c>
      <c r="L12" s="78">
        <f t="shared" si="0"/>
        <v>606600.25</v>
      </c>
      <c r="N12" s="78">
        <v>92140.5</v>
      </c>
      <c r="O12" s="78">
        <v>312247.25</v>
      </c>
      <c r="P12" s="78">
        <f t="shared" si="1"/>
        <v>404387.75</v>
      </c>
      <c r="R12" s="78">
        <v>92140.5</v>
      </c>
      <c r="S12" s="78">
        <v>312247.25</v>
      </c>
      <c r="T12" s="78">
        <f t="shared" si="3"/>
        <v>404387.75</v>
      </c>
    </row>
    <row r="13" spans="1:20" x14ac:dyDescent="0.3">
      <c r="A13" s="102">
        <f>VLOOKUP(B13,[6]Address!$A:$E,5,FALSE)</f>
        <v>14</v>
      </c>
      <c r="B13" s="109" t="s">
        <v>183</v>
      </c>
      <c r="C13" s="106" t="s">
        <v>184</v>
      </c>
      <c r="D13" s="84">
        <v>1</v>
      </c>
      <c r="F13" s="78">
        <v>21455.5</v>
      </c>
      <c r="G13" s="78">
        <v>142272.25</v>
      </c>
      <c r="H13" s="78">
        <f t="shared" si="2"/>
        <v>163727.75</v>
      </c>
      <c r="J13" s="78">
        <v>40031.5</v>
      </c>
      <c r="K13" s="78">
        <v>266661.25</v>
      </c>
      <c r="L13" s="78">
        <f t="shared" si="0"/>
        <v>306692.75</v>
      </c>
      <c r="N13" s="78">
        <v>30743.5</v>
      </c>
      <c r="O13" s="78">
        <v>204466.75</v>
      </c>
      <c r="P13" s="78">
        <f t="shared" si="1"/>
        <v>235210.25</v>
      </c>
      <c r="R13" s="78">
        <v>30743.5</v>
      </c>
      <c r="S13" s="78">
        <v>204466.75</v>
      </c>
      <c r="T13" s="78">
        <f t="shared" si="3"/>
        <v>235210.25</v>
      </c>
    </row>
    <row r="14" spans="1:20" x14ac:dyDescent="0.3">
      <c r="A14" s="102">
        <f>VLOOKUP(B14,[6]Address!$A:$E,5,FALSE)</f>
        <v>14</v>
      </c>
      <c r="B14" s="111" t="s">
        <v>185</v>
      </c>
      <c r="C14" s="103" t="s">
        <v>186</v>
      </c>
      <c r="D14" s="84">
        <v>1</v>
      </c>
      <c r="F14" s="78">
        <v>21945.5</v>
      </c>
      <c r="G14" s="78">
        <v>63911.5</v>
      </c>
      <c r="H14" s="78">
        <f t="shared" si="2"/>
        <v>85857</v>
      </c>
      <c r="J14" s="78">
        <v>91911.5</v>
      </c>
      <c r="K14" s="78">
        <v>87954</v>
      </c>
      <c r="L14" s="78">
        <f t="shared" si="0"/>
        <v>179865.5</v>
      </c>
      <c r="N14" s="78">
        <v>56928.5</v>
      </c>
      <c r="O14" s="78">
        <v>75932.75</v>
      </c>
      <c r="P14" s="78">
        <f t="shared" si="1"/>
        <v>132861.25</v>
      </c>
      <c r="R14" s="78">
        <v>56928.5</v>
      </c>
      <c r="S14" s="78">
        <v>75932.75</v>
      </c>
      <c r="T14" s="78">
        <f t="shared" si="3"/>
        <v>132861.25</v>
      </c>
    </row>
    <row r="15" spans="1:20" x14ac:dyDescent="0.3">
      <c r="A15" s="102">
        <f>VLOOKUP(B15,[6]Address!$A:$E,5,FALSE)</f>
        <v>14</v>
      </c>
      <c r="B15" s="112" t="s">
        <v>187</v>
      </c>
      <c r="C15" s="84" t="s">
        <v>188</v>
      </c>
      <c r="D15" s="84">
        <v>1</v>
      </c>
      <c r="F15" s="78">
        <v>2650.5</v>
      </c>
      <c r="G15" s="78">
        <v>50714</v>
      </c>
      <c r="H15" s="78">
        <f t="shared" si="2"/>
        <v>53364.5</v>
      </c>
      <c r="J15" s="78">
        <v>11273</v>
      </c>
      <c r="K15" s="78">
        <v>78665.5</v>
      </c>
      <c r="L15" s="78">
        <f t="shared" si="0"/>
        <v>89938.5</v>
      </c>
      <c r="N15" s="78">
        <v>6961.75</v>
      </c>
      <c r="O15" s="78">
        <v>64689.75</v>
      </c>
      <c r="P15" s="78">
        <f t="shared" si="1"/>
        <v>71651.5</v>
      </c>
      <c r="R15" s="78">
        <v>6961.75</v>
      </c>
      <c r="S15" s="78">
        <v>64689.75</v>
      </c>
      <c r="T15" s="78">
        <f t="shared" si="3"/>
        <v>71651.5</v>
      </c>
    </row>
    <row r="16" spans="1:20" x14ac:dyDescent="0.3">
      <c r="A16" s="102">
        <f>VLOOKUP(B16,[6]Address!$A:$E,5,FALSE)</f>
        <v>14</v>
      </c>
      <c r="B16" s="109" t="s">
        <v>189</v>
      </c>
      <c r="C16" s="84" t="s">
        <v>190</v>
      </c>
      <c r="D16" s="84">
        <v>1</v>
      </c>
      <c r="F16" s="78">
        <v>1841</v>
      </c>
      <c r="G16" s="78">
        <v>92879.75</v>
      </c>
      <c r="H16" s="78">
        <f t="shared" si="2"/>
        <v>94720.75</v>
      </c>
      <c r="J16" s="78">
        <v>22872</v>
      </c>
      <c r="K16" s="78">
        <v>97010.75</v>
      </c>
      <c r="L16" s="78">
        <f t="shared" si="0"/>
        <v>119882.75</v>
      </c>
      <c r="N16" s="78">
        <v>12356.5</v>
      </c>
      <c r="O16" s="78">
        <v>94945.25</v>
      </c>
      <c r="P16" s="78">
        <f t="shared" si="1"/>
        <v>107301.75</v>
      </c>
      <c r="R16" s="78">
        <v>12356.5</v>
      </c>
      <c r="S16" s="78">
        <v>94945.25</v>
      </c>
      <c r="T16" s="78">
        <f t="shared" si="3"/>
        <v>107301.75</v>
      </c>
    </row>
    <row r="17" spans="1:20" x14ac:dyDescent="0.3">
      <c r="A17" s="102">
        <f>VLOOKUP(B17,[6]Address!$A:$E,5,FALSE)</f>
        <v>14</v>
      </c>
      <c r="B17" s="113" t="s">
        <v>191</v>
      </c>
      <c r="C17" s="84" t="s">
        <v>192</v>
      </c>
      <c r="D17" s="84">
        <v>1</v>
      </c>
      <c r="F17" s="78">
        <v>68957.25</v>
      </c>
      <c r="G17" s="78">
        <v>98761.5</v>
      </c>
      <c r="H17" s="78">
        <f t="shared" si="2"/>
        <v>167718.75</v>
      </c>
      <c r="J17" s="78">
        <v>42627.25</v>
      </c>
      <c r="K17" s="78">
        <v>119344.5</v>
      </c>
      <c r="L17" s="78">
        <f t="shared" si="0"/>
        <v>161971.75</v>
      </c>
      <c r="N17" s="78">
        <v>55792.25</v>
      </c>
      <c r="O17" s="78">
        <v>109053</v>
      </c>
      <c r="P17" s="78">
        <f t="shared" si="1"/>
        <v>164845.25</v>
      </c>
      <c r="R17" s="78">
        <v>55792.25</v>
      </c>
      <c r="S17" s="78">
        <v>109053</v>
      </c>
      <c r="T17" s="78">
        <f t="shared" si="3"/>
        <v>164845.25</v>
      </c>
    </row>
    <row r="18" spans="1:20" x14ac:dyDescent="0.3">
      <c r="A18" s="102">
        <f>VLOOKUP(B18,[6]Address!$A:$E,5,FALSE)</f>
        <v>14</v>
      </c>
      <c r="B18" s="109" t="s">
        <v>193</v>
      </c>
      <c r="C18" s="84" t="s">
        <v>194</v>
      </c>
      <c r="D18" s="84">
        <v>1</v>
      </c>
      <c r="F18" s="78">
        <v>0</v>
      </c>
      <c r="G18" s="78">
        <v>250155.5</v>
      </c>
      <c r="H18" s="78">
        <f t="shared" si="2"/>
        <v>250155.5</v>
      </c>
      <c r="J18" s="78">
        <v>25868</v>
      </c>
      <c r="K18" s="78">
        <v>724108.5</v>
      </c>
      <c r="L18" s="78">
        <f t="shared" si="0"/>
        <v>749976.5</v>
      </c>
      <c r="N18" s="78">
        <v>12934</v>
      </c>
      <c r="O18" s="78">
        <v>487132</v>
      </c>
      <c r="P18" s="78">
        <f t="shared" si="1"/>
        <v>500066</v>
      </c>
      <c r="R18" s="78">
        <v>12934</v>
      </c>
      <c r="S18" s="78">
        <v>487132</v>
      </c>
      <c r="T18" s="78">
        <f t="shared" si="3"/>
        <v>500066</v>
      </c>
    </row>
    <row r="19" spans="1:20" x14ac:dyDescent="0.3">
      <c r="A19" s="102">
        <f>VLOOKUP(B19,[6]Address!$A:$E,5,FALSE)</f>
        <v>14</v>
      </c>
      <c r="B19" s="109" t="s">
        <v>195</v>
      </c>
      <c r="C19" s="84" t="s">
        <v>196</v>
      </c>
      <c r="D19" s="84">
        <v>1</v>
      </c>
      <c r="F19" s="78">
        <v>4305</v>
      </c>
      <c r="G19" s="78">
        <v>363836.5</v>
      </c>
      <c r="H19" s="78">
        <f t="shared" si="2"/>
        <v>368141.5</v>
      </c>
      <c r="J19" s="78">
        <v>2387.5</v>
      </c>
      <c r="K19" s="78">
        <v>415824.5</v>
      </c>
      <c r="L19" s="78">
        <f t="shared" si="0"/>
        <v>418212</v>
      </c>
      <c r="N19" s="78">
        <v>3346.25</v>
      </c>
      <c r="O19" s="78">
        <v>389830.5</v>
      </c>
      <c r="P19" s="78">
        <f t="shared" si="1"/>
        <v>393176.75</v>
      </c>
      <c r="R19" s="78">
        <v>3346.25</v>
      </c>
      <c r="S19" s="78">
        <v>389830.5</v>
      </c>
      <c r="T19" s="78">
        <f t="shared" si="3"/>
        <v>393176.75</v>
      </c>
    </row>
    <row r="20" spans="1:20" x14ac:dyDescent="0.3">
      <c r="A20" s="102">
        <f>VLOOKUP(B20,[6]Address!$A:$E,5,FALSE)</f>
        <v>14</v>
      </c>
      <c r="B20" s="109" t="s">
        <v>197</v>
      </c>
      <c r="C20" s="84" t="s">
        <v>198</v>
      </c>
      <c r="D20" s="84">
        <v>1</v>
      </c>
      <c r="F20" s="78">
        <v>68632.75</v>
      </c>
      <c r="G20" s="78">
        <v>369541.25</v>
      </c>
      <c r="H20" s="78">
        <f t="shared" si="2"/>
        <v>438174</v>
      </c>
      <c r="J20" s="78">
        <v>217326.25</v>
      </c>
      <c r="K20" s="78">
        <v>506859.75</v>
      </c>
      <c r="L20" s="78">
        <f t="shared" si="0"/>
        <v>724186</v>
      </c>
      <c r="N20" s="78">
        <v>142979.5</v>
      </c>
      <c r="O20" s="78">
        <v>438200.5</v>
      </c>
      <c r="P20" s="78">
        <f t="shared" si="1"/>
        <v>581180</v>
      </c>
      <c r="R20" s="78">
        <v>142979.5</v>
      </c>
      <c r="S20" s="78">
        <v>438200.5</v>
      </c>
      <c r="T20" s="78">
        <f t="shared" si="3"/>
        <v>581180</v>
      </c>
    </row>
    <row r="21" spans="1:20" x14ac:dyDescent="0.3">
      <c r="A21" s="102">
        <f>VLOOKUP(B21,[6]Address!$A:$E,5,FALSE)</f>
        <v>14</v>
      </c>
      <c r="B21" s="109" t="s">
        <v>234</v>
      </c>
      <c r="C21" s="84" t="s">
        <v>235</v>
      </c>
      <c r="D21" s="84">
        <v>2</v>
      </c>
      <c r="F21" s="78">
        <v>68390.25</v>
      </c>
      <c r="G21" s="78">
        <v>134800.5</v>
      </c>
      <c r="H21" s="78">
        <f t="shared" si="2"/>
        <v>203190.75</v>
      </c>
      <c r="J21" s="78">
        <v>34997.25</v>
      </c>
      <c r="K21" s="78">
        <v>215596.5</v>
      </c>
      <c r="L21" s="78">
        <f t="shared" si="0"/>
        <v>250593.75</v>
      </c>
      <c r="N21" s="78">
        <v>51693.75</v>
      </c>
      <c r="O21" s="78">
        <v>175198.5</v>
      </c>
      <c r="P21" s="78">
        <f t="shared" si="1"/>
        <v>226892.25</v>
      </c>
      <c r="R21" s="78">
        <v>51693.75</v>
      </c>
      <c r="S21" s="78">
        <v>175198.5</v>
      </c>
      <c r="T21" s="78">
        <f t="shared" si="3"/>
        <v>226892.25</v>
      </c>
    </row>
    <row r="22" spans="1:20" x14ac:dyDescent="0.3">
      <c r="A22" s="102">
        <f>VLOOKUP(B22,[6]Address!$A:$E,5,FALSE)</f>
        <v>14</v>
      </c>
      <c r="B22" s="109" t="s">
        <v>236</v>
      </c>
      <c r="C22" s="84" t="s">
        <v>237</v>
      </c>
      <c r="D22" s="84">
        <v>2</v>
      </c>
      <c r="F22" s="78">
        <v>51608</v>
      </c>
      <c r="G22" s="78">
        <v>115393</v>
      </c>
      <c r="H22" s="78">
        <f t="shared" si="2"/>
        <v>167001</v>
      </c>
      <c r="J22" s="78">
        <v>134762</v>
      </c>
      <c r="K22" s="78">
        <v>188927.5</v>
      </c>
      <c r="L22" s="78">
        <f t="shared" si="0"/>
        <v>323689.5</v>
      </c>
      <c r="N22" s="78">
        <v>93185</v>
      </c>
      <c r="O22" s="78">
        <v>152160.25</v>
      </c>
      <c r="P22" s="78">
        <f t="shared" si="1"/>
        <v>245345.25</v>
      </c>
      <c r="R22" s="78">
        <v>93185</v>
      </c>
      <c r="S22" s="78">
        <v>152160.25</v>
      </c>
      <c r="T22" s="78">
        <f t="shared" si="3"/>
        <v>245345.25</v>
      </c>
    </row>
    <row r="23" spans="1:20" x14ac:dyDescent="0.3">
      <c r="A23" s="102">
        <f>VLOOKUP(B23,[6]Address!$A:$E,5,FALSE)</f>
        <v>14</v>
      </c>
      <c r="B23" s="109" t="s">
        <v>238</v>
      </c>
      <c r="C23" s="84" t="s">
        <v>239</v>
      </c>
      <c r="D23" s="84">
        <v>2</v>
      </c>
      <c r="F23" s="78">
        <v>1743.5</v>
      </c>
      <c r="G23" s="78">
        <v>32479.75</v>
      </c>
      <c r="H23" s="78">
        <f t="shared" si="2"/>
        <v>34223.25</v>
      </c>
      <c r="J23" s="78">
        <v>384.5</v>
      </c>
      <c r="K23" s="78">
        <v>43562.25</v>
      </c>
      <c r="L23" s="78">
        <f t="shared" si="0"/>
        <v>43946.75</v>
      </c>
      <c r="N23" s="78">
        <v>1064</v>
      </c>
      <c r="O23" s="78">
        <v>38021</v>
      </c>
      <c r="P23" s="78">
        <f t="shared" si="1"/>
        <v>39085</v>
      </c>
      <c r="R23" s="78">
        <v>1064</v>
      </c>
      <c r="S23" s="78">
        <v>38021</v>
      </c>
      <c r="T23" s="78">
        <f t="shared" si="3"/>
        <v>39085</v>
      </c>
    </row>
    <row r="24" spans="1:20" x14ac:dyDescent="0.3">
      <c r="A24" s="102">
        <f>VLOOKUP(B24,[6]Address!$A:$E,5,FALSE)</f>
        <v>14</v>
      </c>
      <c r="B24" s="109" t="s">
        <v>242</v>
      </c>
      <c r="C24" s="84" t="s">
        <v>243</v>
      </c>
      <c r="D24" s="84">
        <v>2</v>
      </c>
      <c r="F24" s="78">
        <v>17805.5</v>
      </c>
      <c r="G24" s="78">
        <v>20399.5</v>
      </c>
      <c r="H24" s="78">
        <f t="shared" si="2"/>
        <v>38205</v>
      </c>
      <c r="J24" s="78">
        <v>33188</v>
      </c>
      <c r="K24" s="78">
        <v>25195</v>
      </c>
      <c r="L24" s="78">
        <f t="shared" si="0"/>
        <v>58383</v>
      </c>
      <c r="N24" s="78">
        <v>25496.75</v>
      </c>
      <c r="O24" s="78">
        <v>22797.25</v>
      </c>
      <c r="P24" s="78">
        <f t="shared" si="1"/>
        <v>48294</v>
      </c>
      <c r="R24" s="78">
        <v>25496.75</v>
      </c>
      <c r="S24" s="78">
        <v>22797.25</v>
      </c>
      <c r="T24" s="78">
        <f t="shared" si="3"/>
        <v>48294</v>
      </c>
    </row>
    <row r="25" spans="1:20" x14ac:dyDescent="0.3">
      <c r="A25" s="102">
        <f>VLOOKUP(B25,[6]Address!$A:$E,5,FALSE)</f>
        <v>14</v>
      </c>
      <c r="B25" s="109" t="s">
        <v>244</v>
      </c>
      <c r="C25" s="84" t="s">
        <v>245</v>
      </c>
      <c r="D25" s="84">
        <v>2</v>
      </c>
      <c r="F25" s="78">
        <v>6580.75</v>
      </c>
      <c r="G25" s="78">
        <v>297775.75</v>
      </c>
      <c r="H25" s="78">
        <f t="shared" si="2"/>
        <v>304356.5</v>
      </c>
      <c r="J25" s="78">
        <v>1450.75</v>
      </c>
      <c r="K25" s="78">
        <v>623599.25</v>
      </c>
      <c r="L25" s="78">
        <f t="shared" si="0"/>
        <v>625050</v>
      </c>
      <c r="N25" s="78">
        <v>4015.75</v>
      </c>
      <c r="O25" s="78">
        <v>460687.5</v>
      </c>
      <c r="P25" s="78">
        <f t="shared" si="1"/>
        <v>464703.25</v>
      </c>
      <c r="R25" s="78">
        <v>4015.75</v>
      </c>
      <c r="S25" s="78">
        <v>460687.5</v>
      </c>
      <c r="T25" s="78">
        <f t="shared" si="3"/>
        <v>464703.25</v>
      </c>
    </row>
    <row r="26" spans="1:20" x14ac:dyDescent="0.3">
      <c r="A26" s="102">
        <f>VLOOKUP(B26,[6]Address!$A:$E,5,FALSE)</f>
        <v>14</v>
      </c>
      <c r="B26" s="109" t="s">
        <v>246</v>
      </c>
      <c r="C26" s="84" t="s">
        <v>247</v>
      </c>
      <c r="D26" s="84">
        <v>2</v>
      </c>
      <c r="F26" s="78">
        <v>29648.75</v>
      </c>
      <c r="G26" s="78">
        <v>84706.5</v>
      </c>
      <c r="H26" s="78">
        <f t="shared" si="2"/>
        <v>114355.25</v>
      </c>
      <c r="J26" s="78">
        <v>72721.75</v>
      </c>
      <c r="K26" s="78">
        <v>242619.5</v>
      </c>
      <c r="L26" s="78">
        <f t="shared" si="0"/>
        <v>315341.25</v>
      </c>
      <c r="N26" s="78">
        <v>51185.25</v>
      </c>
      <c r="O26" s="78">
        <v>163663</v>
      </c>
      <c r="P26" s="78">
        <f t="shared" si="1"/>
        <v>214848.25</v>
      </c>
      <c r="R26" s="78">
        <v>51185.25</v>
      </c>
      <c r="S26" s="78">
        <v>163663</v>
      </c>
      <c r="T26" s="78">
        <f t="shared" si="3"/>
        <v>214848.25</v>
      </c>
    </row>
    <row r="27" spans="1:20" x14ac:dyDescent="0.3">
      <c r="A27" s="102">
        <f>VLOOKUP(B27,[6]Address!$A:$E,5,FALSE)</f>
        <v>14</v>
      </c>
      <c r="B27" s="109" t="s">
        <v>165</v>
      </c>
      <c r="C27" s="84" t="s">
        <v>166</v>
      </c>
      <c r="D27" s="84">
        <v>2</v>
      </c>
      <c r="F27" s="78">
        <v>3056.25</v>
      </c>
      <c r="G27" s="78">
        <v>279450.75</v>
      </c>
      <c r="H27" s="78">
        <f t="shared" si="2"/>
        <v>282507</v>
      </c>
      <c r="J27" s="78">
        <v>673.75</v>
      </c>
      <c r="K27" s="78">
        <v>436182.25</v>
      </c>
      <c r="L27" s="78">
        <f t="shared" si="0"/>
        <v>436856</v>
      </c>
      <c r="N27" s="78">
        <v>1865</v>
      </c>
      <c r="O27" s="78">
        <v>357816.5</v>
      </c>
      <c r="P27" s="78">
        <f t="shared" si="1"/>
        <v>359681.5</v>
      </c>
      <c r="R27" s="78">
        <v>1865</v>
      </c>
      <c r="S27" s="78">
        <v>357816.5</v>
      </c>
      <c r="T27" s="78">
        <f t="shared" si="3"/>
        <v>359681.5</v>
      </c>
    </row>
    <row r="28" spans="1:20" x14ac:dyDescent="0.3">
      <c r="A28" s="102">
        <f>VLOOKUP(B28,[6]Address!$A:$E,5,FALSE)</f>
        <v>14</v>
      </c>
      <c r="B28" s="109" t="s">
        <v>250</v>
      </c>
      <c r="C28" s="84" t="s">
        <v>251</v>
      </c>
      <c r="D28" s="84">
        <v>2</v>
      </c>
      <c r="F28" s="78">
        <v>65894.5</v>
      </c>
      <c r="G28" s="78">
        <v>161294.5</v>
      </c>
      <c r="H28" s="78">
        <f t="shared" si="2"/>
        <v>227189</v>
      </c>
      <c r="J28" s="78">
        <v>128028</v>
      </c>
      <c r="K28" s="78">
        <v>240144</v>
      </c>
      <c r="L28" s="78">
        <f t="shared" si="0"/>
        <v>368172</v>
      </c>
      <c r="N28" s="78">
        <v>96961.25</v>
      </c>
      <c r="O28" s="78">
        <v>200719.25</v>
      </c>
      <c r="P28" s="78">
        <f t="shared" si="1"/>
        <v>297680.5</v>
      </c>
      <c r="R28" s="78">
        <v>96961.25</v>
      </c>
      <c r="S28" s="78">
        <v>200719.25</v>
      </c>
      <c r="T28" s="78">
        <f t="shared" si="3"/>
        <v>297680.5</v>
      </c>
    </row>
    <row r="29" spans="1:20" x14ac:dyDescent="0.3">
      <c r="A29" s="102">
        <f>VLOOKUP(B29,[6]Address!$A:$E,5,FALSE)</f>
        <v>14</v>
      </c>
      <c r="B29" s="109" t="s">
        <v>252</v>
      </c>
      <c r="C29" s="84" t="s">
        <v>253</v>
      </c>
      <c r="D29" s="84">
        <v>2</v>
      </c>
      <c r="F29" s="78">
        <v>15156.25</v>
      </c>
      <c r="G29" s="78">
        <v>59661.5</v>
      </c>
      <c r="H29" s="78">
        <f t="shared" si="2"/>
        <v>74817.75</v>
      </c>
      <c r="J29" s="78">
        <v>31188.25</v>
      </c>
      <c r="K29" s="78">
        <v>105231.5</v>
      </c>
      <c r="L29" s="78">
        <f t="shared" si="0"/>
        <v>136419.75</v>
      </c>
      <c r="N29" s="78">
        <v>23172.25</v>
      </c>
      <c r="O29" s="78">
        <v>82446.5</v>
      </c>
      <c r="P29" s="78">
        <f t="shared" si="1"/>
        <v>105618.75</v>
      </c>
      <c r="R29" s="78">
        <v>23172.25</v>
      </c>
      <c r="S29" s="78">
        <v>82446.5</v>
      </c>
      <c r="T29" s="78">
        <f t="shared" si="3"/>
        <v>105618.75</v>
      </c>
    </row>
    <row r="30" spans="1:20" x14ac:dyDescent="0.3">
      <c r="A30" s="102">
        <f>VLOOKUP(B30,[6]Address!$A:$E,5,FALSE)</f>
        <v>14</v>
      </c>
      <c r="B30" s="109" t="s">
        <v>254</v>
      </c>
      <c r="C30" s="84" t="s">
        <v>255</v>
      </c>
      <c r="D30" s="84">
        <v>2</v>
      </c>
      <c r="F30" s="78">
        <v>8524.25</v>
      </c>
      <c r="G30" s="78">
        <v>54186.75</v>
      </c>
      <c r="H30" s="78">
        <f t="shared" si="2"/>
        <v>62711</v>
      </c>
      <c r="J30" s="78">
        <v>40962.25</v>
      </c>
      <c r="K30" s="78">
        <v>115597.25</v>
      </c>
      <c r="L30" s="78">
        <f t="shared" si="0"/>
        <v>156559.5</v>
      </c>
      <c r="N30" s="78">
        <v>24743.25</v>
      </c>
      <c r="O30" s="78">
        <v>84892</v>
      </c>
      <c r="P30" s="78">
        <f t="shared" si="1"/>
        <v>109635.25</v>
      </c>
      <c r="R30" s="78">
        <v>24743.25</v>
      </c>
      <c r="S30" s="78">
        <v>84892</v>
      </c>
      <c r="T30" s="78">
        <f t="shared" si="3"/>
        <v>109635.25</v>
      </c>
    </row>
    <row r="31" spans="1:20" x14ac:dyDescent="0.3">
      <c r="A31" s="102">
        <f>VLOOKUP(B31,[6]Address!$A:$E,5,FALSE)</f>
        <v>14</v>
      </c>
      <c r="B31" s="109" t="s">
        <v>256</v>
      </c>
      <c r="C31" s="84" t="s">
        <v>257</v>
      </c>
      <c r="D31" s="84">
        <v>2</v>
      </c>
      <c r="F31" s="78">
        <v>5255.5</v>
      </c>
      <c r="G31" s="78">
        <v>12219.25</v>
      </c>
      <c r="H31" s="78">
        <f t="shared" si="2"/>
        <v>17474.75</v>
      </c>
      <c r="J31" s="78">
        <v>1158.5</v>
      </c>
      <c r="K31" s="78">
        <v>18369.75</v>
      </c>
      <c r="L31" s="78">
        <f t="shared" si="0"/>
        <v>19528.25</v>
      </c>
      <c r="N31" s="78">
        <v>3207</v>
      </c>
      <c r="O31" s="78">
        <v>15294.5</v>
      </c>
      <c r="P31" s="78">
        <f t="shared" si="1"/>
        <v>18501.5</v>
      </c>
      <c r="R31" s="78">
        <v>3207</v>
      </c>
      <c r="S31" s="78">
        <v>15294.5</v>
      </c>
      <c r="T31" s="78">
        <f t="shared" si="3"/>
        <v>18501.5</v>
      </c>
    </row>
    <row r="32" spans="1:20" x14ac:dyDescent="0.3">
      <c r="A32" s="102">
        <f>VLOOKUP(B32,[6]Address!$A:$E,5,FALSE)</f>
        <v>14</v>
      </c>
      <c r="B32" s="109" t="s">
        <v>258</v>
      </c>
      <c r="C32" s="84" t="s">
        <v>259</v>
      </c>
      <c r="D32" s="84">
        <v>2</v>
      </c>
      <c r="F32" s="78">
        <v>6300.5</v>
      </c>
      <c r="G32" s="78">
        <v>192175</v>
      </c>
      <c r="H32" s="78">
        <f t="shared" si="2"/>
        <v>198475.5</v>
      </c>
      <c r="J32" s="78">
        <v>10355.5</v>
      </c>
      <c r="K32" s="78">
        <v>305118</v>
      </c>
      <c r="L32" s="78">
        <f t="shared" si="0"/>
        <v>315473.5</v>
      </c>
      <c r="N32" s="78">
        <v>8328</v>
      </c>
      <c r="O32" s="78">
        <v>248646.5</v>
      </c>
      <c r="P32" s="78">
        <f t="shared" si="1"/>
        <v>256974.5</v>
      </c>
      <c r="R32" s="78">
        <v>8328</v>
      </c>
      <c r="S32" s="78">
        <v>248646.5</v>
      </c>
      <c r="T32" s="78">
        <f t="shared" si="3"/>
        <v>256974.5</v>
      </c>
    </row>
    <row r="33" spans="1:20" x14ac:dyDescent="0.3">
      <c r="A33" s="102">
        <f>VLOOKUP(B33,[6]Address!$A:$E,5,FALSE)</f>
        <v>10</v>
      </c>
      <c r="B33" s="109" t="s">
        <v>260</v>
      </c>
      <c r="C33" s="84" t="s">
        <v>261</v>
      </c>
      <c r="D33" s="84">
        <v>2</v>
      </c>
      <c r="F33" s="78">
        <v>46393.75</v>
      </c>
      <c r="G33" s="78">
        <v>70224.5</v>
      </c>
      <c r="H33" s="78">
        <f t="shared" si="2"/>
        <v>116618.25</v>
      </c>
      <c r="J33" s="78">
        <v>124037.75</v>
      </c>
      <c r="K33" s="78">
        <v>134120.5</v>
      </c>
      <c r="L33" s="78">
        <f t="shared" si="0"/>
        <v>258158.25</v>
      </c>
      <c r="N33" s="78">
        <v>85215.75</v>
      </c>
      <c r="O33" s="78">
        <v>102172.5</v>
      </c>
      <c r="P33" s="78">
        <f t="shared" si="1"/>
        <v>187388.25</v>
      </c>
      <c r="R33" s="78">
        <v>85215.75</v>
      </c>
      <c r="S33" s="78">
        <v>102172.5</v>
      </c>
      <c r="T33" s="78">
        <f t="shared" si="3"/>
        <v>187388.25</v>
      </c>
    </row>
    <row r="34" spans="1:20" x14ac:dyDescent="0.3">
      <c r="A34" s="102">
        <f>VLOOKUP(B34,[6]Address!$A:$E,5,FALSE)</f>
        <v>14</v>
      </c>
      <c r="B34" s="109" t="s">
        <v>262</v>
      </c>
      <c r="C34" s="84" t="s">
        <v>263</v>
      </c>
      <c r="D34" s="84">
        <v>2</v>
      </c>
      <c r="F34" s="78">
        <v>19423.75</v>
      </c>
      <c r="G34" s="78">
        <v>237160</v>
      </c>
      <c r="H34" s="78">
        <f t="shared" si="2"/>
        <v>256583.75</v>
      </c>
      <c r="J34" s="78">
        <v>13828.25</v>
      </c>
      <c r="K34" s="78">
        <v>309827.5</v>
      </c>
      <c r="L34" s="78">
        <f t="shared" si="0"/>
        <v>323655.75</v>
      </c>
      <c r="N34" s="78">
        <v>16626</v>
      </c>
      <c r="O34" s="78">
        <v>273493.75</v>
      </c>
      <c r="P34" s="78">
        <f t="shared" si="1"/>
        <v>290119.75</v>
      </c>
      <c r="R34" s="78">
        <v>16626</v>
      </c>
      <c r="S34" s="78">
        <v>273493.75</v>
      </c>
      <c r="T34" s="78">
        <f t="shared" si="3"/>
        <v>290119.75</v>
      </c>
    </row>
    <row r="35" spans="1:20" x14ac:dyDescent="0.3">
      <c r="A35" s="102">
        <f>VLOOKUP(B35,[6]Address!$A:$E,5,FALSE)</f>
        <v>14</v>
      </c>
      <c r="B35" s="109" t="s">
        <v>264</v>
      </c>
      <c r="C35" s="84" t="s">
        <v>265</v>
      </c>
      <c r="D35" s="84">
        <v>2</v>
      </c>
      <c r="F35" s="78">
        <v>399.5</v>
      </c>
      <c r="G35" s="78">
        <v>60566.5</v>
      </c>
      <c r="H35" s="78">
        <f t="shared" si="2"/>
        <v>60966</v>
      </c>
      <c r="J35" s="78">
        <v>88</v>
      </c>
      <c r="K35" s="78">
        <v>82236.5</v>
      </c>
      <c r="L35" s="78">
        <f t="shared" si="0"/>
        <v>82324.5</v>
      </c>
      <c r="N35" s="78">
        <v>243.75</v>
      </c>
      <c r="O35" s="78">
        <v>71401.5</v>
      </c>
      <c r="P35" s="78">
        <f t="shared" si="1"/>
        <v>71645.25</v>
      </c>
      <c r="R35" s="78">
        <v>243.75</v>
      </c>
      <c r="S35" s="78">
        <v>71401.5</v>
      </c>
      <c r="T35" s="78">
        <f t="shared" si="3"/>
        <v>71645.25</v>
      </c>
    </row>
    <row r="36" spans="1:20" x14ac:dyDescent="0.3">
      <c r="A36" s="102">
        <v>14</v>
      </c>
      <c r="B36" s="109" t="s">
        <v>266</v>
      </c>
      <c r="C36" s="84" t="s">
        <v>267</v>
      </c>
      <c r="D36" s="84">
        <v>2</v>
      </c>
      <c r="F36" s="78">
        <v>44321.75</v>
      </c>
      <c r="G36" s="78">
        <v>45733.5</v>
      </c>
      <c r="H36" s="78">
        <f t="shared" si="2"/>
        <v>90055.25</v>
      </c>
      <c r="J36" s="78">
        <v>101628.25</v>
      </c>
      <c r="K36" s="78">
        <v>68908.5</v>
      </c>
      <c r="L36" s="78">
        <f t="shared" si="0"/>
        <v>170536.75</v>
      </c>
      <c r="N36" s="78">
        <v>72975</v>
      </c>
      <c r="O36" s="78">
        <v>57321</v>
      </c>
      <c r="P36" s="78">
        <f t="shared" si="1"/>
        <v>130296</v>
      </c>
      <c r="R36" s="78">
        <v>72975</v>
      </c>
      <c r="S36" s="78">
        <v>57321</v>
      </c>
      <c r="T36" s="78">
        <f t="shared" si="3"/>
        <v>130296</v>
      </c>
    </row>
    <row r="37" spans="1:20" x14ac:dyDescent="0.3">
      <c r="A37" s="102">
        <f>VLOOKUP(B37,[6]Address!$A:$E,5,FALSE)</f>
        <v>14</v>
      </c>
      <c r="B37" s="109" t="s">
        <v>268</v>
      </c>
      <c r="C37" s="84" t="s">
        <v>269</v>
      </c>
      <c r="D37" s="84">
        <v>2</v>
      </c>
      <c r="F37" s="78">
        <v>23289.25</v>
      </c>
      <c r="G37" s="78">
        <v>52325.25</v>
      </c>
      <c r="H37" s="78">
        <f t="shared" si="2"/>
        <v>75614.5</v>
      </c>
      <c r="J37" s="78">
        <v>49611.25</v>
      </c>
      <c r="K37" s="78">
        <v>117156.25</v>
      </c>
      <c r="L37" s="78">
        <f t="shared" si="0"/>
        <v>166767.5</v>
      </c>
      <c r="N37" s="78">
        <v>36450.25</v>
      </c>
      <c r="O37" s="78">
        <v>84740.75</v>
      </c>
      <c r="P37" s="78">
        <f t="shared" si="1"/>
        <v>121191</v>
      </c>
      <c r="R37" s="78">
        <v>36450.25</v>
      </c>
      <c r="S37" s="78">
        <v>84740.75</v>
      </c>
      <c r="T37" s="78">
        <f t="shared" si="3"/>
        <v>121191</v>
      </c>
    </row>
    <row r="38" spans="1:20" x14ac:dyDescent="0.3">
      <c r="A38" s="102">
        <f>VLOOKUP(B38,[6]Address!$A:$E,5,FALSE)</f>
        <v>14</v>
      </c>
      <c r="B38" s="114" t="s">
        <v>270</v>
      </c>
      <c r="C38" s="84" t="s">
        <v>271</v>
      </c>
      <c r="D38" s="84">
        <v>2</v>
      </c>
      <c r="F38" s="78">
        <v>11882</v>
      </c>
      <c r="G38" s="78">
        <v>34371.75</v>
      </c>
      <c r="H38" s="78">
        <f t="shared" si="2"/>
        <v>46253.75</v>
      </c>
      <c r="J38" s="78">
        <v>7023</v>
      </c>
      <c r="K38" s="78">
        <v>35943.25</v>
      </c>
      <c r="L38" s="78">
        <f t="shared" si="0"/>
        <v>42966.25</v>
      </c>
      <c r="N38" s="78">
        <v>9452.5</v>
      </c>
      <c r="O38" s="78">
        <v>35157.5</v>
      </c>
      <c r="P38" s="78">
        <f t="shared" si="1"/>
        <v>44610</v>
      </c>
      <c r="R38" s="78">
        <v>9452.5</v>
      </c>
      <c r="S38" s="78">
        <v>35157.5</v>
      </c>
      <c r="T38" s="78">
        <f t="shared" si="3"/>
        <v>44610</v>
      </c>
    </row>
    <row r="39" spans="1:20" x14ac:dyDescent="0.3">
      <c r="A39" s="102">
        <f>VLOOKUP(B39,[6]Address!$A:$E,5,FALSE)</f>
        <v>14</v>
      </c>
      <c r="B39" s="109" t="s">
        <v>272</v>
      </c>
      <c r="C39" s="84" t="s">
        <v>273</v>
      </c>
      <c r="D39" s="84">
        <v>2</v>
      </c>
      <c r="F39" s="78">
        <v>14448.75</v>
      </c>
      <c r="G39" s="78">
        <v>22138</v>
      </c>
      <c r="H39" s="78">
        <f t="shared" si="2"/>
        <v>36586.75</v>
      </c>
      <c r="J39" s="78">
        <v>26533.25</v>
      </c>
      <c r="K39" s="78">
        <v>55793</v>
      </c>
      <c r="L39" s="78">
        <f t="shared" si="0"/>
        <v>82326.25</v>
      </c>
      <c r="N39" s="78">
        <v>20491</v>
      </c>
      <c r="O39" s="78">
        <v>38965.5</v>
      </c>
      <c r="P39" s="78">
        <f t="shared" si="1"/>
        <v>59456.5</v>
      </c>
      <c r="R39" s="78">
        <v>20491</v>
      </c>
      <c r="S39" s="78">
        <v>38965.5</v>
      </c>
      <c r="T39" s="78">
        <f t="shared" si="3"/>
        <v>59456.5</v>
      </c>
    </row>
    <row r="40" spans="1:20" x14ac:dyDescent="0.3">
      <c r="A40" s="102">
        <f>VLOOKUP(B40,[6]Address!$A:$E,5,FALSE)</f>
        <v>14</v>
      </c>
      <c r="B40" s="109" t="s">
        <v>274</v>
      </c>
      <c r="C40" s="84" t="s">
        <v>275</v>
      </c>
      <c r="D40" s="84">
        <v>2</v>
      </c>
      <c r="F40" s="78">
        <v>172321.75</v>
      </c>
      <c r="G40" s="78">
        <v>129893.75</v>
      </c>
      <c r="H40" s="78">
        <f t="shared" si="2"/>
        <v>302215.5</v>
      </c>
      <c r="J40" s="78">
        <v>89265.75</v>
      </c>
      <c r="K40" s="78">
        <v>232338.25</v>
      </c>
      <c r="L40" s="78">
        <f t="shared" si="0"/>
        <v>321604</v>
      </c>
      <c r="N40" s="78">
        <v>130793.75</v>
      </c>
      <c r="O40" s="78">
        <v>181116</v>
      </c>
      <c r="P40" s="78">
        <f t="shared" si="1"/>
        <v>311909.75</v>
      </c>
      <c r="R40" s="78">
        <v>130793.75</v>
      </c>
      <c r="S40" s="78">
        <v>181116</v>
      </c>
      <c r="T40" s="78">
        <f t="shared" si="3"/>
        <v>311909.75</v>
      </c>
    </row>
    <row r="41" spans="1:20" ht="15" thickBot="1" x14ac:dyDescent="0.35">
      <c r="F41" s="107">
        <f>SUM(F2:F40)</f>
        <v>1060788.75</v>
      </c>
      <c r="G41" s="107">
        <f>SUM(G2:G40)</f>
        <v>5140750.5</v>
      </c>
      <c r="H41" s="107">
        <f>SUM(H2:H40)</f>
        <v>6201539.25</v>
      </c>
      <c r="J41" s="107">
        <f>SUM(J2:J40)</f>
        <v>2357336.25</v>
      </c>
      <c r="K41" s="107">
        <f>SUM(K2:K40)</f>
        <v>8789020.5</v>
      </c>
      <c r="L41" s="107">
        <f>SUM(L2:L40)</f>
        <v>11146356.75</v>
      </c>
      <c r="N41" s="107">
        <f>SUM(N2:N40)</f>
        <v>1709062.5</v>
      </c>
      <c r="O41" s="107">
        <f>SUM(O2:O40)</f>
        <v>6964885.5</v>
      </c>
      <c r="P41" s="107">
        <f>SUM(P2:P40)</f>
        <v>8673948</v>
      </c>
      <c r="R41" s="107">
        <f>SUM(R2:R40)</f>
        <v>1709062.5</v>
      </c>
      <c r="S41" s="107">
        <f>SUM(S2:S40)</f>
        <v>6964885.5</v>
      </c>
      <c r="T41" s="107">
        <f>SUM(T2:T40)</f>
        <v>8673948</v>
      </c>
    </row>
    <row r="42" spans="1:20" ht="15" thickTop="1" x14ac:dyDescent="0.3"/>
    <row r="43" spans="1:20" x14ac:dyDescent="0.3">
      <c r="F43" s="104"/>
      <c r="N43" s="104"/>
      <c r="O43" s="104"/>
      <c r="R43" s="104"/>
      <c r="S43" s="104"/>
    </row>
    <row r="44" spans="1:20" x14ac:dyDescent="0.3">
      <c r="F44" s="104"/>
      <c r="H44" s="104"/>
    </row>
    <row r="45" spans="1:20" x14ac:dyDescent="0.3">
      <c r="H45" s="104"/>
      <c r="L45" s="104"/>
      <c r="N45" s="104"/>
      <c r="R45" s="104"/>
      <c r="S45" s="104"/>
    </row>
    <row r="46" spans="1:20" x14ac:dyDescent="0.3">
      <c r="H46" s="104"/>
    </row>
    <row r="47" spans="1:20" x14ac:dyDescent="0.3">
      <c r="G47" s="104"/>
      <c r="T47" s="104"/>
    </row>
    <row r="50" spans="7:20" x14ac:dyDescent="0.3">
      <c r="G50" s="104"/>
    </row>
    <row r="51" spans="7:20" x14ac:dyDescent="0.3">
      <c r="T51" s="104"/>
    </row>
    <row r="52" spans="7:20" x14ac:dyDescent="0.3">
      <c r="P52" s="10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0CA2-C562-4BE8-85C3-9074A2D920C5}">
  <sheetPr>
    <tabColor theme="8"/>
  </sheetPr>
  <dimension ref="A1:AP326"/>
  <sheetViews>
    <sheetView tabSelected="1" zoomScaleNormal="100" workbookViewId="0">
      <pane xSplit="4" ySplit="2" topLeftCell="E3" activePane="bottomRight" state="frozen"/>
      <selection activeCell="B29" sqref="B29"/>
      <selection pane="topRight" activeCell="B29" sqref="B29"/>
      <selection pane="bottomLeft" activeCell="B29" sqref="B29"/>
      <selection pane="bottomRight" activeCell="AJ38" sqref="AJ38"/>
    </sheetView>
  </sheetViews>
  <sheetFormatPr defaultColWidth="9.109375" defaultRowHeight="13.8" x14ac:dyDescent="0.25"/>
  <cols>
    <col min="1" max="1" width="12.33203125" style="25" bestFit="1" customWidth="1"/>
    <col min="2" max="2" width="60.6640625" style="18" customWidth="1"/>
    <col min="3" max="3" width="7.44140625" style="18" customWidth="1"/>
    <col min="4" max="4" width="8.6640625" style="18" customWidth="1"/>
    <col min="5" max="5" width="6" style="64" customWidth="1"/>
    <col min="6" max="6" width="14.5546875" style="64" customWidth="1"/>
    <col min="7" max="8" width="16.109375" style="25" hidden="1" customWidth="1"/>
    <col min="9" max="9" width="16.109375" style="25" customWidth="1"/>
    <col min="10" max="10" width="18.6640625" style="25" customWidth="1"/>
    <col min="11" max="11" width="15.109375" style="25" customWidth="1"/>
    <col min="12" max="12" width="15" style="25" customWidth="1"/>
    <col min="13" max="13" width="13.5546875" style="25" customWidth="1"/>
    <col min="14" max="14" width="14.5546875" style="25" hidden="1" customWidth="1"/>
    <col min="15" max="15" width="14.6640625" style="25" customWidth="1"/>
    <col min="16" max="16" width="15.5546875" style="25" hidden="1" customWidth="1"/>
    <col min="17" max="19" width="14.5546875" style="25" bestFit="1" customWidth="1"/>
    <col min="20" max="20" width="13.5546875" style="25" customWidth="1"/>
    <col min="21" max="21" width="15.109375" style="25" customWidth="1"/>
    <col min="22" max="22" width="2.6640625" style="25" customWidth="1"/>
    <col min="23" max="23" width="14.5546875" style="25" customWidth="1"/>
    <col min="24" max="24" width="15.33203125" style="25" customWidth="1"/>
    <col min="25" max="25" width="14.88671875" style="25" customWidth="1"/>
    <col min="26" max="26" width="16.5546875" style="25" customWidth="1"/>
    <col min="27" max="27" width="13.5546875" style="25" customWidth="1"/>
    <col min="28" max="28" width="14.5546875" style="25" hidden="1" customWidth="1"/>
    <col min="29" max="29" width="14.5546875" style="25" customWidth="1"/>
    <col min="30" max="30" width="15.5546875" style="25" hidden="1" customWidth="1"/>
    <col min="31" max="34" width="13.5546875" style="25" customWidth="1"/>
    <col min="35" max="35" width="14.6640625" style="25" bestFit="1" customWidth="1"/>
    <col min="36" max="36" width="15.5546875" style="25" bestFit="1" customWidth="1"/>
    <col min="37" max="37" width="14.109375" style="26" bestFit="1" customWidth="1"/>
    <col min="38" max="38" width="14.109375" style="26" customWidth="1"/>
    <col min="39" max="39" width="9.109375" style="25"/>
    <col min="40" max="40" width="11" style="25" bestFit="1" customWidth="1"/>
    <col min="41" max="41" width="14.5546875" style="25" customWidth="1"/>
    <col min="42" max="16384" width="9.109375" style="25"/>
  </cols>
  <sheetData>
    <row r="1" spans="1:41" s="1" customFormat="1" x14ac:dyDescent="0.3">
      <c r="B1" s="2"/>
      <c r="C1" s="2"/>
      <c r="D1" s="2"/>
      <c r="E1" s="3"/>
      <c r="F1" s="3"/>
      <c r="K1" s="4" t="s">
        <v>0</v>
      </c>
      <c r="L1" s="5">
        <f>[1]Summary!C16+[1]Summary!C17</f>
        <v>530850181</v>
      </c>
      <c r="M1" s="5">
        <f>'[1]CAH 101% of cost'!$AV$48</f>
        <v>6836250</v>
      </c>
      <c r="N1" s="5"/>
      <c r="O1" s="5"/>
      <c r="P1" s="5"/>
      <c r="Q1" s="5"/>
      <c r="R1" s="5"/>
      <c r="S1" s="5"/>
      <c r="T1" s="5"/>
      <c r="U1" s="5">
        <f>SUM(L1:M1)</f>
        <v>537686431</v>
      </c>
      <c r="W1" s="6"/>
      <c r="X1" s="6"/>
      <c r="Y1" s="4" t="s">
        <v>1</v>
      </c>
      <c r="Z1" s="5">
        <f>[1]Summary!C19+[1]Summary!C20</f>
        <v>94900276</v>
      </c>
      <c r="AA1" s="5">
        <f>ROUND('[1]CAH 101% of cost'!$BL$48,0)</f>
        <v>27859542</v>
      </c>
      <c r="AB1" s="5"/>
      <c r="AC1" s="5"/>
      <c r="AD1" s="5"/>
      <c r="AE1" s="5"/>
      <c r="AF1" s="5"/>
      <c r="AG1" s="5"/>
      <c r="AH1" s="5"/>
      <c r="AI1" s="5">
        <f>SUM(Z1:AA1)</f>
        <v>122759818</v>
      </c>
      <c r="AJ1" s="6"/>
      <c r="AK1" s="7"/>
      <c r="AL1" s="7"/>
    </row>
    <row r="2" spans="1:41" s="15" customFormat="1" ht="55.2" x14ac:dyDescent="0.3">
      <c r="A2" s="8" t="s">
        <v>2</v>
      </c>
      <c r="B2" s="9" t="s">
        <v>3</v>
      </c>
      <c r="C2" s="9" t="s">
        <v>4</v>
      </c>
      <c r="D2" s="9" t="s">
        <v>5</v>
      </c>
      <c r="E2" s="10" t="s">
        <v>6</v>
      </c>
      <c r="F2" s="10" t="s">
        <v>308</v>
      </c>
      <c r="G2" s="11" t="s">
        <v>7</v>
      </c>
      <c r="H2" s="11" t="s">
        <v>8</v>
      </c>
      <c r="I2" s="10" t="s">
        <v>9</v>
      </c>
      <c r="J2" s="9" t="s">
        <v>10</v>
      </c>
      <c r="K2" s="9" t="s">
        <v>11</v>
      </c>
      <c r="L2" s="12" t="s">
        <v>12</v>
      </c>
      <c r="M2" s="12" t="s">
        <v>309</v>
      </c>
      <c r="N2" s="12" t="s">
        <v>12</v>
      </c>
      <c r="O2" s="12" t="s">
        <v>13</v>
      </c>
      <c r="P2" s="12" t="s">
        <v>14</v>
      </c>
      <c r="Q2" s="12" t="s">
        <v>15</v>
      </c>
      <c r="R2" s="12" t="s">
        <v>16</v>
      </c>
      <c r="S2" s="12" t="s">
        <v>17</v>
      </c>
      <c r="T2" s="12" t="s">
        <v>18</v>
      </c>
      <c r="U2" s="13" t="s">
        <v>19</v>
      </c>
      <c r="V2" s="14"/>
      <c r="W2" s="10" t="s">
        <v>20</v>
      </c>
      <c r="X2" s="9" t="s">
        <v>21</v>
      </c>
      <c r="Y2" s="9" t="s">
        <v>22</v>
      </c>
      <c r="Z2" s="12" t="s">
        <v>23</v>
      </c>
      <c r="AA2" s="12" t="s">
        <v>310</v>
      </c>
      <c r="AB2" s="12" t="s">
        <v>24</v>
      </c>
      <c r="AC2" s="12" t="s">
        <v>25</v>
      </c>
      <c r="AD2" s="12" t="s">
        <v>26</v>
      </c>
      <c r="AE2" s="12" t="s">
        <v>27</v>
      </c>
      <c r="AF2" s="12" t="s">
        <v>28</v>
      </c>
      <c r="AG2" s="12" t="s">
        <v>29</v>
      </c>
      <c r="AH2" s="12" t="s">
        <v>30</v>
      </c>
      <c r="AI2" s="13" t="s">
        <v>31</v>
      </c>
      <c r="AK2" s="16"/>
      <c r="AL2" s="16"/>
    </row>
    <row r="3" spans="1:41" x14ac:dyDescent="0.3">
      <c r="A3" s="17"/>
      <c r="C3" s="19"/>
      <c r="E3" s="20"/>
      <c r="F3" s="21"/>
      <c r="G3" s="22"/>
      <c r="H3" s="22"/>
      <c r="I3" s="22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2"/>
      <c r="Z3" s="24"/>
      <c r="AA3" s="22"/>
      <c r="AB3" s="22"/>
      <c r="AC3" s="22"/>
      <c r="AD3" s="22"/>
      <c r="AE3" s="22"/>
      <c r="AF3" s="22"/>
      <c r="AG3" s="22"/>
      <c r="AH3" s="22"/>
      <c r="AI3" s="22"/>
    </row>
    <row r="4" spans="1:41" s="35" customFormat="1" x14ac:dyDescent="0.3">
      <c r="A4" s="27"/>
      <c r="B4" s="28" t="s">
        <v>32</v>
      </c>
      <c r="C4" s="29"/>
      <c r="D4" s="30"/>
      <c r="E4" s="31"/>
      <c r="F4" s="32"/>
      <c r="G4" s="32"/>
      <c r="H4" s="32"/>
      <c r="I4" s="32"/>
      <c r="J4" s="3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2"/>
      <c r="Z4" s="34"/>
      <c r="AA4" s="32"/>
      <c r="AB4" s="32"/>
      <c r="AC4" s="32"/>
      <c r="AD4" s="32"/>
      <c r="AE4" s="32"/>
      <c r="AF4" s="32"/>
      <c r="AG4" s="32"/>
      <c r="AH4" s="32"/>
      <c r="AI4" s="32"/>
      <c r="AK4" s="36"/>
      <c r="AL4" s="36"/>
    </row>
    <row r="5" spans="1:41" x14ac:dyDescent="0.3">
      <c r="A5" s="108" t="s">
        <v>33</v>
      </c>
      <c r="B5" s="18" t="s">
        <v>34</v>
      </c>
      <c r="C5" s="19" t="str">
        <f>IFERROR(VLOOKUP(A5,'[1]SHOPP UPL SFY2021 Combined OUT'!$A:$F,6,FALSE),IFERROR(VLOOKUP(A5,'[1]SHOPP UPL SFY2021 Combined INP'!$A:$F,6,FALSE),VLOOKUP(A5,'[1]DRG UPL SFY21 Combined'!$A:$J,10,FALSE)))</f>
        <v>Yes</v>
      </c>
      <c r="D5" s="18">
        <v>1</v>
      </c>
      <c r="E5" s="20">
        <v>1</v>
      </c>
      <c r="F5" s="21">
        <f t="shared" ref="F5:F58" si="0">G5+W5</f>
        <v>18748300.930000022</v>
      </c>
      <c r="G5" s="22">
        <f>IF(C5="No",(VLOOKUP($A5,'[1]Cost UPL SFY21 Combine'!$B:$AS,17,FALSE)+VLOOKUP($A5,'[1]Cost UPL SFY21 Combine'!$B:$AS,18,FALSE)+VLOOKUP($A5,'[1]Cost UPL SFY21 Combine'!$B:$AS,19,FALSE)),(VLOOKUP($A5,'[1]DRG UPL SFY21 Combined'!$A:$AZ,18,FALSE)+VLOOKUP($A5,'[1]DRG UPL SFY21 Combined'!$A:$AZ,19,FALSE)+VLOOKUP($A5,'[1]DRG UPL SFY21 Combined'!$A:$AZ,22,FALSE)))</f>
        <v>11841765.92</v>
      </c>
      <c r="H5" s="22"/>
      <c r="I5" s="22">
        <f>G5+H5</f>
        <v>11841765.92</v>
      </c>
      <c r="J5" s="23">
        <f>IF($E5=1,I5/$I$93,0)</f>
        <v>2.2084464512278856E-2</v>
      </c>
      <c r="K5" s="22">
        <f>IFERROR(IF(C5="No",(VLOOKUP($A5,'[1]SHOPP UPL SFY2021 Combined INP'!$A:$AL,36,FALSE)),VLOOKUP($A5,'[1]DRG UPL SFY21 Combined'!$A:$AW,48,FALSE)),0)</f>
        <v>10369341.436403347</v>
      </c>
      <c r="L5" s="22">
        <f>IF($E5=1,ROUND($J5*(L$96+L$97),0),0)</f>
        <v>10054783</v>
      </c>
      <c r="M5" s="22">
        <f>(IFERROR(VLOOKUP($A5,'[1]CAH 101% of cost'!$A$3:$BJ$44,48,FALSE),0))</f>
        <v>0</v>
      </c>
      <c r="N5" s="22">
        <f>L5+M5</f>
        <v>10054783</v>
      </c>
      <c r="O5" s="22">
        <v>2355357.64</v>
      </c>
      <c r="P5" s="22">
        <f t="shared" ref="P5:P58" si="1">ROUND($N5*23.6%,2)</f>
        <v>2372928.79</v>
      </c>
      <c r="Q5" s="22">
        <f t="shared" ref="Q5:Q58" si="2">P5-O5+ROUND($N5*25%,2)</f>
        <v>2531266.9</v>
      </c>
      <c r="R5" s="22">
        <f t="shared" ref="R5:S24" si="3">ROUND($N5*25%,2)</f>
        <v>2513695.75</v>
      </c>
      <c r="S5" s="22">
        <f t="shared" si="3"/>
        <v>2513695.75</v>
      </c>
      <c r="T5" s="22">
        <f t="shared" ref="T5:T58" si="4">ROUND($N5*1.4%,2)</f>
        <v>140766.96</v>
      </c>
      <c r="U5" s="22">
        <f t="shared" ref="U5:U58" si="5">+K5-(L5+M5)</f>
        <v>314558.43640334718</v>
      </c>
      <c r="V5" s="22"/>
      <c r="W5" s="22">
        <f>IFERROR(VLOOKUP($A5,'[1]Cost UPL SFY21 Combine'!$B:$AG,31,FALSE),0)+IFERROR(VLOOKUP($A5,'[1]Cost UPL SFY21 Combine'!$B:$AG,32,FALSE),0)</f>
        <v>6906535.0100000203</v>
      </c>
      <c r="X5" s="23">
        <f>IF($E5=1,W5/$W$93,0)</f>
        <v>2.1703654385877392E-2</v>
      </c>
      <c r="Y5" s="22">
        <f>IFERROR(VLOOKUP($A5,'[1]SHOPP UPL SFY2021 Combined OUT'!$A:$AH,33,FALSE),0)</f>
        <v>911291.37505872454</v>
      </c>
      <c r="Z5" s="24">
        <f>IF($E5=1,ROUND($X5*(Z$96+Z$97),0),0)</f>
        <v>1628129</v>
      </c>
      <c r="AA5" s="22">
        <f>(IFERROR(VLOOKUP(A5,'[1]CAH 101% of cost'!$A$3:$BP$44,64,FALSE),0))</f>
        <v>0</v>
      </c>
      <c r="AB5" s="22">
        <f t="shared" ref="AB5:AB58" si="6">Z5+AA5</f>
        <v>1628129</v>
      </c>
      <c r="AC5" s="22">
        <f>VLOOKUP(A5,'[2]2022 Hospital Access Payments'!$B$2:$H$70,6,FALSE)</f>
        <v>371668.38</v>
      </c>
      <c r="AD5" s="22">
        <f>ROUND($AB5*23.6%,2)</f>
        <v>384238.44</v>
      </c>
      <c r="AE5" s="22">
        <f>AD5-AC5+ROUND($AB5*25%,2)</f>
        <v>419602.31</v>
      </c>
      <c r="AF5" s="22">
        <f>ROUND($AB5*25%,2)</f>
        <v>407032.25</v>
      </c>
      <c r="AG5" s="22">
        <f>ROUND($AB5*25%,2)</f>
        <v>407032.25</v>
      </c>
      <c r="AH5" s="22">
        <f>ROUND($AB5*1.4%,2)</f>
        <v>22793.81</v>
      </c>
      <c r="AI5" s="22">
        <f>+Y5-(Z5+AA5)</f>
        <v>-716837.62494127546</v>
      </c>
      <c r="AJ5" s="26"/>
      <c r="AO5" s="26"/>
    </row>
    <row r="6" spans="1:41" x14ac:dyDescent="0.3">
      <c r="A6" s="109" t="s">
        <v>35</v>
      </c>
      <c r="B6" s="18" t="s">
        <v>36</v>
      </c>
      <c r="C6" s="19" t="str">
        <f>IFERROR(VLOOKUP(A6,'[1]SHOPP UPL SFY2021 Combined OUT'!$A:$F,6,FALSE),IFERROR(VLOOKUP(A6,'[1]SHOPP UPL SFY2021 Combined INP'!$A:$F,6,FALSE),VLOOKUP(A6,'[1]DRG UPL SFY21 Combined'!$A:$J,10,FALSE)))</f>
        <v>Yes</v>
      </c>
      <c r="D6" s="18">
        <v>1</v>
      </c>
      <c r="E6" s="20">
        <v>1</v>
      </c>
      <c r="F6" s="21">
        <f t="shared" si="0"/>
        <v>16603635.592552397</v>
      </c>
      <c r="G6" s="22">
        <f>IF(C6="No",(VLOOKUP($A6,'[1]Cost UPL SFY21 Combine'!$B:$AS,17,FALSE)+VLOOKUP($A6,'[1]Cost UPL SFY21 Combine'!$B:$AS,18,FALSE)+VLOOKUP($A6,'[1]Cost UPL SFY21 Combine'!$B:$AS,19,FALSE)),(VLOOKUP($A6,'[1]DRG UPL SFY21 Combined'!$A:$AZ,18,FALSE)+VLOOKUP($A6,'[1]DRG UPL SFY21 Combined'!$A:$AZ,19,FALSE)+VLOOKUP($A6,'[1]DRG UPL SFY21 Combined'!$A:$AZ,22,FALSE)))</f>
        <v>8531361.6699999999</v>
      </c>
      <c r="H6" s="22"/>
      <c r="I6" s="22">
        <f t="shared" ref="I6:I58" si="7">G6+H6</f>
        <v>8531361.6699999999</v>
      </c>
      <c r="J6" s="23">
        <f>IF($E6=1,I6/$I$93,0)</f>
        <v>1.5910680494394629E-2</v>
      </c>
      <c r="K6" s="22">
        <f>IFERROR(IF(C6="No",(VLOOKUP($A6,'[1]SHOPP UPL SFY2021 Combined INP'!$A:$AL,36,FALSE)),VLOOKUP($A6,'[1]DRG UPL SFY21 Combined'!$A:$AW,48,FALSE)),0)</f>
        <v>10904255.264773054</v>
      </c>
      <c r="L6" s="22">
        <f>IF($E6=1,ROUND($J6*(L$96+L$97),0),0)</f>
        <v>7243936</v>
      </c>
      <c r="M6" s="22">
        <f>(IFERROR(VLOOKUP($A6,'[1]CAH 101% of cost'!$A$3:$BJ$44,48,FALSE),0))</f>
        <v>0</v>
      </c>
      <c r="N6" s="22">
        <f t="shared" ref="N6:N58" si="8">L6+M6</f>
        <v>7243936</v>
      </c>
      <c r="O6" s="22">
        <v>1709904.25</v>
      </c>
      <c r="P6" s="22">
        <f t="shared" si="1"/>
        <v>1709568.9</v>
      </c>
      <c r="Q6" s="22">
        <f t="shared" si="2"/>
        <v>1810648.65</v>
      </c>
      <c r="R6" s="22">
        <f t="shared" si="3"/>
        <v>1810984</v>
      </c>
      <c r="S6" s="22">
        <f t="shared" si="3"/>
        <v>1810984</v>
      </c>
      <c r="T6" s="22">
        <f t="shared" si="4"/>
        <v>101415.1</v>
      </c>
      <c r="U6" s="22">
        <f t="shared" si="5"/>
        <v>3660319.264773054</v>
      </c>
      <c r="V6" s="22"/>
      <c r="W6" s="22">
        <f>IFERROR(VLOOKUP($A6,'[1]Cost UPL SFY21 Combine'!$B:$AG,31,FALSE),0)+IFERROR(VLOOKUP($A6,'[1]Cost UPL SFY21 Combine'!$B:$AG,32,FALSE),0)</f>
        <v>8072273.9225523975</v>
      </c>
      <c r="X6" s="23">
        <f>IF($E6=1,W6/$W$93,0)</f>
        <v>2.5366966658322568E-2</v>
      </c>
      <c r="Y6" s="22">
        <f>IFERROR(VLOOKUP($A6,'[1]SHOPP UPL SFY2021 Combined OUT'!$A:$AH,33,FALSE),0)</f>
        <v>391424.19076256547</v>
      </c>
      <c r="Z6" s="24">
        <f>IF($E6=1,ROUND($X6*(Z$96+Z$97),0),0)</f>
        <v>1902937</v>
      </c>
      <c r="AA6" s="22">
        <f>(IFERROR(VLOOKUP(A6,'[1]CAH 101% of cost'!$A$3:$BP$44,64,FALSE),0))</f>
        <v>0</v>
      </c>
      <c r="AB6" s="22">
        <f t="shared" si="6"/>
        <v>1902937</v>
      </c>
      <c r="AC6" s="22">
        <f>VLOOKUP(A6,'[2]2022 Hospital Access Payments'!$B$2:$H$70,6,FALSE)</f>
        <v>437825.78</v>
      </c>
      <c r="AD6" s="22">
        <f t="shared" ref="AD6:AD58" si="9">ROUND($AB6*23.6%,2)</f>
        <v>449093.13</v>
      </c>
      <c r="AE6" s="22">
        <f t="shared" ref="AE6:AE58" si="10">AD6-AC6+ROUND($AB6*25%,2)</f>
        <v>487001.59999999998</v>
      </c>
      <c r="AF6" s="22">
        <f t="shared" ref="AF6:AG37" si="11">ROUND($AB6*25%,2)</f>
        <v>475734.25</v>
      </c>
      <c r="AG6" s="22">
        <f t="shared" si="11"/>
        <v>475734.25</v>
      </c>
      <c r="AH6" s="22">
        <f t="shared" ref="AH6:AH58" si="12">ROUND($AB6*1.4%,2)</f>
        <v>26641.119999999999</v>
      </c>
      <c r="AI6" s="22">
        <f t="shared" ref="AI6:AI58" si="13">+Y6-(Z6+AA6)</f>
        <v>-1511512.8092374345</v>
      </c>
      <c r="AJ6" s="26"/>
      <c r="AO6" s="26"/>
    </row>
    <row r="7" spans="1:41" x14ac:dyDescent="0.3">
      <c r="A7" s="109" t="s">
        <v>37</v>
      </c>
      <c r="B7" s="18" t="s">
        <v>38</v>
      </c>
      <c r="C7" s="19" t="str">
        <f>IFERROR(VLOOKUP(A7,'[1]SHOPP UPL SFY2021 Combined OUT'!$A:$F,6,FALSE),IFERROR(VLOOKUP(A7,'[1]SHOPP UPL SFY2021 Combined INP'!$A:$F,6,FALSE),VLOOKUP(A7,'[1]DRG UPL SFY21 Combined'!$A:$J,10,FALSE)))</f>
        <v>Yes</v>
      </c>
      <c r="D7" s="18">
        <v>1</v>
      </c>
      <c r="E7" s="20">
        <v>1</v>
      </c>
      <c r="F7" s="21">
        <f t="shared" si="0"/>
        <v>3854965.4400000004</v>
      </c>
      <c r="G7" s="22">
        <f>IF(C7="No",(VLOOKUP($A7,'[1]Cost UPL SFY21 Combine'!$B:$AS,17,FALSE)+VLOOKUP($A7,'[1]Cost UPL SFY21 Combine'!$B:$AS,18,FALSE)+VLOOKUP($A7,'[1]Cost UPL SFY21 Combine'!$B:$AS,19,FALSE)),(VLOOKUP($A7,'[1]DRG UPL SFY21 Combined'!$A:$AZ,18,FALSE)+VLOOKUP($A7,'[1]DRG UPL SFY21 Combined'!$A:$AZ,19,FALSE)+VLOOKUP($A7,'[1]DRG UPL SFY21 Combined'!$A:$AZ,22,FALSE)))</f>
        <v>778466.65000000014</v>
      </c>
      <c r="H7" s="22"/>
      <c r="I7" s="22">
        <f t="shared" si="7"/>
        <v>778466.65000000014</v>
      </c>
      <c r="J7" s="23">
        <f>IF($E7=1,I7/$I$93,0)</f>
        <v>1.4518121048889647E-3</v>
      </c>
      <c r="K7" s="22">
        <f>IFERROR(IF(C7="No",(VLOOKUP($A7,'[1]SHOPP UPL SFY2021 Combined INP'!$A:$AL,36,FALSE)),VLOOKUP($A7,'[1]DRG UPL SFY21 Combined'!$A:$AW,48,FALSE)),0)</f>
        <v>1247984.2777109791</v>
      </c>
      <c r="L7" s="22">
        <f>IF($E7=1,ROUND($J7*(L$96+L$97),0),0)</f>
        <v>660992</v>
      </c>
      <c r="M7" s="22">
        <f>(IFERROR(VLOOKUP($A7,'[1]CAH 101% of cost'!$A$3:$BJ$44,48,FALSE),0))</f>
        <v>0</v>
      </c>
      <c r="N7" s="22">
        <f t="shared" si="8"/>
        <v>660992</v>
      </c>
      <c r="O7" s="22">
        <v>135210.76999999999</v>
      </c>
      <c r="P7" s="22">
        <f t="shared" si="1"/>
        <v>155994.10999999999</v>
      </c>
      <c r="Q7" s="22">
        <f t="shared" si="2"/>
        <v>186031.34</v>
      </c>
      <c r="R7" s="22">
        <f t="shared" si="3"/>
        <v>165248</v>
      </c>
      <c r="S7" s="22">
        <f t="shared" si="3"/>
        <v>165248</v>
      </c>
      <c r="T7" s="22">
        <f t="shared" si="4"/>
        <v>9253.89</v>
      </c>
      <c r="U7" s="22">
        <f t="shared" si="5"/>
        <v>586992.27771097911</v>
      </c>
      <c r="V7" s="22"/>
      <c r="W7" s="22">
        <f>IFERROR(VLOOKUP($A7,'[1]Cost UPL SFY21 Combine'!$B:$AG,31,FALSE),0)+IFERROR(VLOOKUP($A7,'[1]Cost UPL SFY21 Combine'!$B:$AG,32,FALSE),0)</f>
        <v>3076498.79</v>
      </c>
      <c r="X7" s="23">
        <f>IF($E7=1,W7/$W$93,0)</f>
        <v>9.6678387006004333E-3</v>
      </c>
      <c r="Y7" s="22">
        <f>IFERROR(VLOOKUP($A7,'[1]SHOPP UPL SFY2021 Combined OUT'!$A:$AH,33,FALSE),0)</f>
        <v>723200.67728517717</v>
      </c>
      <c r="Z7" s="24">
        <f>IF($E7=1,ROUND($X7*(Z$96+Z$97),0),0)</f>
        <v>725246</v>
      </c>
      <c r="AA7" s="22">
        <f>(IFERROR(VLOOKUP(A7,'[1]CAH 101% of cost'!$A$3:$BP$44,64,FALSE),0))</f>
        <v>0</v>
      </c>
      <c r="AB7" s="22">
        <f t="shared" si="6"/>
        <v>725246</v>
      </c>
      <c r="AC7" s="22">
        <f>VLOOKUP(A7,'[2]2022 Hospital Access Payments'!$B$2:$H$70,6,FALSE)</f>
        <v>160824.79999999999</v>
      </c>
      <c r="AD7" s="22">
        <f t="shared" si="9"/>
        <v>171158.06</v>
      </c>
      <c r="AE7" s="22">
        <f t="shared" si="10"/>
        <v>191644.76</v>
      </c>
      <c r="AF7" s="22">
        <f t="shared" si="11"/>
        <v>181311.5</v>
      </c>
      <c r="AG7" s="22">
        <f t="shared" si="11"/>
        <v>181311.5</v>
      </c>
      <c r="AH7" s="22">
        <f t="shared" si="12"/>
        <v>10153.44</v>
      </c>
      <c r="AI7" s="22">
        <f t="shared" si="13"/>
        <v>-2045.3227148228325</v>
      </c>
      <c r="AJ7" s="26"/>
      <c r="AO7" s="26"/>
    </row>
    <row r="8" spans="1:41" x14ac:dyDescent="0.3">
      <c r="A8" s="115" t="s">
        <v>39</v>
      </c>
      <c r="B8" s="18" t="s">
        <v>40</v>
      </c>
      <c r="C8" s="19" t="str">
        <f>IFERROR(VLOOKUP(A8,'[1]SHOPP UPL SFY2021 Combined OUT'!$A:$F,6,FALSE),IFERROR(VLOOKUP(A8,'[1]SHOPP UPL SFY2021 Combined INP'!$A:$F,6,FALSE),VLOOKUP(A8,'[1]DRG UPL SFY21 Combined'!$A:$J,10,FALSE)))</f>
        <v>Yes</v>
      </c>
      <c r="D8" s="18">
        <v>1</v>
      </c>
      <c r="E8" s="20">
        <v>1</v>
      </c>
      <c r="F8" s="21">
        <f t="shared" si="0"/>
        <v>4583129.8769249627</v>
      </c>
      <c r="G8" s="22">
        <f>IF(C8="No",(VLOOKUP($A8,'[1]Cost UPL SFY21 Combine'!$B:$AS,17,FALSE)+VLOOKUP($A8,'[1]Cost UPL SFY21 Combine'!$B:$AS,18,FALSE)+VLOOKUP($A8,'[1]Cost UPL SFY21 Combine'!$B:$AS,19,FALSE)),(VLOOKUP($A8,'[1]DRG UPL SFY21 Combined'!$A:$AZ,18,FALSE)+VLOOKUP($A8,'[1]DRG UPL SFY21 Combined'!$A:$AZ,19,FALSE)+VLOOKUP($A8,'[1]DRG UPL SFY21 Combined'!$A:$AZ,22,FALSE)))</f>
        <v>1444152.45</v>
      </c>
      <c r="H8" s="22"/>
      <c r="I8" s="22">
        <f t="shared" si="7"/>
        <v>1444152.45</v>
      </c>
      <c r="J8" s="23">
        <f>IF($E8=1,I8/$I$93,0)</f>
        <v>2.6932920096385052E-3</v>
      </c>
      <c r="K8" s="22">
        <f>IFERROR(IF(C8="No",(VLOOKUP($A8,'[1]SHOPP UPL SFY2021 Combined INP'!$A:$AL,36,FALSE)),VLOOKUP($A8,'[1]DRG UPL SFY21 Combined'!$A:$AW,48,FALSE)),0)</f>
        <v>563560.58821621863</v>
      </c>
      <c r="L8" s="22">
        <f>IF($E8=1,ROUND($J8*(L$96+L$97),0),0)</f>
        <v>1226222</v>
      </c>
      <c r="M8" s="22">
        <f>(IFERROR(VLOOKUP($A8,'[1]CAH 101% of cost'!$A$3:$BJ$44,48,FALSE),0))</f>
        <v>0</v>
      </c>
      <c r="N8" s="22">
        <f t="shared" si="8"/>
        <v>1226222</v>
      </c>
      <c r="O8" s="22">
        <v>284763.26</v>
      </c>
      <c r="P8" s="22">
        <f t="shared" si="1"/>
        <v>289388.39</v>
      </c>
      <c r="Q8" s="22">
        <f t="shared" si="2"/>
        <v>311180.63</v>
      </c>
      <c r="R8" s="22">
        <f t="shared" si="3"/>
        <v>306555.5</v>
      </c>
      <c r="S8" s="22">
        <f t="shared" si="3"/>
        <v>306555.5</v>
      </c>
      <c r="T8" s="22">
        <f t="shared" si="4"/>
        <v>17167.11</v>
      </c>
      <c r="U8" s="22">
        <f t="shared" si="5"/>
        <v>-662661.41178378137</v>
      </c>
      <c r="V8" s="22"/>
      <c r="W8" s="22">
        <f>IFERROR(VLOOKUP($A8,'[1]Cost UPL SFY21 Combine'!$B:$AG,31,FALSE),0)+IFERROR(VLOOKUP($A8,'[1]Cost UPL SFY21 Combine'!$B:$AG,32,FALSE),0)</f>
        <v>3138977.4269249626</v>
      </c>
      <c r="X8" s="23">
        <f>IF($E8=1,W8/$W$93,0)</f>
        <v>9.8641766240825726E-3</v>
      </c>
      <c r="Y8" s="22">
        <f>IFERROR(VLOOKUP($A8,'[1]SHOPP UPL SFY2021 Combined OUT'!$A:$AH,33,FALSE),0)</f>
        <v>9765.9088237078977</v>
      </c>
      <c r="Z8" s="24">
        <f>IF($E8=1,ROUND($X8*(Z$96+Z$97),0),0)</f>
        <v>739974</v>
      </c>
      <c r="AA8" s="22">
        <f>(IFERROR(VLOOKUP(A8,'[1]CAH 101% of cost'!$A$3:$BP$44,64,FALSE),0))</f>
        <v>0</v>
      </c>
      <c r="AB8" s="22">
        <f t="shared" si="6"/>
        <v>739974</v>
      </c>
      <c r="AC8" s="22">
        <f>VLOOKUP(A8,'[2]2022 Hospital Access Payments'!$B$2:$H$70,6,FALSE)</f>
        <v>175437.44</v>
      </c>
      <c r="AD8" s="22">
        <f t="shared" si="9"/>
        <v>174633.86</v>
      </c>
      <c r="AE8" s="22">
        <f t="shared" si="10"/>
        <v>184189.91999999998</v>
      </c>
      <c r="AF8" s="22">
        <f t="shared" si="11"/>
        <v>184993.5</v>
      </c>
      <c r="AG8" s="22">
        <f t="shared" si="11"/>
        <v>184993.5</v>
      </c>
      <c r="AH8" s="22">
        <f t="shared" si="12"/>
        <v>10359.64</v>
      </c>
      <c r="AI8" s="22">
        <f t="shared" si="13"/>
        <v>-730208.09117629216</v>
      </c>
      <c r="AJ8" s="26"/>
      <c r="AO8" s="26"/>
    </row>
    <row r="9" spans="1:41" x14ac:dyDescent="0.3">
      <c r="A9" s="116" t="s">
        <v>41</v>
      </c>
      <c r="B9" s="18" t="s">
        <v>42</v>
      </c>
      <c r="C9" s="19" t="s">
        <v>43</v>
      </c>
      <c r="D9" s="18">
        <v>1</v>
      </c>
      <c r="E9" s="20">
        <v>1</v>
      </c>
      <c r="F9" s="21">
        <f t="shared" si="0"/>
        <v>0</v>
      </c>
      <c r="G9" s="22">
        <v>0</v>
      </c>
      <c r="H9" s="37"/>
      <c r="I9" s="22">
        <f t="shared" si="7"/>
        <v>0</v>
      </c>
      <c r="J9" s="23">
        <f>IF($E9=1,I9/$I$93,0)</f>
        <v>0</v>
      </c>
      <c r="K9" s="22">
        <f>IFERROR(IF(C9="No",(VLOOKUP($A9,'[1]SHOPP UPL SFY2021 Combined INP'!$A:$AL,36,FALSE)),VLOOKUP($A9,'[1]DRG UPL SFY21 Combined'!$A:$AW,48,FALSE)),0)</f>
        <v>0</v>
      </c>
      <c r="L9" s="22">
        <f>IF($E9=1,ROUND($J9*(L$96+L$97),0),0)</f>
        <v>0</v>
      </c>
      <c r="M9" s="22">
        <f>(IFERROR(VLOOKUP($A9,'[1]CAH 101% of cost'!$A$3:$BJ$44,48,FALSE),0))</f>
        <v>0</v>
      </c>
      <c r="N9" s="22">
        <f t="shared" si="8"/>
        <v>0</v>
      </c>
      <c r="O9" s="22">
        <v>0</v>
      </c>
      <c r="P9" s="22">
        <f t="shared" si="1"/>
        <v>0</v>
      </c>
      <c r="Q9" s="22">
        <f t="shared" si="2"/>
        <v>0</v>
      </c>
      <c r="R9" s="22">
        <f t="shared" si="3"/>
        <v>0</v>
      </c>
      <c r="S9" s="22">
        <f t="shared" si="3"/>
        <v>0</v>
      </c>
      <c r="T9" s="22">
        <f t="shared" si="4"/>
        <v>0</v>
      </c>
      <c r="U9" s="22">
        <f t="shared" si="5"/>
        <v>0</v>
      </c>
      <c r="V9" s="22"/>
      <c r="W9" s="22">
        <f>IFERROR(VLOOKUP($A9,'[1]Cost UPL SFY21 Combine'!$B:$AG,31,FALSE),0)+IFERROR(VLOOKUP($A9,'[1]Cost UPL SFY21 Combine'!$B:$AG,32,FALSE),0)</f>
        <v>0</v>
      </c>
      <c r="X9" s="23">
        <f>IF($E9=1,W9/$W$93,0)</f>
        <v>0</v>
      </c>
      <c r="Y9" s="22">
        <f>IFERROR(VLOOKUP($A9,'[1]SHOPP UPL SFY2021 Combined OUT'!$A:$AH,33,FALSE),0)</f>
        <v>0</v>
      </c>
      <c r="Z9" s="24">
        <f>IF($E9=1,ROUND($X9*(Z$96+Z$97),0),0)</f>
        <v>0</v>
      </c>
      <c r="AA9" s="22">
        <f>(IFERROR(VLOOKUP(A9,'[1]CAH 101% of cost'!$A$3:$BP$44,64,FALSE),0))</f>
        <v>0</v>
      </c>
      <c r="AB9" s="22">
        <f t="shared" si="6"/>
        <v>0</v>
      </c>
      <c r="AC9" s="22">
        <f>VLOOKUP(A9,'[2]2022 Hospital Access Payments'!$B$2:$H$70,6,FALSE)</f>
        <v>0</v>
      </c>
      <c r="AD9" s="22">
        <f t="shared" si="9"/>
        <v>0</v>
      </c>
      <c r="AE9" s="22">
        <f t="shared" si="10"/>
        <v>0</v>
      </c>
      <c r="AF9" s="22">
        <f t="shared" si="11"/>
        <v>0</v>
      </c>
      <c r="AG9" s="22">
        <f t="shared" si="11"/>
        <v>0</v>
      </c>
      <c r="AH9" s="22">
        <f t="shared" si="12"/>
        <v>0</v>
      </c>
      <c r="AI9" s="22">
        <f t="shared" si="13"/>
        <v>0</v>
      </c>
      <c r="AJ9" s="26"/>
      <c r="AO9" s="26"/>
    </row>
    <row r="10" spans="1:41" x14ac:dyDescent="0.3">
      <c r="A10" s="117" t="s">
        <v>44</v>
      </c>
      <c r="B10" s="18" t="s">
        <v>45</v>
      </c>
      <c r="C10" s="19" t="str">
        <f>IFERROR(VLOOKUP(A10,'[1]SHOPP UPL SFY2021 Combined OUT'!$A:$F,6,FALSE),IFERROR(VLOOKUP(A10,'[1]SHOPP UPL SFY2021 Combined INP'!$A:$F,6,FALSE),VLOOKUP(A10,'[1]DRG UPL SFY21 Combined'!$A:$J,10,FALSE)))</f>
        <v>No</v>
      </c>
      <c r="D10" s="18">
        <v>1</v>
      </c>
      <c r="E10" s="20">
        <v>1</v>
      </c>
      <c r="F10" s="21">
        <f t="shared" si="0"/>
        <v>10054645.109999999</v>
      </c>
      <c r="G10" s="22">
        <f>IF(C10="No",(VLOOKUP($A10,'[1]Cost UPL SFY21 Combine'!$B:$AS,17,FALSE)+VLOOKUP($A10,'[1]Cost UPL SFY21 Combine'!$B:$AS,18,FALSE)+VLOOKUP($A10,'[1]Cost UPL SFY21 Combine'!$B:$AS,19,FALSE)),(VLOOKUP($A10,'[1]DRG UPL SFY21 Combined'!$A:$AZ,18,FALSE)+VLOOKUP($A10,'[1]DRG UPL SFY21 Combined'!$A:$AZ,19,FALSE)+VLOOKUP($A10,'[1]DRG UPL SFY21 Combined'!$A:$AZ,22,FALSE)))</f>
        <v>10054645.109999999</v>
      </c>
      <c r="H10" s="22"/>
      <c r="I10" s="22">
        <f t="shared" si="7"/>
        <v>10054645.109999999</v>
      </c>
      <c r="J10" s="23">
        <f>IF($E10=1,I10/$I$93,0)</f>
        <v>1.8751548934126637E-2</v>
      </c>
      <c r="K10" s="22">
        <f>IFERROR(IF(C10="No",(VLOOKUP($A10,'[1]SHOPP UPL SFY2021 Combined INP'!$A:$AL,36,FALSE)),VLOOKUP($A10,'[1]DRG UPL SFY21 Combined'!$A:$AW,48,FALSE)),0)</f>
        <v>1333239.4201637842</v>
      </c>
      <c r="L10" s="22">
        <f>IF($E10=1,ROUND($J10*(L$96+L$97),0),0)</f>
        <v>8537348</v>
      </c>
      <c r="M10" s="22">
        <f>(IFERROR(VLOOKUP($A10,'[1]CAH 101% of cost'!$A$3:$BJ$44,48,FALSE),0))</f>
        <v>0</v>
      </c>
      <c r="N10" s="22">
        <f t="shared" si="8"/>
        <v>8537348</v>
      </c>
      <c r="O10" s="22">
        <v>1874705.88</v>
      </c>
      <c r="P10" s="22">
        <f t="shared" si="1"/>
        <v>2014814.13</v>
      </c>
      <c r="Q10" s="22">
        <f t="shared" si="2"/>
        <v>2274445.25</v>
      </c>
      <c r="R10" s="22">
        <f t="shared" si="3"/>
        <v>2134337</v>
      </c>
      <c r="S10" s="22">
        <f t="shared" si="3"/>
        <v>2134337</v>
      </c>
      <c r="T10" s="22">
        <f t="shared" si="4"/>
        <v>119522.87</v>
      </c>
      <c r="U10" s="22">
        <f t="shared" si="5"/>
        <v>-7204108.5798362158</v>
      </c>
      <c r="V10" s="22"/>
      <c r="W10" s="22">
        <f>IFERROR(VLOOKUP($A10,'[1]Cost UPL SFY21 Combine'!$B:$AG,31,FALSE),0)+IFERROR(VLOOKUP($A10,'[1]Cost UPL SFY21 Combine'!$B:$AG,32,FALSE),0)</f>
        <v>0</v>
      </c>
      <c r="X10" s="23">
        <f>IF($E10=1,W10/$W$93,0)</f>
        <v>0</v>
      </c>
      <c r="Y10" s="22">
        <f>IFERROR(VLOOKUP($A10,'[1]SHOPP UPL SFY2021 Combined OUT'!$A:$AH,33,FALSE),0)</f>
        <v>0</v>
      </c>
      <c r="Z10" s="24">
        <f>IF($E10=1,ROUND($X10*(Z$96+Z$97),0),0)</f>
        <v>0</v>
      </c>
      <c r="AA10" s="22">
        <f>(IFERROR(VLOOKUP(A10,'[1]CAH 101% of cost'!$A$3:$BP$44,64,FALSE),0))</f>
        <v>0</v>
      </c>
      <c r="AB10" s="22">
        <f t="shared" si="6"/>
        <v>0</v>
      </c>
      <c r="AC10" s="22">
        <f>VLOOKUP(A10,'[2]2022 Hospital Access Payments'!$B$2:$H$70,6,FALSE)</f>
        <v>0</v>
      </c>
      <c r="AD10" s="22">
        <f t="shared" si="9"/>
        <v>0</v>
      </c>
      <c r="AE10" s="22">
        <f t="shared" si="10"/>
        <v>0</v>
      </c>
      <c r="AF10" s="22">
        <f t="shared" si="11"/>
        <v>0</v>
      </c>
      <c r="AG10" s="22">
        <f t="shared" si="11"/>
        <v>0</v>
      </c>
      <c r="AH10" s="22">
        <f t="shared" si="12"/>
        <v>0</v>
      </c>
      <c r="AI10" s="22">
        <f t="shared" si="13"/>
        <v>0</v>
      </c>
      <c r="AJ10" s="26"/>
      <c r="AO10" s="26"/>
    </row>
    <row r="11" spans="1:41" x14ac:dyDescent="0.3">
      <c r="A11" s="108" t="s">
        <v>46</v>
      </c>
      <c r="B11" s="18" t="s">
        <v>47</v>
      </c>
      <c r="C11" s="19" t="str">
        <f>IFERROR(VLOOKUP(A11,'[1]SHOPP UPL SFY2021 Combined OUT'!$A:$F,6,FALSE),IFERROR(VLOOKUP(A11,'[1]SHOPP UPL SFY2021 Combined INP'!$A:$F,6,FALSE),VLOOKUP(A11,'[1]DRG UPL SFY21 Combined'!$A:$J,10,FALSE)))</f>
        <v>Yes</v>
      </c>
      <c r="D11" s="18">
        <v>1</v>
      </c>
      <c r="E11" s="20">
        <v>1</v>
      </c>
      <c r="F11" s="21">
        <f t="shared" si="0"/>
        <v>2526316.61</v>
      </c>
      <c r="G11" s="22">
        <f>IF(C11="No",(VLOOKUP($A11,'[1]Cost UPL SFY21 Combine'!$B:$AS,17,FALSE)+VLOOKUP($A11,'[1]Cost UPL SFY21 Combine'!$B:$AS,18,FALSE)+VLOOKUP($A11,'[1]Cost UPL SFY21 Combine'!$B:$AS,19,FALSE)),(VLOOKUP($A11,'[1]DRG UPL SFY21 Combined'!$A:$AZ,18,FALSE)+VLOOKUP($A11,'[1]DRG UPL SFY21 Combined'!$A:$AZ,19,FALSE)+VLOOKUP($A11,'[1]DRG UPL SFY21 Combined'!$A:$AZ,22,FALSE)))</f>
        <v>945937.53999999992</v>
      </c>
      <c r="H11" s="22"/>
      <c r="I11" s="22">
        <f t="shared" si="7"/>
        <v>945937.53999999992</v>
      </c>
      <c r="J11" s="23">
        <f>IF($E11=1,I11/$I$93,0)</f>
        <v>1.7641392486638817E-3</v>
      </c>
      <c r="K11" s="22">
        <f>IFERROR(IF(C11="No",(VLOOKUP($A11,'[1]SHOPP UPL SFY2021 Combined INP'!$A:$AL,36,FALSE)),VLOOKUP($A11,'[1]DRG UPL SFY21 Combined'!$A:$AW,48,FALSE)),0)</f>
        <v>1291611.7090377687</v>
      </c>
      <c r="L11" s="22">
        <f>IF($E11=1,ROUND($J11*(L$96+L$97),0),0)</f>
        <v>803191</v>
      </c>
      <c r="M11" s="22">
        <f>(IFERROR(VLOOKUP($A11,'[1]CAH 101% of cost'!$A$3:$BJ$44,48,FALSE),0))</f>
        <v>0</v>
      </c>
      <c r="N11" s="22">
        <f t="shared" si="8"/>
        <v>803191</v>
      </c>
      <c r="O11" s="22">
        <v>190341.55</v>
      </c>
      <c r="P11" s="22">
        <f t="shared" si="1"/>
        <v>189553.08</v>
      </c>
      <c r="Q11" s="22">
        <f t="shared" si="2"/>
        <v>200009.28</v>
      </c>
      <c r="R11" s="22">
        <f t="shared" si="3"/>
        <v>200797.75</v>
      </c>
      <c r="S11" s="22">
        <f t="shared" si="3"/>
        <v>200797.75</v>
      </c>
      <c r="T11" s="22">
        <f t="shared" si="4"/>
        <v>11244.67</v>
      </c>
      <c r="U11" s="22">
        <f t="shared" si="5"/>
        <v>488420.70903776865</v>
      </c>
      <c r="V11" s="22"/>
      <c r="W11" s="22">
        <f>IFERROR(VLOOKUP($A11,'[1]Cost UPL SFY21 Combine'!$B:$AG,31,FALSE),0)+IFERROR(VLOOKUP($A11,'[1]Cost UPL SFY21 Combine'!$B:$AG,32,FALSE),0)</f>
        <v>1580379.07</v>
      </c>
      <c r="X11" s="23">
        <f>IF($E11=1,W11/$W$93,0)</f>
        <v>4.966311049504726E-3</v>
      </c>
      <c r="Y11" s="22">
        <f>IFERROR(VLOOKUP($A11,'[1]SHOPP UPL SFY2021 Combined OUT'!$A:$AH,33,FALSE),0)</f>
        <v>791958.06297866232</v>
      </c>
      <c r="Z11" s="24">
        <f>IF($E11=1,ROUND($X11*(Z$96+Z$97),0),0)</f>
        <v>372554</v>
      </c>
      <c r="AA11" s="22">
        <f>(IFERROR(VLOOKUP(A11,'[1]CAH 101% of cost'!$A$3:$BP$44,64,FALSE),0))</f>
        <v>0</v>
      </c>
      <c r="AB11" s="22">
        <f t="shared" si="6"/>
        <v>372554</v>
      </c>
      <c r="AC11" s="22">
        <f>VLOOKUP(A11,'[2]2022 Hospital Access Payments'!$B$2:$H$70,6,FALSE)</f>
        <v>85089.09</v>
      </c>
      <c r="AD11" s="22">
        <f t="shared" si="9"/>
        <v>87922.74</v>
      </c>
      <c r="AE11" s="22">
        <f t="shared" si="10"/>
        <v>95972.150000000009</v>
      </c>
      <c r="AF11" s="22">
        <f t="shared" si="11"/>
        <v>93138.5</v>
      </c>
      <c r="AG11" s="22">
        <f t="shared" si="11"/>
        <v>93138.5</v>
      </c>
      <c r="AH11" s="22">
        <f t="shared" si="12"/>
        <v>5215.76</v>
      </c>
      <c r="AI11" s="22">
        <f t="shared" si="13"/>
        <v>419404.06297866232</v>
      </c>
      <c r="AJ11" s="26"/>
      <c r="AO11" s="26"/>
    </row>
    <row r="12" spans="1:41" x14ac:dyDescent="0.3">
      <c r="A12" s="108" t="s">
        <v>48</v>
      </c>
      <c r="B12" s="18" t="s">
        <v>49</v>
      </c>
      <c r="C12" s="19" t="str">
        <f>IFERROR(VLOOKUP(A12,'[1]SHOPP UPL SFY2021 Combined OUT'!$A:$F,6,FALSE),IFERROR(VLOOKUP(A12,'[1]SHOPP UPL SFY2021 Combined INP'!$A:$F,6,FALSE),VLOOKUP(A12,'[1]DRG UPL SFY21 Combined'!$A:$J,10,FALSE)))</f>
        <v>Yes</v>
      </c>
      <c r="D12" s="18">
        <v>1</v>
      </c>
      <c r="E12" s="20">
        <v>1</v>
      </c>
      <c r="F12" s="21">
        <f t="shared" si="0"/>
        <v>10576384.647728134</v>
      </c>
      <c r="G12" s="22">
        <f>IF(C12="No",(VLOOKUP($A12,'[1]Cost UPL SFY21 Combine'!$B:$AS,17,FALSE)+VLOOKUP($A12,'[1]Cost UPL SFY21 Combine'!$B:$AS,18,FALSE)+VLOOKUP($A12,'[1]Cost UPL SFY21 Combine'!$B:$AS,19,FALSE)),(VLOOKUP($A12,'[1]DRG UPL SFY21 Combined'!$A:$AZ,18,FALSE)+VLOOKUP($A12,'[1]DRG UPL SFY21 Combined'!$A:$AZ,19,FALSE)+VLOOKUP($A12,'[1]DRG UPL SFY21 Combined'!$A:$AZ,22,FALSE)))</f>
        <v>3546084.92</v>
      </c>
      <c r="H12" s="22"/>
      <c r="I12" s="22">
        <f t="shared" si="7"/>
        <v>3546084.92</v>
      </c>
      <c r="J12" s="23">
        <f>IF($E12=1,I12/$I$93,0)</f>
        <v>6.6133199306870954E-3</v>
      </c>
      <c r="K12" s="22">
        <f>IFERROR(IF(C12="No",(VLOOKUP($A12,'[1]SHOPP UPL SFY2021 Combined INP'!$A:$AL,36,FALSE)),VLOOKUP($A12,'[1]DRG UPL SFY21 Combined'!$A:$AW,48,FALSE)),0)</f>
        <v>3813400.8815343585</v>
      </c>
      <c r="L12" s="22">
        <f>IF($E12=1,ROUND($J12*(L$96+L$97),0),0)</f>
        <v>3010963</v>
      </c>
      <c r="M12" s="22">
        <f>(IFERROR(VLOOKUP($A12,'[1]CAH 101% of cost'!$A$3:$BJ$44,48,FALSE),0))</f>
        <v>0</v>
      </c>
      <c r="N12" s="22">
        <f t="shared" si="8"/>
        <v>3010963</v>
      </c>
      <c r="O12" s="22">
        <v>714416.84</v>
      </c>
      <c r="P12" s="22">
        <f t="shared" si="1"/>
        <v>710587.27</v>
      </c>
      <c r="Q12" s="22">
        <f t="shared" si="2"/>
        <v>748911.18</v>
      </c>
      <c r="R12" s="22">
        <f t="shared" si="3"/>
        <v>752740.75</v>
      </c>
      <c r="S12" s="22">
        <f t="shared" si="3"/>
        <v>752740.75</v>
      </c>
      <c r="T12" s="22">
        <f t="shared" si="4"/>
        <v>42153.48</v>
      </c>
      <c r="U12" s="22">
        <f t="shared" si="5"/>
        <v>802437.88153435849</v>
      </c>
      <c r="V12" s="22"/>
      <c r="W12" s="22">
        <f>IFERROR(VLOOKUP($A12,'[1]Cost UPL SFY21 Combine'!$B:$AG,31,FALSE),0)+IFERROR(VLOOKUP($A12,'[1]Cost UPL SFY21 Combine'!$B:$AG,32,FALSE),0)</f>
        <v>7030299.7277281331</v>
      </c>
      <c r="X12" s="23">
        <f>IF($E12=1,W12/$W$93,0)</f>
        <v>2.2092582648001215E-2</v>
      </c>
      <c r="Y12" s="22">
        <f>IFERROR(VLOOKUP($A12,'[1]SHOPP UPL SFY2021 Combined OUT'!$A:$AH,33,FALSE),0)</f>
        <v>1328660.6317599313</v>
      </c>
      <c r="Z12" s="24">
        <f>IF($E12=1,ROUND($X12*(Z$96+Z$97),0),0)</f>
        <v>1657305</v>
      </c>
      <c r="AA12" s="22">
        <f>(IFERROR(VLOOKUP(A12,'[1]CAH 101% of cost'!$A$3:$BP$44,64,FALSE),0))</f>
        <v>0</v>
      </c>
      <c r="AB12" s="22">
        <f t="shared" si="6"/>
        <v>1657305</v>
      </c>
      <c r="AC12" s="22">
        <f>VLOOKUP(A12,'[2]2022 Hospital Access Payments'!$B$2:$H$70,6,FALSE)</f>
        <v>398474.67</v>
      </c>
      <c r="AD12" s="22">
        <f t="shared" si="9"/>
        <v>391123.98</v>
      </c>
      <c r="AE12" s="22">
        <f t="shared" si="10"/>
        <v>406975.56</v>
      </c>
      <c r="AF12" s="22">
        <f t="shared" si="11"/>
        <v>414326.25</v>
      </c>
      <c r="AG12" s="22">
        <f t="shared" si="11"/>
        <v>414326.25</v>
      </c>
      <c r="AH12" s="22">
        <f t="shared" si="12"/>
        <v>23202.27</v>
      </c>
      <c r="AI12" s="22">
        <f t="shared" si="13"/>
        <v>-328644.36824006867</v>
      </c>
      <c r="AJ12" s="26"/>
      <c r="AO12" s="26"/>
    </row>
    <row r="13" spans="1:41" x14ac:dyDescent="0.3">
      <c r="A13" s="109" t="s">
        <v>50</v>
      </c>
      <c r="B13" s="18" t="s">
        <v>51</v>
      </c>
      <c r="C13" s="19" t="str">
        <f>IFERROR(VLOOKUP(A13,'[1]SHOPP UPL SFY2021 Combined OUT'!$A:$F,6,FALSE),IFERROR(VLOOKUP(A13,'[1]SHOPP UPL SFY2021 Combined INP'!$A:$F,6,FALSE),VLOOKUP(A13,'[1]DRG UPL SFY21 Combined'!$A:$J,10,FALSE)))</f>
        <v>Yes</v>
      </c>
      <c r="D13" s="18">
        <v>1</v>
      </c>
      <c r="E13" s="20">
        <v>1</v>
      </c>
      <c r="F13" s="21">
        <f t="shared" si="0"/>
        <v>6140858.8956426652</v>
      </c>
      <c r="G13" s="22">
        <f>IF(C13="No",(VLOOKUP($A13,'[1]Cost UPL SFY21 Combine'!$B:$AS,17,FALSE)+VLOOKUP($A13,'[1]Cost UPL SFY21 Combine'!$B:$AS,18,FALSE)+VLOOKUP($A13,'[1]Cost UPL SFY21 Combine'!$B:$AS,19,FALSE)),(VLOOKUP($A13,'[1]DRG UPL SFY21 Combined'!$A:$AZ,18,FALSE)+VLOOKUP($A13,'[1]DRG UPL SFY21 Combined'!$A:$AZ,19,FALSE)+VLOOKUP($A13,'[1]DRG UPL SFY21 Combined'!$A:$AZ,22,FALSE)))</f>
        <v>2223275.41</v>
      </c>
      <c r="H13" s="22"/>
      <c r="I13" s="22">
        <f t="shared" si="7"/>
        <v>2223275.41</v>
      </c>
      <c r="J13" s="23">
        <f>IF($E13=1,I13/$I$93,0)</f>
        <v>4.1463281089048265E-3</v>
      </c>
      <c r="K13" s="22">
        <f>IFERROR(IF(C13="No",(VLOOKUP($A13,'[1]SHOPP UPL SFY2021 Combined INP'!$A:$AL,36,FALSE)),VLOOKUP($A13,'[1]DRG UPL SFY21 Combined'!$A:$AW,48,FALSE)),0)</f>
        <v>2247593.1862869579</v>
      </c>
      <c r="L13" s="22">
        <f>IF($E13=1,ROUND($J13*(L$96+L$97),0),0)</f>
        <v>1887772</v>
      </c>
      <c r="M13" s="22">
        <f>(IFERROR(VLOOKUP($A13,'[1]CAH 101% of cost'!$A$3:$BJ$44,48,FALSE),0))</f>
        <v>0</v>
      </c>
      <c r="N13" s="22">
        <f t="shared" si="8"/>
        <v>1887772</v>
      </c>
      <c r="O13" s="22">
        <v>441695.71</v>
      </c>
      <c r="P13" s="22">
        <f t="shared" si="1"/>
        <v>445514.19</v>
      </c>
      <c r="Q13" s="22">
        <f t="shared" si="2"/>
        <v>475761.48</v>
      </c>
      <c r="R13" s="22">
        <f t="shared" si="3"/>
        <v>471943</v>
      </c>
      <c r="S13" s="22">
        <f t="shared" si="3"/>
        <v>471943</v>
      </c>
      <c r="T13" s="22">
        <f t="shared" si="4"/>
        <v>26428.81</v>
      </c>
      <c r="U13" s="22">
        <f t="shared" si="5"/>
        <v>359821.18628695793</v>
      </c>
      <c r="V13" s="22"/>
      <c r="W13" s="22">
        <f>IFERROR(VLOOKUP($A13,'[1]Cost UPL SFY21 Combine'!$B:$AG,31,FALSE),0)+IFERROR(VLOOKUP($A13,'[1]Cost UPL SFY21 Combine'!$B:$AG,32,FALSE),0)</f>
        <v>3917583.4856426651</v>
      </c>
      <c r="X13" s="23">
        <f>IF($E13=1,W13/$W$93,0)</f>
        <v>1.2310931295808927E-2</v>
      </c>
      <c r="Y13" s="22">
        <f>IFERROR(VLOOKUP($A13,'[1]SHOPP UPL SFY2021 Combined OUT'!$A:$AH,33,FALSE),0)</f>
        <v>1359522.1387399426</v>
      </c>
      <c r="Z13" s="24">
        <f>IF($E13=1,ROUND($X13*(Z$96+Z$97),0),0)</f>
        <v>923521</v>
      </c>
      <c r="AA13" s="22">
        <f>(IFERROR(VLOOKUP(A13,'[1]CAH 101% of cost'!$A$3:$BP$44,64,FALSE),0))</f>
        <v>0</v>
      </c>
      <c r="AB13" s="22">
        <f t="shared" si="6"/>
        <v>923521</v>
      </c>
      <c r="AC13" s="22">
        <f>VLOOKUP(A13,'[2]2022 Hospital Access Payments'!$B$2:$H$70,6,FALSE)</f>
        <v>225341.3</v>
      </c>
      <c r="AD13" s="22">
        <f t="shared" si="9"/>
        <v>217950.96</v>
      </c>
      <c r="AE13" s="22">
        <f t="shared" si="10"/>
        <v>223489.91</v>
      </c>
      <c r="AF13" s="22">
        <f t="shared" si="11"/>
        <v>230880.25</v>
      </c>
      <c r="AG13" s="22">
        <f t="shared" si="11"/>
        <v>230880.25</v>
      </c>
      <c r="AH13" s="22">
        <f t="shared" si="12"/>
        <v>12929.29</v>
      </c>
      <c r="AI13" s="22">
        <f t="shared" si="13"/>
        <v>436001.13873994257</v>
      </c>
      <c r="AJ13" s="26"/>
      <c r="AO13" s="26"/>
    </row>
    <row r="14" spans="1:41" x14ac:dyDescent="0.3">
      <c r="A14" s="109" t="s">
        <v>52</v>
      </c>
      <c r="B14" s="18" t="s">
        <v>53</v>
      </c>
      <c r="C14" s="19" t="str">
        <f>IFERROR(VLOOKUP(A14,'[1]SHOPP UPL SFY2021 Combined OUT'!$A:$F,6,FALSE),IFERROR(VLOOKUP(A14,'[1]SHOPP UPL SFY2021 Combined INP'!$A:$F,6,FALSE),VLOOKUP(A14,'[1]DRG UPL SFY21 Combined'!$A:$J,10,FALSE)))</f>
        <v>Yes</v>
      </c>
      <c r="D14" s="18">
        <v>1</v>
      </c>
      <c r="E14" s="20">
        <v>1</v>
      </c>
      <c r="F14" s="21">
        <f t="shared" si="0"/>
        <v>2111530.2399999979</v>
      </c>
      <c r="G14" s="22">
        <f>IF(C14="No",(VLOOKUP($A14,'[1]Cost UPL SFY21 Combine'!$B:$AS,17,FALSE)+VLOOKUP($A14,'[1]Cost UPL SFY21 Combine'!$B:$AS,18,FALSE)+VLOOKUP($A14,'[1]Cost UPL SFY21 Combine'!$B:$AS,19,FALSE)),(VLOOKUP($A14,'[1]DRG UPL SFY21 Combined'!$A:$AZ,18,FALSE)+VLOOKUP($A14,'[1]DRG UPL SFY21 Combined'!$A:$AZ,19,FALSE)+VLOOKUP($A14,'[1]DRG UPL SFY21 Combined'!$A:$AZ,22,FALSE)))</f>
        <v>520130.56</v>
      </c>
      <c r="H14" s="22"/>
      <c r="I14" s="22">
        <f t="shared" si="7"/>
        <v>520130.56</v>
      </c>
      <c r="J14" s="23">
        <f>IF($E14=1,I14/$I$93,0)</f>
        <v>9.7002465440321152E-4</v>
      </c>
      <c r="K14" s="22">
        <f>IFERROR(IF(C14="No",(VLOOKUP($A14,'[1]SHOPP UPL SFY2021 Combined INP'!$A:$AL,36,FALSE)),VLOOKUP($A14,'[1]DRG UPL SFY21 Combined'!$A:$AW,48,FALSE)),0)</f>
        <v>793933.32572821155</v>
      </c>
      <c r="L14" s="22">
        <f>IF($E14=1,ROUND($J14*(L$96+L$97),0),0)</f>
        <v>441640</v>
      </c>
      <c r="M14" s="22">
        <f>(IFERROR(VLOOKUP($A14,'[1]CAH 101% of cost'!$A$3:$BJ$44,48,FALSE),0))</f>
        <v>0</v>
      </c>
      <c r="N14" s="22">
        <f t="shared" si="8"/>
        <v>441640</v>
      </c>
      <c r="O14" s="22">
        <v>102869.33</v>
      </c>
      <c r="P14" s="22">
        <f t="shared" si="1"/>
        <v>104227.04</v>
      </c>
      <c r="Q14" s="22">
        <f t="shared" si="2"/>
        <v>111767.70999999999</v>
      </c>
      <c r="R14" s="22">
        <f t="shared" si="3"/>
        <v>110410</v>
      </c>
      <c r="S14" s="22">
        <f t="shared" si="3"/>
        <v>110410</v>
      </c>
      <c r="T14" s="22">
        <f t="shared" si="4"/>
        <v>6182.96</v>
      </c>
      <c r="U14" s="22">
        <f t="shared" si="5"/>
        <v>352293.32572821155</v>
      </c>
      <c r="V14" s="22"/>
      <c r="W14" s="22">
        <f>IFERROR(VLOOKUP($A14,'[1]Cost UPL SFY21 Combine'!$B:$AG,31,FALSE),0)+IFERROR(VLOOKUP($A14,'[1]Cost UPL SFY21 Combine'!$B:$AG,32,FALSE),0)</f>
        <v>1591399.6799999981</v>
      </c>
      <c r="X14" s="23">
        <f>IF($E14=1,W14/$W$93,0)</f>
        <v>5.0009431059867653E-3</v>
      </c>
      <c r="Y14" s="22">
        <f>IFERROR(VLOOKUP($A14,'[1]SHOPP UPL SFY2021 Combined OUT'!$A:$AH,33,FALSE),0)</f>
        <v>1610369.6757982529</v>
      </c>
      <c r="Z14" s="24">
        <f>IF($E14=1,ROUND($X14*(Z$96+Z$97),0),0)</f>
        <v>375152</v>
      </c>
      <c r="AA14" s="22">
        <f>(IFERROR(VLOOKUP(A14,'[1]CAH 101% of cost'!$A$3:$BP$44,64,FALSE),0))</f>
        <v>0</v>
      </c>
      <c r="AB14" s="22">
        <f t="shared" si="6"/>
        <v>375152</v>
      </c>
      <c r="AC14" s="22">
        <f>VLOOKUP(A14,'[2]2022 Hospital Access Payments'!$B$2:$H$70,6,FALSE)</f>
        <v>92028.67</v>
      </c>
      <c r="AD14" s="22">
        <f t="shared" si="9"/>
        <v>88535.87</v>
      </c>
      <c r="AE14" s="22">
        <f t="shared" si="10"/>
        <v>90295.2</v>
      </c>
      <c r="AF14" s="22">
        <f t="shared" si="11"/>
        <v>93788</v>
      </c>
      <c r="AG14" s="22">
        <f t="shared" si="11"/>
        <v>93788</v>
      </c>
      <c r="AH14" s="22">
        <f t="shared" si="12"/>
        <v>5252.13</v>
      </c>
      <c r="AI14" s="22">
        <f t="shared" si="13"/>
        <v>1235217.6757982529</v>
      </c>
      <c r="AJ14" s="26"/>
      <c r="AO14" s="26"/>
    </row>
    <row r="15" spans="1:41" x14ac:dyDescent="0.3">
      <c r="A15" s="108" t="s">
        <v>54</v>
      </c>
      <c r="B15" s="18" t="s">
        <v>55</v>
      </c>
      <c r="C15" s="19" t="str">
        <f>IFERROR(VLOOKUP(A15,'[1]SHOPP UPL SFY2021 Combined OUT'!$A:$F,6,FALSE),IFERROR(VLOOKUP(A15,'[1]SHOPP UPL SFY2021 Combined INP'!$A:$F,6,FALSE),VLOOKUP(A15,'[1]DRG UPL SFY21 Combined'!$A:$J,10,FALSE)))</f>
        <v>Yes</v>
      </c>
      <c r="D15" s="18">
        <v>1</v>
      </c>
      <c r="E15" s="20">
        <v>1</v>
      </c>
      <c r="F15" s="21">
        <f t="shared" si="0"/>
        <v>7567127.8600000106</v>
      </c>
      <c r="G15" s="22">
        <f>IF(C15="No",(VLOOKUP($A15,'[1]Cost UPL SFY21 Combine'!$B:$AS,17,FALSE)+VLOOKUP($A15,'[1]Cost UPL SFY21 Combine'!$B:$AS,18,FALSE)+VLOOKUP($A15,'[1]Cost UPL SFY21 Combine'!$B:$AS,19,FALSE)),(VLOOKUP($A15,'[1]DRG UPL SFY21 Combined'!$A:$AZ,18,FALSE)+VLOOKUP($A15,'[1]DRG UPL SFY21 Combined'!$A:$AZ,19,FALSE)+VLOOKUP($A15,'[1]DRG UPL SFY21 Combined'!$A:$AZ,22,FALSE)))</f>
        <v>3480533.3100000005</v>
      </c>
      <c r="H15" s="22"/>
      <c r="I15" s="22">
        <f t="shared" si="7"/>
        <v>3480533.3100000005</v>
      </c>
      <c r="J15" s="23">
        <f>IF($E15=1,I15/$I$93,0)</f>
        <v>6.4910685524257918E-3</v>
      </c>
      <c r="K15" s="22">
        <f>IFERROR(IF(C15="No",(VLOOKUP($A15,'[1]SHOPP UPL SFY2021 Combined INP'!$A:$AL,36,FALSE)),VLOOKUP($A15,'[1]DRG UPL SFY21 Combined'!$A:$AW,48,FALSE)),0)</f>
        <v>4617475.7056653984</v>
      </c>
      <c r="L15" s="22">
        <f>IF($E15=1,ROUND($J15*(L$96+L$97),0),0)</f>
        <v>2955303</v>
      </c>
      <c r="M15" s="22">
        <f>(IFERROR(VLOOKUP($A15,'[1]CAH 101% of cost'!$A$3:$BJ$44,48,FALSE),0))</f>
        <v>0</v>
      </c>
      <c r="N15" s="22">
        <f t="shared" si="8"/>
        <v>2955303</v>
      </c>
      <c r="O15" s="22">
        <v>700105.8</v>
      </c>
      <c r="P15" s="22">
        <f t="shared" si="1"/>
        <v>697451.51</v>
      </c>
      <c r="Q15" s="22">
        <f t="shared" si="2"/>
        <v>736171.46</v>
      </c>
      <c r="R15" s="22">
        <f t="shared" si="3"/>
        <v>738825.75</v>
      </c>
      <c r="S15" s="22">
        <f t="shared" si="3"/>
        <v>738825.75</v>
      </c>
      <c r="T15" s="22">
        <f t="shared" si="4"/>
        <v>41374.239999999998</v>
      </c>
      <c r="U15" s="22">
        <f t="shared" si="5"/>
        <v>1662172.7056653984</v>
      </c>
      <c r="V15" s="22"/>
      <c r="W15" s="22">
        <f>IFERROR(VLOOKUP($A15,'[1]Cost UPL SFY21 Combine'!$B:$AG,31,FALSE),0)+IFERROR(VLOOKUP($A15,'[1]Cost UPL SFY21 Combine'!$B:$AG,32,FALSE),0)</f>
        <v>4086594.5500000101</v>
      </c>
      <c r="X15" s="23">
        <f>IF($E15=1,W15/$W$93,0)</f>
        <v>1.2842045338218028E-2</v>
      </c>
      <c r="Y15" s="22">
        <f>IFERROR(VLOOKUP($A15,'[1]SHOPP UPL SFY2021 Combined OUT'!$A:$AH,33,FALSE),0)</f>
        <v>1816182.1544585978</v>
      </c>
      <c r="Z15" s="24">
        <f>IF($E15=1,ROUND($X15*(Z$96+Z$97),0),0)</f>
        <v>963363</v>
      </c>
      <c r="AA15" s="22">
        <f>(IFERROR(VLOOKUP(A15,'[1]CAH 101% of cost'!$A$3:$BP$44,64,FALSE),0))</f>
        <v>0</v>
      </c>
      <c r="AB15" s="22">
        <f t="shared" si="6"/>
        <v>963363</v>
      </c>
      <c r="AC15" s="22">
        <f>VLOOKUP(A15,'[2]2022 Hospital Access Payments'!$B$2:$H$70,6,FALSE)</f>
        <v>226195.62</v>
      </c>
      <c r="AD15" s="22">
        <f t="shared" si="9"/>
        <v>227353.67</v>
      </c>
      <c r="AE15" s="22">
        <f t="shared" si="10"/>
        <v>241998.80000000002</v>
      </c>
      <c r="AF15" s="22">
        <f t="shared" si="11"/>
        <v>240840.75</v>
      </c>
      <c r="AG15" s="22">
        <f t="shared" si="11"/>
        <v>240840.75</v>
      </c>
      <c r="AH15" s="22">
        <f t="shared" si="12"/>
        <v>13487.08</v>
      </c>
      <c r="AI15" s="22">
        <f t="shared" si="13"/>
        <v>852819.15445859777</v>
      </c>
      <c r="AJ15" s="26"/>
      <c r="AO15" s="26"/>
    </row>
    <row r="16" spans="1:41" x14ac:dyDescent="0.3">
      <c r="A16" s="109" t="s">
        <v>56</v>
      </c>
      <c r="B16" s="18" t="s">
        <v>57</v>
      </c>
      <c r="C16" s="19" t="str">
        <f>IFERROR(VLOOKUP(A16,'[1]SHOPP UPL SFY2021 Combined OUT'!$A:$F,6,FALSE),IFERROR(VLOOKUP(A16,'[1]SHOPP UPL SFY2021 Combined INP'!$A:$F,6,FALSE),VLOOKUP(A16,'[1]DRG UPL SFY21 Combined'!$A:$J,10,FALSE)))</f>
        <v>Yes</v>
      </c>
      <c r="D16" s="18">
        <v>1</v>
      </c>
      <c r="E16" s="20">
        <v>1</v>
      </c>
      <c r="F16" s="21">
        <f t="shared" si="0"/>
        <v>2283674.5199999991</v>
      </c>
      <c r="G16" s="22">
        <f>IF(C16="No",(VLOOKUP($A16,'[1]Cost UPL SFY21 Combine'!$B:$AS,17,FALSE)+VLOOKUP($A16,'[1]Cost UPL SFY21 Combine'!$B:$AS,18,FALSE)+VLOOKUP($A16,'[1]Cost UPL SFY21 Combine'!$B:$AS,19,FALSE)),(VLOOKUP($A16,'[1]DRG UPL SFY21 Combined'!$A:$AZ,18,FALSE)+VLOOKUP($A16,'[1]DRG UPL SFY21 Combined'!$A:$AZ,19,FALSE)+VLOOKUP($A16,'[1]DRG UPL SFY21 Combined'!$A:$AZ,22,FALSE)))</f>
        <v>521930.33</v>
      </c>
      <c r="H16" s="22"/>
      <c r="I16" s="22">
        <f t="shared" si="7"/>
        <v>521930.33</v>
      </c>
      <c r="J16" s="23">
        <f>IF($E16=1,I16/$I$93,0)</f>
        <v>9.7338116026253897E-4</v>
      </c>
      <c r="K16" s="22">
        <f>IFERROR(IF(C16="No",(VLOOKUP($A16,'[1]SHOPP UPL SFY2021 Combined INP'!$A:$AL,36,FALSE)),VLOOKUP($A16,'[1]DRG UPL SFY21 Combined'!$A:$AW,48,FALSE)),0)</f>
        <v>712426.48861489212</v>
      </c>
      <c r="L16" s="22">
        <f>IF($E16=1,ROUND($J16*(L$96+L$97),0),0)</f>
        <v>443168</v>
      </c>
      <c r="M16" s="22">
        <f>(IFERROR(VLOOKUP($A16,'[1]CAH 101% of cost'!$A$3:$BJ$44,48,FALSE),0))</f>
        <v>0</v>
      </c>
      <c r="N16" s="22">
        <f t="shared" si="8"/>
        <v>443168</v>
      </c>
      <c r="O16" s="22">
        <v>101028.3</v>
      </c>
      <c r="P16" s="22">
        <f t="shared" si="1"/>
        <v>104587.65</v>
      </c>
      <c r="Q16" s="22">
        <f t="shared" si="2"/>
        <v>114351.34999999999</v>
      </c>
      <c r="R16" s="22">
        <f t="shared" si="3"/>
        <v>110792</v>
      </c>
      <c r="S16" s="22">
        <f t="shared" si="3"/>
        <v>110792</v>
      </c>
      <c r="T16" s="22">
        <f t="shared" si="4"/>
        <v>6204.35</v>
      </c>
      <c r="U16" s="22">
        <f t="shared" si="5"/>
        <v>269258.48861489212</v>
      </c>
      <c r="V16" s="22"/>
      <c r="W16" s="22">
        <f>IFERROR(VLOOKUP($A16,'[1]Cost UPL SFY21 Combine'!$B:$AG,31,FALSE),0)+IFERROR(VLOOKUP($A16,'[1]Cost UPL SFY21 Combine'!$B:$AG,32,FALSE),0)</f>
        <v>1761744.189999999</v>
      </c>
      <c r="X16" s="23">
        <f>IF($E16=1,W16/$W$93,0)</f>
        <v>5.5362474758652355E-3</v>
      </c>
      <c r="Y16" s="22">
        <f>IFERROR(VLOOKUP($A16,'[1]SHOPP UPL SFY2021 Combined OUT'!$A:$AH,33,FALSE),0)</f>
        <v>1299128.9601503469</v>
      </c>
      <c r="Z16" s="24">
        <f>IF($E16=1,ROUND($X16*(Z$96+Z$97),0),0)</f>
        <v>415309</v>
      </c>
      <c r="AA16" s="22">
        <f>(IFERROR(VLOOKUP(A16,'[1]CAH 101% of cost'!$A$3:$BP$44,64,FALSE),0))</f>
        <v>0</v>
      </c>
      <c r="AB16" s="22">
        <f t="shared" si="6"/>
        <v>415309</v>
      </c>
      <c r="AC16" s="22">
        <f>VLOOKUP(A16,'[2]2022 Hospital Access Payments'!$B$2:$H$70,6,FALSE)</f>
        <v>99018.28</v>
      </c>
      <c r="AD16" s="22">
        <f t="shared" si="9"/>
        <v>98012.92</v>
      </c>
      <c r="AE16" s="22">
        <f t="shared" si="10"/>
        <v>102821.89</v>
      </c>
      <c r="AF16" s="22">
        <f t="shared" si="11"/>
        <v>103827.25</v>
      </c>
      <c r="AG16" s="22">
        <f t="shared" si="11"/>
        <v>103827.25</v>
      </c>
      <c r="AH16" s="22">
        <f t="shared" si="12"/>
        <v>5814.33</v>
      </c>
      <c r="AI16" s="22">
        <f t="shared" si="13"/>
        <v>883819.96015034686</v>
      </c>
      <c r="AJ16" s="26"/>
      <c r="AO16" s="26"/>
    </row>
    <row r="17" spans="1:42" x14ac:dyDescent="0.3">
      <c r="A17" s="109" t="s">
        <v>58</v>
      </c>
      <c r="B17" s="38" t="s">
        <v>59</v>
      </c>
      <c r="C17" s="19" t="str">
        <f>IFERROR(VLOOKUP(A17,'[1]SHOPP UPL SFY2021 Combined OUT'!$A:$F,6,FALSE),IFERROR(VLOOKUP(A17,'[1]SHOPP UPL SFY2021 Combined INP'!$A:$F,6,FALSE),VLOOKUP(A17,'[1]DRG UPL SFY21 Combined'!$A:$J,10,FALSE)))</f>
        <v>Yes</v>
      </c>
      <c r="D17" s="38">
        <v>1</v>
      </c>
      <c r="E17" s="20">
        <v>1</v>
      </c>
      <c r="F17" s="21">
        <f t="shared" si="0"/>
        <v>71092421.980000049</v>
      </c>
      <c r="G17" s="22">
        <f>IF(C17="No",(VLOOKUP($A17,'[1]Cost UPL SFY21 Combine'!$B:$AS,17,FALSE)+VLOOKUP($A17,'[1]Cost UPL SFY21 Combine'!$B:$AS,18,FALSE)+VLOOKUP($A17,'[1]Cost UPL SFY21 Combine'!$B:$AS,19,FALSE)),(VLOOKUP($A17,'[1]DRG UPL SFY21 Combined'!$A:$AZ,18,FALSE)+VLOOKUP($A17,'[1]DRG UPL SFY21 Combined'!$A:$AZ,19,FALSE)+VLOOKUP($A17,'[1]DRG UPL SFY21 Combined'!$A:$AZ,22,FALSE)))</f>
        <v>52963384.839999996</v>
      </c>
      <c r="H17" s="22"/>
      <c r="I17" s="22">
        <f t="shared" si="7"/>
        <v>52963384.839999996</v>
      </c>
      <c r="J17" s="23">
        <f>IF($E17=1,I17/$I$93,0)</f>
        <v>9.8774794304424818E-2</v>
      </c>
      <c r="K17" s="22">
        <f>IFERROR(IF(C17="No",(VLOOKUP($A17,'[1]SHOPP UPL SFY2021 Combined INP'!$A:$AL,36,FALSE)),VLOOKUP($A17,'[1]DRG UPL SFY21 Combined'!$A:$AW,48,FALSE)),0)</f>
        <v>51424848.777772062</v>
      </c>
      <c r="L17" s="22">
        <f>IF($E17=1,ROUND($J17*(L$96+L$97),0),0)</f>
        <v>44970941</v>
      </c>
      <c r="M17" s="22">
        <f>(IFERROR(VLOOKUP($A17,'[1]CAH 101% of cost'!$A$3:$BJ$44,48,FALSE),0))</f>
        <v>0</v>
      </c>
      <c r="N17" s="22">
        <f t="shared" si="8"/>
        <v>44970941</v>
      </c>
      <c r="O17" s="22">
        <v>10794899.359999999</v>
      </c>
      <c r="P17" s="22">
        <f t="shared" si="1"/>
        <v>10613142.08</v>
      </c>
      <c r="Q17" s="22">
        <f t="shared" si="2"/>
        <v>11060977.970000001</v>
      </c>
      <c r="R17" s="22">
        <f t="shared" si="3"/>
        <v>11242735.25</v>
      </c>
      <c r="S17" s="22">
        <f t="shared" si="3"/>
        <v>11242735.25</v>
      </c>
      <c r="T17" s="22">
        <f t="shared" si="4"/>
        <v>629593.17000000004</v>
      </c>
      <c r="U17" s="22">
        <f t="shared" si="5"/>
        <v>6453907.7777720615</v>
      </c>
      <c r="V17" s="22"/>
      <c r="W17" s="22">
        <f>IFERROR(VLOOKUP($A17,'[1]Cost UPL SFY21 Combine'!$B:$AG,31,FALSE),0)+IFERROR(VLOOKUP($A17,'[1]Cost UPL SFY21 Combine'!$B:$AG,32,FALSE),0)</f>
        <v>18129037.14000006</v>
      </c>
      <c r="X17" s="23">
        <f>IF($E17=1,W17/$W$93,0)</f>
        <v>5.6970153031236904E-2</v>
      </c>
      <c r="Y17" s="22">
        <f>IFERROR(VLOOKUP($A17,'[1]SHOPP UPL SFY2021 Combined OUT'!$A:$AH,33,FALSE),0)</f>
        <v>6581223.7093004454</v>
      </c>
      <c r="Z17" s="24">
        <f>IF($E17=1,ROUND($X17*(Z$96+Z$97),0),0)</f>
        <v>4273692</v>
      </c>
      <c r="AA17" s="22">
        <f>(IFERROR(VLOOKUP(A17,'[1]CAH 101% of cost'!$A$3:$BP$44,64,FALSE),0))</f>
        <v>0</v>
      </c>
      <c r="AB17" s="22">
        <f t="shared" si="6"/>
        <v>4273692</v>
      </c>
      <c r="AC17" s="22">
        <f>VLOOKUP(A17,'[2]2022 Hospital Access Payments'!$B$2:$H$70,6,FALSE)</f>
        <v>989899.17</v>
      </c>
      <c r="AD17" s="22">
        <f t="shared" si="9"/>
        <v>1008591.31</v>
      </c>
      <c r="AE17" s="22">
        <f t="shared" si="10"/>
        <v>1087115.1400000001</v>
      </c>
      <c r="AF17" s="22">
        <f t="shared" si="11"/>
        <v>1068423</v>
      </c>
      <c r="AG17" s="22">
        <f t="shared" si="11"/>
        <v>1068423</v>
      </c>
      <c r="AH17" s="22">
        <f t="shared" si="12"/>
        <v>59831.69</v>
      </c>
      <c r="AI17" s="22">
        <f t="shared" si="13"/>
        <v>2307531.7093004454</v>
      </c>
      <c r="AJ17" s="26"/>
      <c r="AO17" s="26"/>
    </row>
    <row r="18" spans="1:42" s="39" customFormat="1" x14ac:dyDescent="0.3">
      <c r="A18" s="109" t="s">
        <v>60</v>
      </c>
      <c r="B18" s="18" t="s">
        <v>61</v>
      </c>
      <c r="C18" s="19" t="str">
        <f>IFERROR(VLOOKUP(A18,'[1]SHOPP UPL SFY2021 Combined OUT'!$A:$F,6,FALSE),IFERROR(VLOOKUP(A18,'[1]SHOPP UPL SFY2021 Combined INP'!$A:$F,6,FALSE),VLOOKUP(A18,'[1]DRG UPL SFY21 Combined'!$A:$J,10,FALSE)))</f>
        <v>Yes</v>
      </c>
      <c r="D18" s="18">
        <v>1</v>
      </c>
      <c r="E18" s="20">
        <v>1</v>
      </c>
      <c r="F18" s="21">
        <f t="shared" si="0"/>
        <v>83291321.200000182</v>
      </c>
      <c r="G18" s="22">
        <f>IF(C18="No",(VLOOKUP($A18,'[1]Cost UPL SFY21 Combine'!$B:$AS,17,FALSE)+VLOOKUP($A18,'[1]Cost UPL SFY21 Combine'!$B:$AS,18,FALSE)+VLOOKUP($A18,'[1]Cost UPL SFY21 Combine'!$B:$AS,19,FALSE)),(VLOOKUP($A18,'[1]DRG UPL SFY21 Combined'!$A:$AZ,18,FALSE)+VLOOKUP($A18,'[1]DRG UPL SFY21 Combined'!$A:$AZ,19,FALSE)+VLOOKUP($A18,'[1]DRG UPL SFY21 Combined'!$A:$AZ,22,FALSE)))</f>
        <v>58135011.089999989</v>
      </c>
      <c r="H18" s="22"/>
      <c r="I18" s="22">
        <f t="shared" si="7"/>
        <v>58135011.089999989</v>
      </c>
      <c r="J18" s="23">
        <f>IF($E18=1,I18/$I$93,0)</f>
        <v>0.1084196899357425</v>
      </c>
      <c r="K18" s="22">
        <f>IFERROR(IF(C18="No",(VLOOKUP($A18,'[1]SHOPP UPL SFY2021 Combined INP'!$A:$AL,36,FALSE)),VLOOKUP($A18,'[1]DRG UPL SFY21 Combined'!$A:$AW,48,FALSE)),0)</f>
        <v>46536052.957512312</v>
      </c>
      <c r="L18" s="22">
        <f>IF($E18=1,ROUND($J18*(L$96+L$97),0),0)</f>
        <v>49362142</v>
      </c>
      <c r="M18" s="22">
        <f>(IFERROR(VLOOKUP($A18,'[1]CAH 101% of cost'!$A$3:$BJ$44,48,FALSE),0))</f>
        <v>0</v>
      </c>
      <c r="N18" s="22">
        <f t="shared" si="8"/>
        <v>49362142</v>
      </c>
      <c r="O18" s="22">
        <v>11745472.440000001</v>
      </c>
      <c r="P18" s="22">
        <f t="shared" si="1"/>
        <v>11649465.51</v>
      </c>
      <c r="Q18" s="22">
        <f t="shared" si="2"/>
        <v>12244528.569999998</v>
      </c>
      <c r="R18" s="22">
        <f t="shared" si="3"/>
        <v>12340535.5</v>
      </c>
      <c r="S18" s="22">
        <f t="shared" si="3"/>
        <v>12340535.5</v>
      </c>
      <c r="T18" s="22">
        <f t="shared" si="4"/>
        <v>691069.99</v>
      </c>
      <c r="U18" s="22">
        <f t="shared" si="5"/>
        <v>-2826089.0424876884</v>
      </c>
      <c r="V18" s="22"/>
      <c r="W18" s="22">
        <f>IFERROR(VLOOKUP($A18,'[1]Cost UPL SFY21 Combine'!$B:$AG,31,FALSE),0)+IFERROR(VLOOKUP($A18,'[1]Cost UPL SFY21 Combine'!$B:$AG,32,FALSE),0)</f>
        <v>25156310.110000197</v>
      </c>
      <c r="X18" s="23">
        <f>IF($E18=1,W18/$W$93,0)</f>
        <v>7.905322415087504E-2</v>
      </c>
      <c r="Y18" s="22">
        <f>IFERROR(VLOOKUP($A18,'[1]SHOPP UPL SFY2021 Combined OUT'!$A:$AH,33,FALSE),0)</f>
        <v>9794714.0298384912</v>
      </c>
      <c r="Z18" s="24">
        <f>IF($E18=1,ROUND($X18*(Z$96+Z$97),0),0)</f>
        <v>5930283</v>
      </c>
      <c r="AA18" s="22">
        <f>(IFERROR(VLOOKUP(A18,'[1]CAH 101% of cost'!$A$3:$BP$44,64,FALSE),0))</f>
        <v>0</v>
      </c>
      <c r="AB18" s="22">
        <f t="shared" si="6"/>
        <v>5930283</v>
      </c>
      <c r="AC18" s="22">
        <f>VLOOKUP(A18,'[2]2022 Hospital Access Payments'!$B$2:$H$70,6,FALSE)</f>
        <v>1422487.64</v>
      </c>
      <c r="AD18" s="22">
        <f t="shared" si="9"/>
        <v>1399546.79</v>
      </c>
      <c r="AE18" s="22">
        <f t="shared" si="10"/>
        <v>1459629.9000000001</v>
      </c>
      <c r="AF18" s="22">
        <f t="shared" si="11"/>
        <v>1482570.75</v>
      </c>
      <c r="AG18" s="22">
        <f t="shared" si="11"/>
        <v>1482570.75</v>
      </c>
      <c r="AH18" s="22">
        <f t="shared" si="12"/>
        <v>83023.960000000006</v>
      </c>
      <c r="AI18" s="22">
        <f t="shared" si="13"/>
        <v>3864431.0298384912</v>
      </c>
      <c r="AJ18" s="26"/>
      <c r="AK18" s="26"/>
      <c r="AL18" s="26"/>
      <c r="AM18" s="25"/>
      <c r="AN18" s="25"/>
      <c r="AO18" s="26"/>
      <c r="AP18" s="25"/>
    </row>
    <row r="19" spans="1:42" x14ac:dyDescent="0.3">
      <c r="A19" s="109" t="s">
        <v>62</v>
      </c>
      <c r="B19" s="18" t="s">
        <v>63</v>
      </c>
      <c r="C19" s="19" t="str">
        <f>IFERROR(VLOOKUP(A19,'[1]SHOPP UPL SFY2021 Combined OUT'!$A:$F,6,FALSE),IFERROR(VLOOKUP(A19,'[1]SHOPP UPL SFY2021 Combined INP'!$A:$F,6,FALSE),VLOOKUP(A19,'[1]DRG UPL SFY21 Combined'!$A:$J,10,FALSE)))</f>
        <v>Yes</v>
      </c>
      <c r="D19" s="18">
        <v>1</v>
      </c>
      <c r="E19" s="20">
        <v>1</v>
      </c>
      <c r="F19" s="21">
        <f t="shared" si="0"/>
        <v>9109221.9800000153</v>
      </c>
      <c r="G19" s="22">
        <f>IF(C19="No",(VLOOKUP($A19,'[1]Cost UPL SFY21 Combine'!$B:$AS,17,FALSE)+VLOOKUP($A19,'[1]Cost UPL SFY21 Combine'!$B:$AS,18,FALSE)+VLOOKUP($A19,'[1]Cost UPL SFY21 Combine'!$B:$AS,19,FALSE)),(VLOOKUP($A19,'[1]DRG UPL SFY21 Combined'!$A:$AZ,18,FALSE)+VLOOKUP($A19,'[1]DRG UPL SFY21 Combined'!$A:$AZ,19,FALSE)+VLOOKUP($A19,'[1]DRG UPL SFY21 Combined'!$A:$AZ,22,FALSE)))</f>
        <v>3918185.5000000005</v>
      </c>
      <c r="H19" s="22"/>
      <c r="I19" s="22">
        <f t="shared" si="7"/>
        <v>3918185.5000000005</v>
      </c>
      <c r="J19" s="23">
        <f>IF($E19=1,I19/$I$93,0)</f>
        <v>7.3072740342831908E-3</v>
      </c>
      <c r="K19" s="22">
        <f>IFERROR(IF(C19="No",(VLOOKUP($A19,'[1]SHOPP UPL SFY2021 Combined INP'!$A:$AL,36,FALSE)),VLOOKUP($A19,'[1]DRG UPL SFY21 Combined'!$A:$AW,48,FALSE)),0)</f>
        <v>8217946.6831893101</v>
      </c>
      <c r="L19" s="22">
        <f>IF($E19=1,ROUND($J19*(L$96+L$97),0),0)</f>
        <v>3326911</v>
      </c>
      <c r="M19" s="22">
        <f>(IFERROR(VLOOKUP($A19,'[1]CAH 101% of cost'!$A$3:$BJ$44,48,FALSE),0))</f>
        <v>0</v>
      </c>
      <c r="N19" s="22">
        <f t="shared" si="8"/>
        <v>3326911</v>
      </c>
      <c r="O19" s="22">
        <v>793962.29</v>
      </c>
      <c r="P19" s="22">
        <f t="shared" si="1"/>
        <v>785151</v>
      </c>
      <c r="Q19" s="22">
        <f t="shared" si="2"/>
        <v>822916.46</v>
      </c>
      <c r="R19" s="22">
        <f t="shared" si="3"/>
        <v>831727.75</v>
      </c>
      <c r="S19" s="22">
        <f t="shared" si="3"/>
        <v>831727.75</v>
      </c>
      <c r="T19" s="22">
        <f t="shared" si="4"/>
        <v>46576.75</v>
      </c>
      <c r="U19" s="22">
        <f t="shared" si="5"/>
        <v>4891035.6831893101</v>
      </c>
      <c r="V19" s="22"/>
      <c r="W19" s="22">
        <f>IFERROR(VLOOKUP($A19,'[1]Cost UPL SFY21 Combine'!$B:$AG,31,FALSE),0)+IFERROR(VLOOKUP($A19,'[1]Cost UPL SFY21 Combine'!$B:$AG,32,FALSE),0)</f>
        <v>5191036.4800000153</v>
      </c>
      <c r="X19" s="23">
        <f>IF($E19=1,W19/$W$93,0)</f>
        <v>1.631273301348277E-2</v>
      </c>
      <c r="Y19" s="22">
        <f>IFERROR(VLOOKUP($A19,'[1]SHOPP UPL SFY2021 Combined OUT'!$A:$AH,33,FALSE),0)</f>
        <v>2433039.424084424</v>
      </c>
      <c r="Z19" s="24">
        <f>IF($E19=1,ROUND($X19*(Z$96+Z$97),0),0)</f>
        <v>1223722</v>
      </c>
      <c r="AA19" s="22">
        <f>(IFERROR(VLOOKUP(A19,'[1]CAH 101% of cost'!$A$3:$BP$44,64,FALSE),0))</f>
        <v>0</v>
      </c>
      <c r="AB19" s="22">
        <f t="shared" si="6"/>
        <v>1223722</v>
      </c>
      <c r="AC19" s="22">
        <f>VLOOKUP(A19,'[2]2022 Hospital Access Payments'!$B$2:$H$70,6,FALSE)</f>
        <v>283295.11</v>
      </c>
      <c r="AD19" s="22">
        <f t="shared" si="9"/>
        <v>288798.39</v>
      </c>
      <c r="AE19" s="22">
        <f t="shared" si="10"/>
        <v>311433.78000000003</v>
      </c>
      <c r="AF19" s="22">
        <f t="shared" si="11"/>
        <v>305930.5</v>
      </c>
      <c r="AG19" s="22">
        <f t="shared" si="11"/>
        <v>305930.5</v>
      </c>
      <c r="AH19" s="22">
        <f t="shared" si="12"/>
        <v>17132.11</v>
      </c>
      <c r="AI19" s="22">
        <f t="shared" si="13"/>
        <v>1209317.424084424</v>
      </c>
      <c r="AJ19" s="26"/>
      <c r="AO19" s="26"/>
    </row>
    <row r="20" spans="1:42" x14ac:dyDescent="0.3">
      <c r="A20" s="109" t="s">
        <v>64</v>
      </c>
      <c r="B20" s="18" t="s">
        <v>65</v>
      </c>
      <c r="C20" s="19" t="str">
        <f>IFERROR(VLOOKUP(A20,'[1]SHOPP UPL SFY2021 Combined OUT'!$A:$F,6,FALSE),IFERROR(VLOOKUP(A20,'[1]SHOPP UPL SFY2021 Combined INP'!$A:$F,6,FALSE),VLOOKUP(A20,'[1]DRG UPL SFY21 Combined'!$A:$J,10,FALSE)))</f>
        <v>Yes</v>
      </c>
      <c r="D20" s="18">
        <v>1</v>
      </c>
      <c r="E20" s="20">
        <v>1</v>
      </c>
      <c r="F20" s="21">
        <f t="shared" si="0"/>
        <v>9744985.0300000198</v>
      </c>
      <c r="G20" s="22">
        <f>IF(C20="No",(VLOOKUP($A20,'[1]Cost UPL SFY21 Combine'!$B:$AS,17,FALSE)+VLOOKUP($A20,'[1]Cost UPL SFY21 Combine'!$B:$AS,18,FALSE)+VLOOKUP($A20,'[1]Cost UPL SFY21 Combine'!$B:$AS,19,FALSE)),(VLOOKUP($A20,'[1]DRG UPL SFY21 Combined'!$A:$AZ,18,FALSE)+VLOOKUP($A20,'[1]DRG UPL SFY21 Combined'!$A:$AZ,19,FALSE)+VLOOKUP($A20,'[1]DRG UPL SFY21 Combined'!$A:$AZ,22,FALSE)))</f>
        <v>5155637.4399999995</v>
      </c>
      <c r="H20" s="22"/>
      <c r="I20" s="22">
        <f t="shared" si="7"/>
        <v>5155637.4399999995</v>
      </c>
      <c r="J20" s="23">
        <f>IF($E20=1,I20/$I$93,0)</f>
        <v>9.6150770798090722E-3</v>
      </c>
      <c r="K20" s="22">
        <f>IFERROR(IF(C20="No",(VLOOKUP($A20,'[1]SHOPP UPL SFY2021 Combined INP'!$A:$AL,36,FALSE)),VLOOKUP($A20,'[1]DRG UPL SFY21 Combined'!$A:$AW,48,FALSE)),0)</f>
        <v>6586556.8961688969</v>
      </c>
      <c r="L20" s="22">
        <f>IF($E20=1,ROUND($J20*(L$96+L$97),0),0)</f>
        <v>4377626</v>
      </c>
      <c r="M20" s="22">
        <f>(IFERROR(VLOOKUP($A20,'[1]CAH 101% of cost'!$A$3:$BJ$44,48,FALSE),0))</f>
        <v>0</v>
      </c>
      <c r="N20" s="22">
        <f t="shared" si="8"/>
        <v>4377626</v>
      </c>
      <c r="O20" s="22">
        <v>1046460.82</v>
      </c>
      <c r="P20" s="22">
        <f t="shared" si="1"/>
        <v>1033119.74</v>
      </c>
      <c r="Q20" s="22">
        <f t="shared" si="2"/>
        <v>1081065.42</v>
      </c>
      <c r="R20" s="22">
        <f t="shared" si="3"/>
        <v>1094406.5</v>
      </c>
      <c r="S20" s="22">
        <f t="shared" si="3"/>
        <v>1094406.5</v>
      </c>
      <c r="T20" s="22">
        <f t="shared" si="4"/>
        <v>61286.76</v>
      </c>
      <c r="U20" s="22">
        <f t="shared" si="5"/>
        <v>2208930.8961688969</v>
      </c>
      <c r="V20" s="22"/>
      <c r="W20" s="22">
        <f>IFERROR(VLOOKUP($A20,'[1]Cost UPL SFY21 Combine'!$B:$AG,31,FALSE),0)+IFERROR(VLOOKUP($A20,'[1]Cost UPL SFY21 Combine'!$B:$AG,32,FALSE),0)</f>
        <v>4589347.5900000203</v>
      </c>
      <c r="X20" s="23">
        <f>IF($E20=1,W20/$W$93,0)</f>
        <v>1.442193716614773E-2</v>
      </c>
      <c r="Y20" s="22">
        <f>IFERROR(VLOOKUP($A20,'[1]SHOPP UPL SFY2021 Combined OUT'!$A:$AH,33,FALSE),0)</f>
        <v>1156525.0757205011</v>
      </c>
      <c r="Z20" s="24">
        <f>IF($E20=1,ROUND($X20*(Z$96+Z$97),0),0)</f>
        <v>1081881</v>
      </c>
      <c r="AA20" s="22">
        <f>(IFERROR(VLOOKUP(A20,'[1]CAH 101% of cost'!$A$3:$BP$44,64,FALSE),0))</f>
        <v>0</v>
      </c>
      <c r="AB20" s="22">
        <f t="shared" si="6"/>
        <v>1081881</v>
      </c>
      <c r="AC20" s="22">
        <f>VLOOKUP(A20,'[2]2022 Hospital Access Payments'!$B$2:$H$70,6,FALSE)</f>
        <v>249928.48</v>
      </c>
      <c r="AD20" s="22">
        <f t="shared" si="9"/>
        <v>255323.92</v>
      </c>
      <c r="AE20" s="22">
        <f t="shared" si="10"/>
        <v>275865.69</v>
      </c>
      <c r="AF20" s="22">
        <f t="shared" si="11"/>
        <v>270470.25</v>
      </c>
      <c r="AG20" s="22">
        <f t="shared" si="11"/>
        <v>270470.25</v>
      </c>
      <c r="AH20" s="22">
        <f t="shared" si="12"/>
        <v>15146.33</v>
      </c>
      <c r="AI20" s="22">
        <f t="shared" si="13"/>
        <v>74644.075720501132</v>
      </c>
      <c r="AJ20" s="26"/>
      <c r="AO20" s="26"/>
    </row>
    <row r="21" spans="1:42" x14ac:dyDescent="0.3">
      <c r="A21" s="118" t="s">
        <v>66</v>
      </c>
      <c r="B21" s="18" t="s">
        <v>67</v>
      </c>
      <c r="C21" s="19" t="str">
        <f>IFERROR(VLOOKUP(A21,'[1]SHOPP UPL SFY2021 Combined OUT'!$A:$F,6,FALSE),IFERROR(VLOOKUP(A21,'[1]SHOPP UPL SFY2021 Combined INP'!$A:$F,6,FALSE),VLOOKUP(A21,'[1]DRG UPL SFY21 Combined'!$A:$J,10,FALSE)))</f>
        <v>Yes</v>
      </c>
      <c r="D21" s="18">
        <v>1</v>
      </c>
      <c r="E21" s="20">
        <v>1</v>
      </c>
      <c r="F21" s="21">
        <f t="shared" si="0"/>
        <v>6036202.6999999769</v>
      </c>
      <c r="G21" s="22">
        <f>IF(C21="No",(VLOOKUP($A21,'[1]Cost UPL SFY21 Combine'!$B:$AS,17,FALSE)+VLOOKUP($A21,'[1]Cost UPL SFY21 Combine'!$B:$AS,18,FALSE)+VLOOKUP($A21,'[1]Cost UPL SFY21 Combine'!$B:$AS,19,FALSE)),(VLOOKUP($A21,'[1]DRG UPL SFY21 Combined'!$A:$AZ,18,FALSE)+VLOOKUP($A21,'[1]DRG UPL SFY21 Combined'!$A:$AZ,19,FALSE)+VLOOKUP($A21,'[1]DRG UPL SFY21 Combined'!$A:$AZ,22,FALSE)))</f>
        <v>33196.269999999997</v>
      </c>
      <c r="H21" s="22"/>
      <c r="I21" s="22">
        <f t="shared" si="7"/>
        <v>33196.269999999997</v>
      </c>
      <c r="J21" s="23">
        <f>IF($E21=1,I21/$I$93,0)</f>
        <v>6.1909841125708316E-5</v>
      </c>
      <c r="K21" s="22">
        <f>IFERROR(IF(C21="No",(VLOOKUP($A21,'[1]SHOPP UPL SFY2021 Combined INP'!$A:$AL,36,FALSE)),VLOOKUP($A21,'[1]DRG UPL SFY21 Combined'!$A:$AW,48,FALSE)),0)</f>
        <v>14906.566939957935</v>
      </c>
      <c r="L21" s="22">
        <f>IF($E21=1,ROUND($J21*(L$96+L$97),0),0)</f>
        <v>28187</v>
      </c>
      <c r="M21" s="22">
        <f>(IFERROR(VLOOKUP($A21,'[1]CAH 101% of cost'!$A$3:$BJ$44,48,FALSE),0))</f>
        <v>0</v>
      </c>
      <c r="N21" s="22">
        <f t="shared" si="8"/>
        <v>28187</v>
      </c>
      <c r="O21" s="22">
        <v>6749.13</v>
      </c>
      <c r="P21" s="22">
        <f t="shared" si="1"/>
        <v>6652.13</v>
      </c>
      <c r="Q21" s="22">
        <f t="shared" si="2"/>
        <v>6949.75</v>
      </c>
      <c r="R21" s="22">
        <f t="shared" si="3"/>
        <v>7046.75</v>
      </c>
      <c r="S21" s="22">
        <f t="shared" si="3"/>
        <v>7046.75</v>
      </c>
      <c r="T21" s="22">
        <f t="shared" si="4"/>
        <v>394.62</v>
      </c>
      <c r="U21" s="22">
        <f t="shared" si="5"/>
        <v>-13280.433060042065</v>
      </c>
      <c r="V21" s="22"/>
      <c r="W21" s="22">
        <f>IFERROR(VLOOKUP($A21,'[1]Cost UPL SFY21 Combine'!$B:$AG,31,FALSE),0)+IFERROR(VLOOKUP($A21,'[1]Cost UPL SFY21 Combine'!$B:$AG,32,FALSE),0)</f>
        <v>6003006.4299999774</v>
      </c>
      <c r="X21" s="23">
        <f>IF($E21=1,W21/$W$93,0)</f>
        <v>1.8864333076466778E-2</v>
      </c>
      <c r="Y21" s="22">
        <f>IFERROR(VLOOKUP($A21,'[1]SHOPP UPL SFY2021 Combined OUT'!$A:$AH,33,FALSE),0)</f>
        <v>1961283.6856352808</v>
      </c>
      <c r="Z21" s="24">
        <f>IF($E21=1,ROUND($X21*(Z$96+Z$97),0),0)</f>
        <v>1415133</v>
      </c>
      <c r="AA21" s="22">
        <f>(IFERROR(VLOOKUP(A21,'[1]CAH 101% of cost'!$A$3:$BP$44,64,FALSE),0))</f>
        <v>0</v>
      </c>
      <c r="AB21" s="22">
        <f t="shared" si="6"/>
        <v>1415133</v>
      </c>
      <c r="AC21" s="22">
        <f>VLOOKUP(A21,'[2]2022 Hospital Access Payments'!$B$2:$H$70,6,FALSE)</f>
        <v>339979.48</v>
      </c>
      <c r="AD21" s="22">
        <f t="shared" si="9"/>
        <v>333971.39</v>
      </c>
      <c r="AE21" s="22">
        <f t="shared" si="10"/>
        <v>347775.16000000003</v>
      </c>
      <c r="AF21" s="22">
        <f t="shared" si="11"/>
        <v>353783.25</v>
      </c>
      <c r="AG21" s="22">
        <f t="shared" si="11"/>
        <v>353783.25</v>
      </c>
      <c r="AH21" s="22">
        <f t="shared" si="12"/>
        <v>19811.86</v>
      </c>
      <c r="AI21" s="22">
        <f t="shared" si="13"/>
        <v>546150.6856352808</v>
      </c>
      <c r="AJ21" s="26"/>
      <c r="AO21" s="26"/>
    </row>
    <row r="22" spans="1:42" x14ac:dyDescent="0.3">
      <c r="A22" s="109" t="s">
        <v>68</v>
      </c>
      <c r="B22" s="18" t="s">
        <v>69</v>
      </c>
      <c r="C22" s="19" t="str">
        <f>IFERROR(VLOOKUP(A22,'[1]SHOPP UPL SFY2021 Combined OUT'!$A:$F,6,FALSE),IFERROR(VLOOKUP(A22,'[1]SHOPP UPL SFY2021 Combined INP'!$A:$F,6,FALSE),VLOOKUP(A22,'[1]DRG UPL SFY21 Combined'!$A:$J,10,FALSE)))</f>
        <v>Yes</v>
      </c>
      <c r="D22" s="18">
        <v>1</v>
      </c>
      <c r="E22" s="20">
        <v>1</v>
      </c>
      <c r="F22" s="21">
        <f t="shared" si="0"/>
        <v>6068526.3499999903</v>
      </c>
      <c r="G22" s="22">
        <f>IF(C22="No",(VLOOKUP($A22,'[1]Cost UPL SFY21 Combine'!$B:$AS,17,FALSE)+VLOOKUP($A22,'[1]Cost UPL SFY21 Combine'!$B:$AS,18,FALSE)+VLOOKUP($A22,'[1]Cost UPL SFY21 Combine'!$B:$AS,19,FALSE)),(VLOOKUP($A22,'[1]DRG UPL SFY21 Combined'!$A:$AZ,18,FALSE)+VLOOKUP($A22,'[1]DRG UPL SFY21 Combined'!$A:$AZ,19,FALSE)+VLOOKUP($A22,'[1]DRG UPL SFY21 Combined'!$A:$AZ,22,FALSE)))</f>
        <v>2373477.5099999998</v>
      </c>
      <c r="H22" s="22"/>
      <c r="I22" s="22">
        <f t="shared" si="7"/>
        <v>2373477.5099999998</v>
      </c>
      <c r="J22" s="23">
        <f>IF($E22=1,I22/$I$93,0)</f>
        <v>4.4264495848341323E-3</v>
      </c>
      <c r="K22" s="22">
        <f>IFERROR(IF(C22="No",(VLOOKUP($A22,'[1]SHOPP UPL SFY2021 Combined INP'!$A:$AL,36,FALSE)),VLOOKUP($A22,'[1]DRG UPL SFY21 Combined'!$A:$AW,48,FALSE)),0)</f>
        <v>3225861.7952199047</v>
      </c>
      <c r="L22" s="22">
        <f>IF($E22=1,ROUND($J22*(L$96+L$97),0),0)</f>
        <v>2015308</v>
      </c>
      <c r="M22" s="22">
        <f>(IFERROR(VLOOKUP($A22,'[1]CAH 101% of cost'!$A$3:$BJ$44,48,FALSE),0))</f>
        <v>0</v>
      </c>
      <c r="N22" s="22">
        <f t="shared" si="8"/>
        <v>2015308</v>
      </c>
      <c r="O22" s="22">
        <v>482554.39</v>
      </c>
      <c r="P22" s="22">
        <f t="shared" si="1"/>
        <v>475612.69</v>
      </c>
      <c r="Q22" s="22">
        <f t="shared" si="2"/>
        <v>496885.3</v>
      </c>
      <c r="R22" s="22">
        <f t="shared" si="3"/>
        <v>503827</v>
      </c>
      <c r="S22" s="22">
        <f t="shared" si="3"/>
        <v>503827</v>
      </c>
      <c r="T22" s="22">
        <f t="shared" si="4"/>
        <v>28214.31</v>
      </c>
      <c r="U22" s="22">
        <f t="shared" si="5"/>
        <v>1210553.7952199047</v>
      </c>
      <c r="V22" s="22"/>
      <c r="W22" s="22">
        <f>IFERROR(VLOOKUP($A22,'[1]Cost UPL SFY21 Combine'!$B:$AG,31,FALSE),0)+IFERROR(VLOOKUP($A22,'[1]Cost UPL SFY21 Combine'!$B:$AG,32,FALSE),0)</f>
        <v>3695048.8399999901</v>
      </c>
      <c r="X22" s="23">
        <f>IF($E22=1,W22/$W$93,0)</f>
        <v>1.1611620421264863E-2</v>
      </c>
      <c r="Y22" s="22">
        <f>IFERROR(VLOOKUP($A22,'[1]SHOPP UPL SFY2021 Combined OUT'!$A:$AH,33,FALSE),0)</f>
        <v>1571189.5394270546</v>
      </c>
      <c r="Z22" s="24">
        <f>IF($E22=1,ROUND($X22*(Z$96+Z$97),0),0)</f>
        <v>871061</v>
      </c>
      <c r="AA22" s="22">
        <f>(IFERROR(VLOOKUP(A22,'[1]CAH 101% of cost'!$A$3:$BP$44,64,FALSE),0))</f>
        <v>0</v>
      </c>
      <c r="AB22" s="22">
        <f t="shared" si="6"/>
        <v>871061</v>
      </c>
      <c r="AC22" s="22">
        <f>VLOOKUP(A22,'[2]2022 Hospital Access Payments'!$B$2:$H$70,6,FALSE)</f>
        <v>202315.48</v>
      </c>
      <c r="AD22" s="22">
        <f t="shared" si="9"/>
        <v>205570.4</v>
      </c>
      <c r="AE22" s="22">
        <f t="shared" si="10"/>
        <v>221020.16999999998</v>
      </c>
      <c r="AF22" s="22">
        <f t="shared" si="11"/>
        <v>217765.25</v>
      </c>
      <c r="AG22" s="22">
        <f t="shared" si="11"/>
        <v>217765.25</v>
      </c>
      <c r="AH22" s="22">
        <f t="shared" si="12"/>
        <v>12194.85</v>
      </c>
      <c r="AI22" s="22">
        <f t="shared" si="13"/>
        <v>700128.53942705458</v>
      </c>
      <c r="AJ22" s="26"/>
      <c r="AO22" s="26"/>
    </row>
    <row r="23" spans="1:42" x14ac:dyDescent="0.3">
      <c r="A23" s="109" t="s">
        <v>70</v>
      </c>
      <c r="B23" s="18" t="s">
        <v>71</v>
      </c>
      <c r="C23" s="19" t="str">
        <f>IFERROR(VLOOKUP(A23,'[1]SHOPP UPL SFY2021 Combined OUT'!$A:$F,6,FALSE),IFERROR(VLOOKUP(A23,'[1]SHOPP UPL SFY2021 Combined INP'!$A:$F,6,FALSE),VLOOKUP(A23,'[1]DRG UPL SFY21 Combined'!$A:$J,10,FALSE)))</f>
        <v>Yes</v>
      </c>
      <c r="D23" s="18">
        <v>1</v>
      </c>
      <c r="E23" s="20">
        <v>1</v>
      </c>
      <c r="F23" s="21">
        <f t="shared" si="0"/>
        <v>6722305.3399999887</v>
      </c>
      <c r="G23" s="22">
        <f>IF(C23="No",(VLOOKUP($A23,'[1]Cost UPL SFY21 Combine'!$B:$AS,17,FALSE)+VLOOKUP($A23,'[1]Cost UPL SFY21 Combine'!$B:$AS,18,FALSE)+VLOOKUP($A23,'[1]Cost UPL SFY21 Combine'!$B:$AS,19,FALSE)),(VLOOKUP($A23,'[1]DRG UPL SFY21 Combined'!$A:$AZ,18,FALSE)+VLOOKUP($A23,'[1]DRG UPL SFY21 Combined'!$A:$AZ,19,FALSE)+VLOOKUP($A23,'[1]DRG UPL SFY21 Combined'!$A:$AZ,22,FALSE)))</f>
        <v>3242776.4499999997</v>
      </c>
      <c r="H23" s="22"/>
      <c r="I23" s="22">
        <f t="shared" si="7"/>
        <v>3242776.4499999997</v>
      </c>
      <c r="J23" s="23">
        <f>IF($E23=1,I23/$I$93,0)</f>
        <v>6.0476606204759873E-3</v>
      </c>
      <c r="K23" s="22">
        <f>IFERROR(IF(C23="No",(VLOOKUP($A23,'[1]SHOPP UPL SFY2021 Combined INP'!$A:$AL,36,FALSE)),VLOOKUP($A23,'[1]DRG UPL SFY21 Combined'!$A:$AW,48,FALSE)),0)</f>
        <v>3649533.5450780024</v>
      </c>
      <c r="L23" s="22">
        <f>IF($E23=1,ROUND($J23*(L$96+L$97),0),0)</f>
        <v>2753425</v>
      </c>
      <c r="M23" s="22">
        <f>(IFERROR(VLOOKUP($A23,'[1]CAH 101% of cost'!$A$3:$BJ$44,48,FALSE),0))</f>
        <v>0</v>
      </c>
      <c r="N23" s="22">
        <f t="shared" si="8"/>
        <v>2753425</v>
      </c>
      <c r="O23" s="22">
        <v>651614.41</v>
      </c>
      <c r="P23" s="22">
        <f t="shared" si="1"/>
        <v>649808.30000000005</v>
      </c>
      <c r="Q23" s="22">
        <f t="shared" si="2"/>
        <v>686550.14</v>
      </c>
      <c r="R23" s="22">
        <f t="shared" si="3"/>
        <v>688356.25</v>
      </c>
      <c r="S23" s="22">
        <f t="shared" si="3"/>
        <v>688356.25</v>
      </c>
      <c r="T23" s="22">
        <f t="shared" si="4"/>
        <v>38547.949999999997</v>
      </c>
      <c r="U23" s="22">
        <f t="shared" si="5"/>
        <v>896108.54507800238</v>
      </c>
      <c r="V23" s="22"/>
      <c r="W23" s="22">
        <f>IFERROR(VLOOKUP($A23,'[1]Cost UPL SFY21 Combine'!$B:$AG,31,FALSE),0)+IFERROR(VLOOKUP($A23,'[1]Cost UPL SFY21 Combine'!$B:$AG,32,FALSE),0)</f>
        <v>3479528.8899999894</v>
      </c>
      <c r="X23" s="23">
        <f>IF($E23=1,W23/$W$93,0)</f>
        <v>1.0934353093829483E-2</v>
      </c>
      <c r="Y23" s="22">
        <f>IFERROR(VLOOKUP($A23,'[1]SHOPP UPL SFY2021 Combined OUT'!$A:$AH,33,FALSE),0)</f>
        <v>1210615.9352151509</v>
      </c>
      <c r="Z23" s="24">
        <f>IF($E23=1,ROUND($X23*(Z$96+Z$97),0),0)</f>
        <v>820255</v>
      </c>
      <c r="AA23" s="22">
        <f>(IFERROR(VLOOKUP(A23,'[1]CAH 101% of cost'!$A$3:$BP$44,64,FALSE),0))</f>
        <v>0</v>
      </c>
      <c r="AB23" s="22">
        <f t="shared" si="6"/>
        <v>820255</v>
      </c>
      <c r="AC23" s="22">
        <f>VLOOKUP(A23,'[2]2022 Hospital Access Payments'!$B$2:$H$70,6,FALSE)</f>
        <v>177008.97</v>
      </c>
      <c r="AD23" s="22">
        <f t="shared" si="9"/>
        <v>193580.18</v>
      </c>
      <c r="AE23" s="22">
        <f t="shared" si="10"/>
        <v>221634.96</v>
      </c>
      <c r="AF23" s="22">
        <f t="shared" si="11"/>
        <v>205063.75</v>
      </c>
      <c r="AG23" s="22">
        <f t="shared" si="11"/>
        <v>205063.75</v>
      </c>
      <c r="AH23" s="22">
        <f t="shared" si="12"/>
        <v>11483.57</v>
      </c>
      <c r="AI23" s="22">
        <f t="shared" si="13"/>
        <v>390360.93521515094</v>
      </c>
      <c r="AJ23" s="26"/>
      <c r="AO23" s="26"/>
    </row>
    <row r="24" spans="1:42" x14ac:dyDescent="0.3">
      <c r="A24" s="109" t="s">
        <v>72</v>
      </c>
      <c r="B24" s="18" t="s">
        <v>73</v>
      </c>
      <c r="C24" s="19" t="str">
        <f>IFERROR(VLOOKUP(A24,'[1]SHOPP UPL SFY2021 Combined OUT'!$A:$F,6,FALSE),IFERROR(VLOOKUP(A24,'[1]SHOPP UPL SFY2021 Combined INP'!$A:$F,6,FALSE),VLOOKUP(A24,'[1]DRG UPL SFY21 Combined'!$A:$J,10,FALSE)))</f>
        <v>Yes</v>
      </c>
      <c r="D24" s="18">
        <v>1</v>
      </c>
      <c r="E24" s="20">
        <v>1</v>
      </c>
      <c r="F24" s="21">
        <f t="shared" si="0"/>
        <v>5773963.7799999798</v>
      </c>
      <c r="G24" s="22">
        <f>IF(C24="No",(VLOOKUP($A24,'[1]Cost UPL SFY21 Combine'!$B:$AS,17,FALSE)+VLOOKUP($A24,'[1]Cost UPL SFY21 Combine'!$B:$AS,18,FALSE)+VLOOKUP($A24,'[1]Cost UPL SFY21 Combine'!$B:$AS,19,FALSE)),(VLOOKUP($A24,'[1]DRG UPL SFY21 Combined'!$A:$AZ,18,FALSE)+VLOOKUP($A24,'[1]DRG UPL SFY21 Combined'!$A:$AZ,19,FALSE)+VLOOKUP($A24,'[1]DRG UPL SFY21 Combined'!$A:$AZ,22,FALSE)))</f>
        <v>2101416.91</v>
      </c>
      <c r="H24" s="22"/>
      <c r="I24" s="22">
        <f t="shared" si="7"/>
        <v>2101416.91</v>
      </c>
      <c r="J24" s="23">
        <f>IF($E24=1,I24/$I$93,0)</f>
        <v>3.9190664203230339E-3</v>
      </c>
      <c r="K24" s="22">
        <f>IFERROR(IF(C24="No",(VLOOKUP($A24,'[1]SHOPP UPL SFY2021 Combined INP'!$A:$AL,36,FALSE)),VLOOKUP($A24,'[1]DRG UPL SFY21 Combined'!$A:$AW,48,FALSE)),0)</f>
        <v>2634252.1958413646</v>
      </c>
      <c r="L24" s="22">
        <f>IF($E24=1,ROUND($J24*(L$96+L$97),0),0)</f>
        <v>1784302</v>
      </c>
      <c r="M24" s="22">
        <f>(IFERROR(VLOOKUP($A24,'[1]CAH 101% of cost'!$A$3:$BJ$44,48,FALSE),0))</f>
        <v>0</v>
      </c>
      <c r="N24" s="22">
        <f t="shared" si="8"/>
        <v>1784302</v>
      </c>
      <c r="O24" s="22">
        <v>411184.45</v>
      </c>
      <c r="P24" s="22">
        <f t="shared" si="1"/>
        <v>421095.27</v>
      </c>
      <c r="Q24" s="22">
        <f t="shared" si="2"/>
        <v>455986.32</v>
      </c>
      <c r="R24" s="22">
        <f t="shared" si="3"/>
        <v>446075.5</v>
      </c>
      <c r="S24" s="22">
        <f t="shared" si="3"/>
        <v>446075.5</v>
      </c>
      <c r="T24" s="22">
        <f t="shared" si="4"/>
        <v>24980.23</v>
      </c>
      <c r="U24" s="22">
        <f t="shared" si="5"/>
        <v>849950.19584136456</v>
      </c>
      <c r="V24" s="22"/>
      <c r="W24" s="22">
        <f>IFERROR(VLOOKUP($A24,'[1]Cost UPL SFY21 Combine'!$B:$AG,31,FALSE),0)+IFERROR(VLOOKUP($A24,'[1]Cost UPL SFY21 Combine'!$B:$AG,32,FALSE),0)</f>
        <v>3672546.8699999796</v>
      </c>
      <c r="X24" s="23">
        <f>IF($E24=1,W24/$W$93,0)</f>
        <v>1.1540908410223944E-2</v>
      </c>
      <c r="Y24" s="22">
        <f>IFERROR(VLOOKUP($A24,'[1]SHOPP UPL SFY2021 Combined OUT'!$A:$AH,33,FALSE),0)</f>
        <v>1697761.6528025819</v>
      </c>
      <c r="Z24" s="24">
        <f>IF($E24=1,ROUND($X24*(Z$96+Z$97),0),0)</f>
        <v>865757</v>
      </c>
      <c r="AA24" s="22">
        <f>(IFERROR(VLOOKUP(A24,'[1]CAH 101% of cost'!$A$3:$BP$44,64,FALSE),0))</f>
        <v>0</v>
      </c>
      <c r="AB24" s="22">
        <f t="shared" si="6"/>
        <v>865757</v>
      </c>
      <c r="AC24" s="22">
        <f>VLOOKUP(A24,'[2]2022 Hospital Access Payments'!$B$2:$H$70,6,FALSE)</f>
        <v>201062.32</v>
      </c>
      <c r="AD24" s="22">
        <f t="shared" si="9"/>
        <v>204318.65</v>
      </c>
      <c r="AE24" s="22">
        <f t="shared" si="10"/>
        <v>219695.58</v>
      </c>
      <c r="AF24" s="22">
        <f t="shared" si="11"/>
        <v>216439.25</v>
      </c>
      <c r="AG24" s="22">
        <f t="shared" si="11"/>
        <v>216439.25</v>
      </c>
      <c r="AH24" s="22">
        <f t="shared" si="12"/>
        <v>12120.6</v>
      </c>
      <c r="AI24" s="22">
        <f t="shared" si="13"/>
        <v>832004.6528025819</v>
      </c>
      <c r="AJ24" s="26"/>
      <c r="AO24" s="26"/>
    </row>
    <row r="25" spans="1:42" x14ac:dyDescent="0.3">
      <c r="A25" s="109" t="s">
        <v>74</v>
      </c>
      <c r="B25" s="18" t="s">
        <v>75</v>
      </c>
      <c r="C25" s="19" t="str">
        <f>IFERROR(VLOOKUP(A25,'[1]SHOPP UPL SFY2021 Combined OUT'!$A:$F,6,FALSE),IFERROR(VLOOKUP(A25,'[1]SHOPP UPL SFY2021 Combined INP'!$A:$F,6,FALSE),VLOOKUP(A25,'[1]DRG UPL SFY21 Combined'!$A:$J,10,FALSE)))</f>
        <v>Yes</v>
      </c>
      <c r="D25" s="18">
        <v>1</v>
      </c>
      <c r="E25" s="20">
        <v>1</v>
      </c>
      <c r="F25" s="21">
        <f t="shared" si="0"/>
        <v>36211820.31000001</v>
      </c>
      <c r="G25" s="22">
        <f>IF(C25="No",(VLOOKUP($A25,'[1]Cost UPL SFY21 Combine'!$B:$AS,17,FALSE)+VLOOKUP($A25,'[1]Cost UPL SFY21 Combine'!$B:$AS,18,FALSE)+VLOOKUP($A25,'[1]Cost UPL SFY21 Combine'!$B:$AS,19,FALSE)),(VLOOKUP($A25,'[1]DRG UPL SFY21 Combined'!$A:$AZ,18,FALSE)+VLOOKUP($A25,'[1]DRG UPL SFY21 Combined'!$A:$AZ,19,FALSE)+VLOOKUP($A25,'[1]DRG UPL SFY21 Combined'!$A:$AZ,22,FALSE)))</f>
        <v>22022651.669999998</v>
      </c>
      <c r="H25" s="22"/>
      <c r="I25" s="22">
        <f t="shared" si="7"/>
        <v>22022651.669999998</v>
      </c>
      <c r="J25" s="23">
        <f>IF($E25=1,I25/$I$93,0)</f>
        <v>4.107144766735886E-2</v>
      </c>
      <c r="K25" s="22">
        <f>IFERROR(IF(C25="No",(VLOOKUP($A25,'[1]SHOPP UPL SFY2021 Combined INP'!$A:$AL,36,FALSE)),VLOOKUP($A25,'[1]DRG UPL SFY21 Combined'!$A:$AW,48,FALSE)),0)</f>
        <v>25914568.740617905</v>
      </c>
      <c r="L25" s="22">
        <f>IF($E25=1,ROUND($J25*(L$96+L$97),0),0)</f>
        <v>18699321</v>
      </c>
      <c r="M25" s="22">
        <f>(IFERROR(VLOOKUP($A25,'[1]CAH 101% of cost'!$A$3:$BJ$44,48,FALSE),0))</f>
        <v>0</v>
      </c>
      <c r="N25" s="22">
        <f t="shared" si="8"/>
        <v>18699321</v>
      </c>
      <c r="O25" s="22">
        <v>4414742.7300000004</v>
      </c>
      <c r="P25" s="22">
        <f t="shared" si="1"/>
        <v>4413039.76</v>
      </c>
      <c r="Q25" s="22">
        <f t="shared" si="2"/>
        <v>4673127.2799999993</v>
      </c>
      <c r="R25" s="22">
        <f t="shared" ref="R25:S44" si="14">ROUND($N25*25%,2)</f>
        <v>4674830.25</v>
      </c>
      <c r="S25" s="22">
        <f t="shared" si="14"/>
        <v>4674830.25</v>
      </c>
      <c r="T25" s="22">
        <f t="shared" si="4"/>
        <v>261790.49</v>
      </c>
      <c r="U25" s="22">
        <f t="shared" si="5"/>
        <v>7215247.7406179048</v>
      </c>
      <c r="V25" s="22"/>
      <c r="W25" s="22">
        <f>IFERROR(VLOOKUP($A25,'[1]Cost UPL SFY21 Combine'!$B:$AG,31,FALSE),0)+IFERROR(VLOOKUP($A25,'[1]Cost UPL SFY21 Combine'!$B:$AG,32,FALSE),0)</f>
        <v>14189168.64000001</v>
      </c>
      <c r="X25" s="23">
        <f>IF($E25=1,W25/$W$93,0)</f>
        <v>4.4589191503351153E-2</v>
      </c>
      <c r="Y25" s="22">
        <f>IFERROR(VLOOKUP($A25,'[1]SHOPP UPL SFY2021 Combined OUT'!$A:$AH,33,FALSE),0)</f>
        <v>2640022.3996472787</v>
      </c>
      <c r="Z25" s="24">
        <f>IF($E25=1,ROUND($X25*(Z$96+Z$97),0),0)</f>
        <v>3344918</v>
      </c>
      <c r="AA25" s="22">
        <f>(IFERROR(VLOOKUP(A25,'[1]CAH 101% of cost'!$A$3:$BP$44,64,FALSE),0))</f>
        <v>0</v>
      </c>
      <c r="AB25" s="22">
        <f t="shared" si="6"/>
        <v>3344918</v>
      </c>
      <c r="AC25" s="22">
        <f>VLOOKUP(A25,'[2]2022 Hospital Access Payments'!$B$2:$H$70,6,FALSE)</f>
        <v>787751.72</v>
      </c>
      <c r="AD25" s="22">
        <f t="shared" si="9"/>
        <v>789400.65</v>
      </c>
      <c r="AE25" s="22">
        <f t="shared" si="10"/>
        <v>837878.43</v>
      </c>
      <c r="AF25" s="22">
        <f t="shared" si="11"/>
        <v>836229.5</v>
      </c>
      <c r="AG25" s="22">
        <f t="shared" si="11"/>
        <v>836229.5</v>
      </c>
      <c r="AH25" s="22">
        <f t="shared" si="12"/>
        <v>46828.85</v>
      </c>
      <c r="AI25" s="22">
        <f t="shared" si="13"/>
        <v>-704895.60035272129</v>
      </c>
      <c r="AJ25" s="26"/>
      <c r="AO25" s="26"/>
    </row>
    <row r="26" spans="1:42" x14ac:dyDescent="0.3">
      <c r="A26" s="109" t="s">
        <v>76</v>
      </c>
      <c r="B26" s="18" t="s">
        <v>77</v>
      </c>
      <c r="C26" s="19" t="str">
        <f>IFERROR(VLOOKUP(A26,'[1]SHOPP UPL SFY2021 Combined OUT'!$A:$F,6,FALSE),IFERROR(VLOOKUP(A26,'[1]SHOPP UPL SFY2021 Combined INP'!$A:$F,6,FALSE),VLOOKUP(A26,'[1]DRG UPL SFY21 Combined'!$A:$J,10,FALSE)))</f>
        <v>Yes</v>
      </c>
      <c r="D26" s="18">
        <v>1</v>
      </c>
      <c r="E26" s="20">
        <v>1</v>
      </c>
      <c r="F26" s="21">
        <f t="shared" si="0"/>
        <v>10128188.392560294</v>
      </c>
      <c r="G26" s="22">
        <f>IF(C26="No",(VLOOKUP($A26,'[1]Cost UPL SFY21 Combine'!$B:$AS,17,FALSE)+VLOOKUP($A26,'[1]Cost UPL SFY21 Combine'!$B:$AS,18,FALSE)+VLOOKUP($A26,'[1]Cost UPL SFY21 Combine'!$B:$AS,19,FALSE)),(VLOOKUP($A26,'[1]DRG UPL SFY21 Combined'!$A:$AZ,18,FALSE)+VLOOKUP($A26,'[1]DRG UPL SFY21 Combined'!$A:$AZ,19,FALSE)+VLOOKUP($A26,'[1]DRG UPL SFY21 Combined'!$A:$AZ,22,FALSE)))</f>
        <v>4589050.5299999993</v>
      </c>
      <c r="H26" s="22"/>
      <c r="I26" s="22">
        <f t="shared" si="7"/>
        <v>4589050.5299999993</v>
      </c>
      <c r="J26" s="23">
        <f>IF($E26=1,I26/$I$93,0)</f>
        <v>8.5584130153823768E-3</v>
      </c>
      <c r="K26" s="22">
        <f>IFERROR(IF(C26="No",(VLOOKUP($A26,'[1]SHOPP UPL SFY2021 Combined INP'!$A:$AL,36,FALSE)),VLOOKUP($A26,'[1]DRG UPL SFY21 Combined'!$A:$AW,48,FALSE)),0)</f>
        <v>4161438.3197970409</v>
      </c>
      <c r="L26" s="22">
        <f>IF($E26=1,ROUND($J26*(L$96+L$97),0),0)</f>
        <v>3896539</v>
      </c>
      <c r="M26" s="22">
        <f>(IFERROR(VLOOKUP($A26,'[1]CAH 101% of cost'!$A$3:$BJ$44,48,FALSE),0))</f>
        <v>0</v>
      </c>
      <c r="N26" s="22">
        <f t="shared" si="8"/>
        <v>3896539</v>
      </c>
      <c r="O26" s="22">
        <v>909504.12</v>
      </c>
      <c r="P26" s="22">
        <f t="shared" si="1"/>
        <v>919583.2</v>
      </c>
      <c r="Q26" s="22">
        <f t="shared" si="2"/>
        <v>984213.83</v>
      </c>
      <c r="R26" s="22">
        <f t="shared" si="14"/>
        <v>974134.75</v>
      </c>
      <c r="S26" s="22">
        <f t="shared" si="14"/>
        <v>974134.75</v>
      </c>
      <c r="T26" s="22">
        <f t="shared" si="4"/>
        <v>54551.55</v>
      </c>
      <c r="U26" s="22">
        <f t="shared" si="5"/>
        <v>264899.31979704089</v>
      </c>
      <c r="V26" s="22"/>
      <c r="W26" s="22">
        <f>IFERROR(VLOOKUP($A26,'[1]Cost UPL SFY21 Combine'!$B:$AG,31,FALSE),0)+IFERROR(VLOOKUP($A26,'[1]Cost UPL SFY21 Combine'!$B:$AG,32,FALSE),0)</f>
        <v>5539137.8625602946</v>
      </c>
      <c r="X26" s="23">
        <f>IF($E26=1,W26/$W$93,0)</f>
        <v>1.7406634961043353E-2</v>
      </c>
      <c r="Y26" s="22">
        <f>IFERROR(VLOOKUP($A26,'[1]SHOPP UPL SFY2021 Combined OUT'!$A:$AH,33,FALSE),0)</f>
        <v>3085309.7282588622</v>
      </c>
      <c r="Z26" s="24">
        <f>IF($E26=1,ROUND($X26*(Z$96+Z$97),0),0)</f>
        <v>1305782</v>
      </c>
      <c r="AA26" s="22">
        <f>(IFERROR(VLOOKUP(A26,'[1]CAH 101% of cost'!$A$3:$BP$44,64,FALSE),0))</f>
        <v>0</v>
      </c>
      <c r="AB26" s="22">
        <f t="shared" si="6"/>
        <v>1305782</v>
      </c>
      <c r="AC26" s="22">
        <f>VLOOKUP(A26,'[2]2022 Hospital Access Payments'!$B$2:$H$70,6,FALSE)</f>
        <v>313651.08</v>
      </c>
      <c r="AD26" s="22">
        <f t="shared" si="9"/>
        <v>308164.55</v>
      </c>
      <c r="AE26" s="22">
        <f t="shared" si="10"/>
        <v>320958.96999999997</v>
      </c>
      <c r="AF26" s="22">
        <f t="shared" si="11"/>
        <v>326445.5</v>
      </c>
      <c r="AG26" s="22">
        <f t="shared" si="11"/>
        <v>326445.5</v>
      </c>
      <c r="AH26" s="22">
        <f t="shared" si="12"/>
        <v>18280.95</v>
      </c>
      <c r="AI26" s="22">
        <f t="shared" si="13"/>
        <v>1779527.7282588622</v>
      </c>
      <c r="AJ26" s="26"/>
      <c r="AO26" s="26"/>
    </row>
    <row r="27" spans="1:42" x14ac:dyDescent="0.3">
      <c r="A27" s="109" t="s">
        <v>78</v>
      </c>
      <c r="B27" s="18" t="s">
        <v>79</v>
      </c>
      <c r="C27" s="19" t="str">
        <f>IFERROR(VLOOKUP(A27,'[1]SHOPP UPL SFY2021 Combined OUT'!$A:$F,6,FALSE),IFERROR(VLOOKUP(A27,'[1]SHOPP UPL SFY2021 Combined INP'!$A:$F,6,FALSE),VLOOKUP(A27,'[1]DRG UPL SFY21 Combined'!$A:$J,10,FALSE)))</f>
        <v>Yes</v>
      </c>
      <c r="D27" s="18">
        <v>1</v>
      </c>
      <c r="E27" s="20">
        <v>1</v>
      </c>
      <c r="F27" s="21">
        <f t="shared" si="0"/>
        <v>6911841.1499999892</v>
      </c>
      <c r="G27" s="22">
        <f>IF(C27="No",(VLOOKUP($A27,'[1]Cost UPL SFY21 Combine'!$B:$AS,17,FALSE)+VLOOKUP($A27,'[1]Cost UPL SFY21 Combine'!$B:$AS,18,FALSE)+VLOOKUP($A27,'[1]Cost UPL SFY21 Combine'!$B:$AS,19,FALSE)),(VLOOKUP($A27,'[1]DRG UPL SFY21 Combined'!$A:$AZ,18,FALSE)+VLOOKUP($A27,'[1]DRG UPL SFY21 Combined'!$A:$AZ,19,FALSE)+VLOOKUP($A27,'[1]DRG UPL SFY21 Combined'!$A:$AZ,22,FALSE)))</f>
        <v>2800157.84</v>
      </c>
      <c r="H27" s="22"/>
      <c r="I27" s="22">
        <f t="shared" si="7"/>
        <v>2800157.84</v>
      </c>
      <c r="J27" s="23">
        <f>IF($E27=1,I27/$I$93,0)</f>
        <v>5.2221929452106082E-3</v>
      </c>
      <c r="K27" s="22">
        <f>IFERROR(IF(C27="No",(VLOOKUP($A27,'[1]SHOPP UPL SFY2021 Combined INP'!$A:$AL,36,FALSE)),VLOOKUP($A27,'[1]DRG UPL SFY21 Combined'!$A:$AW,48,FALSE)),0)</f>
        <v>3922615.5277368119</v>
      </c>
      <c r="L27" s="22">
        <f>IF($E27=1,ROUND($J27*(L$96+L$97),0),0)</f>
        <v>2377600</v>
      </c>
      <c r="M27" s="22">
        <f>(IFERROR(VLOOKUP($A27,'[1]CAH 101% of cost'!$A$3:$BJ$44,48,FALSE),0))</f>
        <v>0</v>
      </c>
      <c r="N27" s="22">
        <f t="shared" si="8"/>
        <v>2377600</v>
      </c>
      <c r="O27" s="22">
        <v>560520.53</v>
      </c>
      <c r="P27" s="22">
        <f t="shared" si="1"/>
        <v>561113.59999999998</v>
      </c>
      <c r="Q27" s="22">
        <f t="shared" si="2"/>
        <v>594993.06999999995</v>
      </c>
      <c r="R27" s="22">
        <f t="shared" si="14"/>
        <v>594400</v>
      </c>
      <c r="S27" s="22">
        <f t="shared" si="14"/>
        <v>594400</v>
      </c>
      <c r="T27" s="22">
        <f t="shared" si="4"/>
        <v>33286.400000000001</v>
      </c>
      <c r="U27" s="22">
        <f t="shared" si="5"/>
        <v>1545015.5277368119</v>
      </c>
      <c r="V27" s="22"/>
      <c r="W27" s="22">
        <f>IFERROR(VLOOKUP($A27,'[1]Cost UPL SFY21 Combine'!$B:$AG,31,FALSE),0)+IFERROR(VLOOKUP($A27,'[1]Cost UPL SFY21 Combine'!$B:$AG,32,FALSE),0)</f>
        <v>4111683.3099999898</v>
      </c>
      <c r="X27" s="23">
        <f>IF($E27=1,W27/$W$93,0)</f>
        <v>1.2920886287438061E-2</v>
      </c>
      <c r="Y27" s="22">
        <f>IFERROR(VLOOKUP($A27,'[1]SHOPP UPL SFY2021 Combined OUT'!$A:$AH,33,FALSE),0)</f>
        <v>1407479.3491327157</v>
      </c>
      <c r="Z27" s="24">
        <f>IF($E27=1,ROUND($X27*(Z$96+Z$97),0),0)</f>
        <v>969278</v>
      </c>
      <c r="AA27" s="22">
        <f>(IFERROR(VLOOKUP(A27,'[1]CAH 101% of cost'!$A$3:$BP$44,64,FALSE),0))</f>
        <v>0</v>
      </c>
      <c r="AB27" s="22">
        <f t="shared" si="6"/>
        <v>969278</v>
      </c>
      <c r="AC27" s="22">
        <f>VLOOKUP(A27,'[2]2022 Hospital Access Payments'!$B$2:$H$70,6,FALSE)</f>
        <v>219093.2</v>
      </c>
      <c r="AD27" s="22">
        <f t="shared" si="9"/>
        <v>228749.61</v>
      </c>
      <c r="AE27" s="22">
        <f t="shared" si="10"/>
        <v>251975.90999999997</v>
      </c>
      <c r="AF27" s="22">
        <f t="shared" si="11"/>
        <v>242319.5</v>
      </c>
      <c r="AG27" s="22">
        <f t="shared" si="11"/>
        <v>242319.5</v>
      </c>
      <c r="AH27" s="22">
        <f t="shared" si="12"/>
        <v>13569.89</v>
      </c>
      <c r="AI27" s="22">
        <f t="shared" si="13"/>
        <v>438201.34913271572</v>
      </c>
      <c r="AJ27" s="26"/>
      <c r="AO27" s="26"/>
    </row>
    <row r="28" spans="1:42" x14ac:dyDescent="0.3">
      <c r="A28" s="113" t="s">
        <v>80</v>
      </c>
      <c r="B28" s="18" t="s">
        <v>81</v>
      </c>
      <c r="C28" s="19" t="str">
        <f>IFERROR(VLOOKUP(A28,'[1]SHOPP UPL SFY2021 Combined OUT'!$A:$F,6,FALSE),IFERROR(VLOOKUP(A28,'[1]SHOPP UPL SFY2021 Combined INP'!$A:$F,6,FALSE),VLOOKUP(A28,'[1]DRG UPL SFY21 Combined'!$A:$J,10,FALSE)))</f>
        <v>No</v>
      </c>
      <c r="D28" s="18">
        <v>1</v>
      </c>
      <c r="E28" s="20">
        <v>1</v>
      </c>
      <c r="F28" s="21">
        <f t="shared" si="0"/>
        <v>3795176.7699999996</v>
      </c>
      <c r="G28" s="22">
        <f>IF(C28="No",(VLOOKUP($A28,'[1]Cost UPL SFY21 Combine'!$B:$AS,17,FALSE)+VLOOKUP($A28,'[1]Cost UPL SFY21 Combine'!$B:$AS,18,FALSE)+VLOOKUP($A28,'[1]Cost UPL SFY21 Combine'!$B:$AS,19,FALSE)),(VLOOKUP($A28,'[1]DRG UPL SFY21 Combined'!$A:$AZ,18,FALSE)+VLOOKUP($A28,'[1]DRG UPL SFY21 Combined'!$A:$AZ,19,FALSE)+VLOOKUP($A28,'[1]DRG UPL SFY21 Combined'!$A:$AZ,22,FALSE)))</f>
        <v>3795176.7699999996</v>
      </c>
      <c r="H28" s="22"/>
      <c r="I28" s="22">
        <f t="shared" si="7"/>
        <v>3795176.7699999996</v>
      </c>
      <c r="J28" s="23">
        <f>IF($E28=1,I28/$I$93,0)</f>
        <v>7.0778672084146456E-3</v>
      </c>
      <c r="K28" s="22">
        <f>IFERROR(IF(C28="No",(VLOOKUP($A28,'[1]SHOPP UPL SFY2021 Combined INP'!$A:$AL,36,FALSE)),VLOOKUP($A28,'[1]DRG UPL SFY21 Combined'!$A:$AW,48,FALSE)),0)</f>
        <v>788901.58788448642</v>
      </c>
      <c r="L28" s="22">
        <f>IF($E28=1,ROUND($J28*(L$96+L$97),0),0)</f>
        <v>3222465</v>
      </c>
      <c r="M28" s="22">
        <f>(IFERROR(VLOOKUP($A28,'[1]CAH 101% of cost'!$A$3:$BJ$44,48,FALSE),0))</f>
        <v>0</v>
      </c>
      <c r="N28" s="22">
        <f t="shared" si="8"/>
        <v>3222465</v>
      </c>
      <c r="O28" s="22">
        <v>479117.76</v>
      </c>
      <c r="P28" s="22">
        <f t="shared" si="1"/>
        <v>760501.74</v>
      </c>
      <c r="Q28" s="22">
        <f t="shared" si="2"/>
        <v>1087000.23</v>
      </c>
      <c r="R28" s="22">
        <f t="shared" si="14"/>
        <v>805616.25</v>
      </c>
      <c r="S28" s="22">
        <f t="shared" si="14"/>
        <v>805616.25</v>
      </c>
      <c r="T28" s="22">
        <f t="shared" si="4"/>
        <v>45114.51</v>
      </c>
      <c r="U28" s="22">
        <f t="shared" si="5"/>
        <v>-2433563.4121155133</v>
      </c>
      <c r="V28" s="22"/>
      <c r="W28" s="22">
        <f>IFERROR(VLOOKUP($A28,'[1]Cost UPL SFY21 Combine'!$B:$AG,31,FALSE),0)+IFERROR(VLOOKUP($A28,'[1]Cost UPL SFY21 Combine'!$B:$AG,32,FALSE),0)</f>
        <v>0</v>
      </c>
      <c r="X28" s="23">
        <f>IF($E28=1,W28/$W$93,0)</f>
        <v>0</v>
      </c>
      <c r="Y28" s="22">
        <f>IFERROR(VLOOKUP($A28,'[1]SHOPP UPL SFY2021 Combined OUT'!$A:$AH,33,FALSE),0)</f>
        <v>0</v>
      </c>
      <c r="Z28" s="24">
        <f>IF($E28=1,ROUND($X28*(Z$96+Z$97),0),0)</f>
        <v>0</v>
      </c>
      <c r="AA28" s="22">
        <f>(IFERROR(VLOOKUP(A28,'[1]CAH 101% of cost'!$A$3:$BP$44,64,FALSE),0))</f>
        <v>0</v>
      </c>
      <c r="AB28" s="22">
        <f t="shared" si="6"/>
        <v>0</v>
      </c>
      <c r="AC28" s="22">
        <f>VLOOKUP(A28,'[2]2022 Hospital Access Payments'!$B$2:$H$70,6,FALSE)</f>
        <v>0</v>
      </c>
      <c r="AD28" s="22">
        <f t="shared" si="9"/>
        <v>0</v>
      </c>
      <c r="AE28" s="22">
        <f t="shared" si="10"/>
        <v>0</v>
      </c>
      <c r="AF28" s="22">
        <f t="shared" si="11"/>
        <v>0</v>
      </c>
      <c r="AG28" s="22">
        <f t="shared" si="11"/>
        <v>0</v>
      </c>
      <c r="AH28" s="22">
        <f t="shared" si="12"/>
        <v>0</v>
      </c>
      <c r="AI28" s="22">
        <f t="shared" si="13"/>
        <v>0</v>
      </c>
      <c r="AJ28" s="26"/>
      <c r="AO28" s="26"/>
    </row>
    <row r="29" spans="1:42" x14ac:dyDescent="0.3">
      <c r="A29" s="109" t="s">
        <v>82</v>
      </c>
      <c r="B29" s="18" t="s">
        <v>83</v>
      </c>
      <c r="C29" s="19" t="str">
        <f>IFERROR(VLOOKUP(A29,'[1]SHOPP UPL SFY2021 Combined OUT'!$A:$F,6,FALSE),IFERROR(VLOOKUP(A29,'[1]SHOPP UPL SFY2021 Combined INP'!$A:$F,6,FALSE),VLOOKUP(A29,'[1]DRG UPL SFY21 Combined'!$A:$J,10,FALSE)))</f>
        <v>Yes</v>
      </c>
      <c r="D29" s="18">
        <v>1</v>
      </c>
      <c r="E29" s="20">
        <v>1</v>
      </c>
      <c r="F29" s="21">
        <f t="shared" si="0"/>
        <v>3350928.54999999</v>
      </c>
      <c r="G29" s="22">
        <f>IF(C29="No",(VLOOKUP($A29,'[1]Cost UPL SFY21 Combine'!$B:$AS,17,FALSE)+VLOOKUP($A29,'[1]Cost UPL SFY21 Combine'!$B:$AS,18,FALSE)+VLOOKUP($A29,'[1]Cost UPL SFY21 Combine'!$B:$AS,19,FALSE)),(VLOOKUP($A29,'[1]DRG UPL SFY21 Combined'!$A:$AZ,18,FALSE)+VLOOKUP($A29,'[1]DRG UPL SFY21 Combined'!$A:$AZ,19,FALSE)+VLOOKUP($A29,'[1]DRG UPL SFY21 Combined'!$A:$AZ,22,FALSE)))</f>
        <v>360492.79000000004</v>
      </c>
      <c r="H29" s="22"/>
      <c r="I29" s="22">
        <f t="shared" si="7"/>
        <v>360492.79000000004</v>
      </c>
      <c r="J29" s="23">
        <f>IF($E29=1,I29/$I$93,0)</f>
        <v>6.7230599569961737E-4</v>
      </c>
      <c r="K29" s="22">
        <f>IFERROR(IF(C29="No",(VLOOKUP($A29,'[1]SHOPP UPL SFY2021 Combined INP'!$A:$AL,36,FALSE)),VLOOKUP($A29,'[1]DRG UPL SFY21 Combined'!$A:$AW,48,FALSE)),0)</f>
        <v>313471.44533284684</v>
      </c>
      <c r="L29" s="22">
        <f>IF($E29=1,ROUND($J29*(L$96+L$97),0),0)</f>
        <v>306093</v>
      </c>
      <c r="M29" s="22">
        <f>(IFERROR(VLOOKUP($A29,'[1]CAH 101% of cost'!$A$3:$BJ$44,48,FALSE),0))</f>
        <v>0</v>
      </c>
      <c r="N29" s="22">
        <f t="shared" si="8"/>
        <v>306093</v>
      </c>
      <c r="O29" s="22">
        <v>73292.160000000003</v>
      </c>
      <c r="P29" s="22">
        <f t="shared" si="1"/>
        <v>72237.95</v>
      </c>
      <c r="Q29" s="22">
        <f t="shared" si="2"/>
        <v>75469.039999999994</v>
      </c>
      <c r="R29" s="22">
        <f t="shared" si="14"/>
        <v>76523.25</v>
      </c>
      <c r="S29" s="22">
        <f t="shared" si="14"/>
        <v>76523.25</v>
      </c>
      <c r="T29" s="22">
        <f t="shared" si="4"/>
        <v>4285.3</v>
      </c>
      <c r="U29" s="22">
        <f t="shared" si="5"/>
        <v>7378.4453328468371</v>
      </c>
      <c r="V29" s="22"/>
      <c r="W29" s="22">
        <f>IFERROR(VLOOKUP($A29,'[1]Cost UPL SFY21 Combine'!$B:$AG,31,FALSE),0)+IFERROR(VLOOKUP($A29,'[1]Cost UPL SFY21 Combine'!$B:$AG,32,FALSE),0)</f>
        <v>2990435.75999999</v>
      </c>
      <c r="X29" s="23">
        <f>IF($E29=1,W29/$W$93,0)</f>
        <v>9.3973872722333714E-3</v>
      </c>
      <c r="Y29" s="22">
        <f>IFERROR(VLOOKUP($A29,'[1]SHOPP UPL SFY2021 Combined OUT'!$A:$AH,33,FALSE),0)</f>
        <v>1783605.8011219171</v>
      </c>
      <c r="Z29" s="24">
        <f>IF($E29=1,ROUND($X29*(Z$96+Z$97),0),0)</f>
        <v>704958</v>
      </c>
      <c r="AA29" s="22">
        <f>(IFERROR(VLOOKUP(A29,'[1]CAH 101% of cost'!$A$3:$BP$44,64,FALSE),0))</f>
        <v>0</v>
      </c>
      <c r="AB29" s="22">
        <f t="shared" si="6"/>
        <v>704958</v>
      </c>
      <c r="AC29" s="22">
        <f>VLOOKUP(A29,'[2]2022 Hospital Access Payments'!$B$2:$H$70,6,FALSE)</f>
        <v>167103.34</v>
      </c>
      <c r="AD29" s="22">
        <f t="shared" si="9"/>
        <v>166370.09</v>
      </c>
      <c r="AE29" s="22">
        <f t="shared" si="10"/>
        <v>175506.25</v>
      </c>
      <c r="AF29" s="22">
        <f t="shared" si="11"/>
        <v>176239.5</v>
      </c>
      <c r="AG29" s="22">
        <f t="shared" si="11"/>
        <v>176239.5</v>
      </c>
      <c r="AH29" s="22">
        <f t="shared" si="12"/>
        <v>9869.41</v>
      </c>
      <c r="AI29" s="22">
        <f t="shared" si="13"/>
        <v>1078647.8011219171</v>
      </c>
      <c r="AJ29" s="26"/>
      <c r="AO29" s="26"/>
    </row>
    <row r="30" spans="1:42" x14ac:dyDescent="0.3">
      <c r="A30" s="109" t="s">
        <v>84</v>
      </c>
      <c r="B30" s="18" t="s">
        <v>85</v>
      </c>
      <c r="C30" s="19" t="str">
        <f>IFERROR(VLOOKUP(A30,'[1]SHOPP UPL SFY2021 Combined OUT'!$A:$F,6,FALSE),IFERROR(VLOOKUP(A30,'[1]SHOPP UPL SFY2021 Combined INP'!$A:$F,6,FALSE),VLOOKUP(A30,'[1]DRG UPL SFY21 Combined'!$A:$J,10,FALSE)))</f>
        <v>Yes</v>
      </c>
      <c r="D30" s="18">
        <v>1</v>
      </c>
      <c r="E30" s="20">
        <v>1</v>
      </c>
      <c r="F30" s="21">
        <f t="shared" si="0"/>
        <v>1844493.3431255082</v>
      </c>
      <c r="G30" s="22">
        <f>IF(C30="No",(VLOOKUP($A30,'[1]Cost UPL SFY21 Combine'!$B:$AS,17,FALSE)+VLOOKUP($A30,'[1]Cost UPL SFY21 Combine'!$B:$AS,18,FALSE)+VLOOKUP($A30,'[1]Cost UPL SFY21 Combine'!$B:$AS,19,FALSE)),(VLOOKUP($A30,'[1]DRG UPL SFY21 Combined'!$A:$AZ,18,FALSE)+VLOOKUP($A30,'[1]DRG UPL SFY21 Combined'!$A:$AZ,19,FALSE)+VLOOKUP($A30,'[1]DRG UPL SFY21 Combined'!$A:$AZ,22,FALSE)))</f>
        <v>770977.55999999994</v>
      </c>
      <c r="H30" s="22"/>
      <c r="I30" s="22">
        <f t="shared" si="7"/>
        <v>770977.55999999994</v>
      </c>
      <c r="J30" s="23">
        <f>IF($E30=1,I30/$I$93,0)</f>
        <v>1.4378452233063006E-3</v>
      </c>
      <c r="K30" s="22">
        <f>IFERROR(IF(C30="No",(VLOOKUP($A30,'[1]SHOPP UPL SFY2021 Combined INP'!$A:$AL,36,FALSE)),VLOOKUP($A30,'[1]DRG UPL SFY21 Combined'!$A:$AW,48,FALSE)),0)</f>
        <v>687613.84370776697</v>
      </c>
      <c r="L30" s="22">
        <f>IF($E30=1,ROUND($J30*(L$96+L$97),0),0)</f>
        <v>654633</v>
      </c>
      <c r="M30" s="22">
        <f>(IFERROR(VLOOKUP($A30,'[1]CAH 101% of cost'!$A$3:$BJ$44,48,FALSE),0))</f>
        <v>0</v>
      </c>
      <c r="N30" s="22">
        <f t="shared" si="8"/>
        <v>654633</v>
      </c>
      <c r="O30" s="22">
        <v>154226.23999999999</v>
      </c>
      <c r="P30" s="22">
        <f t="shared" si="1"/>
        <v>154493.39000000001</v>
      </c>
      <c r="Q30" s="22">
        <f t="shared" si="2"/>
        <v>163925.40000000002</v>
      </c>
      <c r="R30" s="22">
        <f t="shared" si="14"/>
        <v>163658.25</v>
      </c>
      <c r="S30" s="22">
        <f t="shared" si="14"/>
        <v>163658.25</v>
      </c>
      <c r="T30" s="22">
        <f t="shared" si="4"/>
        <v>9164.86</v>
      </c>
      <c r="U30" s="22">
        <f t="shared" si="5"/>
        <v>32980.843707766966</v>
      </c>
      <c r="V30" s="22"/>
      <c r="W30" s="22">
        <f>IFERROR(VLOOKUP($A30,'[1]Cost UPL SFY21 Combine'!$B:$AG,31,FALSE),0)+IFERROR(VLOOKUP($A30,'[1]Cost UPL SFY21 Combine'!$B:$AG,32,FALSE),0)</f>
        <v>1073515.7831255083</v>
      </c>
      <c r="X30" s="23">
        <f>IF($E30=1,W30/$W$93,0)</f>
        <v>3.373502849258774E-3</v>
      </c>
      <c r="Y30" s="22">
        <f>IFERROR(VLOOKUP($A30,'[1]SHOPP UPL SFY2021 Combined OUT'!$A:$AH,33,FALSE),0)</f>
        <v>1011960.9654516599</v>
      </c>
      <c r="Z30" s="24">
        <f>IF($E30=1,ROUND($X30*(Z$96+Z$97),0),0)</f>
        <v>253068</v>
      </c>
      <c r="AA30" s="22">
        <f>(IFERROR(VLOOKUP(A30,'[1]CAH 101% of cost'!$A$3:$BP$44,64,FALSE),0))</f>
        <v>0</v>
      </c>
      <c r="AB30" s="22">
        <f t="shared" si="6"/>
        <v>253068</v>
      </c>
      <c r="AC30" s="22">
        <f>VLOOKUP(A30,'[2]2022 Hospital Access Payments'!$B$2:$H$70,6,FALSE)</f>
        <v>61796.36</v>
      </c>
      <c r="AD30" s="22">
        <f t="shared" si="9"/>
        <v>59724.05</v>
      </c>
      <c r="AE30" s="22">
        <f t="shared" si="10"/>
        <v>61194.69</v>
      </c>
      <c r="AF30" s="22">
        <f t="shared" si="11"/>
        <v>63267</v>
      </c>
      <c r="AG30" s="22">
        <f t="shared" si="11"/>
        <v>63267</v>
      </c>
      <c r="AH30" s="22">
        <f t="shared" si="12"/>
        <v>3542.95</v>
      </c>
      <c r="AI30" s="22">
        <f t="shared" si="13"/>
        <v>758892.96545165987</v>
      </c>
      <c r="AJ30" s="26"/>
      <c r="AO30" s="26"/>
    </row>
    <row r="31" spans="1:42" x14ac:dyDescent="0.3">
      <c r="A31" s="109" t="s">
        <v>86</v>
      </c>
      <c r="B31" s="18" t="s">
        <v>87</v>
      </c>
      <c r="C31" s="19" t="str">
        <f>IFERROR(VLOOKUP(A31,'[1]SHOPP UPL SFY2021 Combined OUT'!$A:$F,6,FALSE),IFERROR(VLOOKUP(A31,'[1]SHOPP UPL SFY2021 Combined INP'!$A:$F,6,FALSE),VLOOKUP(A31,'[1]DRG UPL SFY21 Combined'!$A:$J,10,FALSE)))</f>
        <v>Yes</v>
      </c>
      <c r="D31" s="18">
        <v>1</v>
      </c>
      <c r="E31" s="20">
        <v>1</v>
      </c>
      <c r="F31" s="21">
        <f t="shared" si="0"/>
        <v>38978582.219658837</v>
      </c>
      <c r="G31" s="22">
        <f>IF(C31="No",(VLOOKUP($A31,'[1]Cost UPL SFY21 Combine'!$B:$AS,17,FALSE)+VLOOKUP($A31,'[1]Cost UPL SFY21 Combine'!$B:$AS,18,FALSE)+VLOOKUP($A31,'[1]Cost UPL SFY21 Combine'!$B:$AS,19,FALSE)),(VLOOKUP($A31,'[1]DRG UPL SFY21 Combined'!$A:$AZ,18,FALSE)+VLOOKUP($A31,'[1]DRG UPL SFY21 Combined'!$A:$AZ,19,FALSE)+VLOOKUP($A31,'[1]DRG UPL SFY21 Combined'!$A:$AZ,22,FALSE)))</f>
        <v>20301291.989999991</v>
      </c>
      <c r="H31" s="22"/>
      <c r="I31" s="22">
        <f t="shared" si="7"/>
        <v>20301291.989999991</v>
      </c>
      <c r="J31" s="23">
        <f>IF($E31=1,I31/$I$93,0)</f>
        <v>3.7861174214678765E-2</v>
      </c>
      <c r="K31" s="22">
        <f>IFERROR(IF(C31="No",(VLOOKUP($A31,'[1]SHOPP UPL SFY2021 Combined INP'!$A:$AL,36,FALSE)),VLOOKUP($A31,'[1]DRG UPL SFY21 Combined'!$A:$AW,48,FALSE)),0)</f>
        <v>19932371.52392948</v>
      </c>
      <c r="L31" s="22">
        <f>IF($E31=1,ROUND($J31*(L$96+L$97),0),0)</f>
        <v>17237724</v>
      </c>
      <c r="M31" s="22">
        <f>(IFERROR(VLOOKUP($A31,'[1]CAH 101% of cost'!$A$3:$BJ$44,48,FALSE),0))</f>
        <v>0</v>
      </c>
      <c r="N31" s="22">
        <f t="shared" si="8"/>
        <v>17237724</v>
      </c>
      <c r="O31" s="22">
        <v>4048923.14</v>
      </c>
      <c r="P31" s="22">
        <f t="shared" si="1"/>
        <v>4068102.86</v>
      </c>
      <c r="Q31" s="22">
        <f t="shared" si="2"/>
        <v>4328610.72</v>
      </c>
      <c r="R31" s="22">
        <f t="shared" si="14"/>
        <v>4309431</v>
      </c>
      <c r="S31" s="22">
        <f t="shared" si="14"/>
        <v>4309431</v>
      </c>
      <c r="T31" s="22">
        <f t="shared" si="4"/>
        <v>241328.14</v>
      </c>
      <c r="U31" s="22">
        <f t="shared" si="5"/>
        <v>2694647.5239294805</v>
      </c>
      <c r="V31" s="22"/>
      <c r="W31" s="22">
        <f>IFERROR(VLOOKUP($A31,'[1]Cost UPL SFY21 Combine'!$B:$AG,31,FALSE),0)+IFERROR(VLOOKUP($A31,'[1]Cost UPL SFY21 Combine'!$B:$AG,32,FALSE),0)</f>
        <v>18677290.229658842</v>
      </c>
      <c r="X31" s="23">
        <f>IF($E31=1,W31/$W$93,0)</f>
        <v>5.8693027896377654E-2</v>
      </c>
      <c r="Y31" s="22">
        <f>IFERROR(VLOOKUP($A31,'[1]SHOPP UPL SFY2021 Combined OUT'!$A:$AH,33,FALSE),0)</f>
        <v>4288129.3512095027</v>
      </c>
      <c r="Z31" s="24">
        <f>IF($E31=1,ROUND($X31*(Z$96+Z$97),0),0)</f>
        <v>4402936</v>
      </c>
      <c r="AA31" s="22">
        <f>(IFERROR(VLOOKUP(A31,'[1]CAH 101% of cost'!$A$3:$BP$44,64,FALSE),0))</f>
        <v>0</v>
      </c>
      <c r="AB31" s="22">
        <f t="shared" si="6"/>
        <v>4402936</v>
      </c>
      <c r="AC31" s="22">
        <f>VLOOKUP(A31,'[2]2022 Hospital Access Payments'!$B$2:$H$70,6,FALSE)</f>
        <v>1039642.78</v>
      </c>
      <c r="AD31" s="22">
        <f t="shared" si="9"/>
        <v>1039092.9</v>
      </c>
      <c r="AE31" s="22">
        <f t="shared" si="10"/>
        <v>1100184.1200000001</v>
      </c>
      <c r="AF31" s="22">
        <f t="shared" si="11"/>
        <v>1100734</v>
      </c>
      <c r="AG31" s="22">
        <f t="shared" si="11"/>
        <v>1100734</v>
      </c>
      <c r="AH31" s="22">
        <f t="shared" si="12"/>
        <v>61641.1</v>
      </c>
      <c r="AI31" s="22">
        <f t="shared" si="13"/>
        <v>-114806.64879049733</v>
      </c>
      <c r="AJ31" s="26"/>
      <c r="AO31" s="26"/>
    </row>
    <row r="32" spans="1:42" x14ac:dyDescent="0.3">
      <c r="A32" s="109" t="s">
        <v>88</v>
      </c>
      <c r="B32" s="18" t="s">
        <v>89</v>
      </c>
      <c r="C32" s="19" t="str">
        <f>IFERROR(VLOOKUP(A32,'[1]SHOPP UPL SFY2021 Combined OUT'!$A:$F,6,FALSE),IFERROR(VLOOKUP(A32,'[1]SHOPP UPL SFY2021 Combined INP'!$A:$F,6,FALSE),VLOOKUP(A32,'[1]DRG UPL SFY21 Combined'!$A:$J,10,FALSE)))</f>
        <v>Yes</v>
      </c>
      <c r="D32" s="18">
        <v>1</v>
      </c>
      <c r="E32" s="20">
        <v>1</v>
      </c>
      <c r="F32" s="21">
        <f t="shared" si="0"/>
        <v>10579343.92</v>
      </c>
      <c r="G32" s="22">
        <f>IF(C32="No",(VLOOKUP($A32,'[1]Cost UPL SFY21 Combine'!$B:$AS,17,FALSE)+VLOOKUP($A32,'[1]Cost UPL SFY21 Combine'!$B:$AS,18,FALSE)+VLOOKUP($A32,'[1]Cost UPL SFY21 Combine'!$B:$AS,19,FALSE)),(VLOOKUP($A32,'[1]DRG UPL SFY21 Combined'!$A:$AZ,18,FALSE)+VLOOKUP($A32,'[1]DRG UPL SFY21 Combined'!$A:$AZ,19,FALSE)+VLOOKUP($A32,'[1]DRG UPL SFY21 Combined'!$A:$AZ,22,FALSE)))</f>
        <v>5153824.9800000004</v>
      </c>
      <c r="H32" s="22"/>
      <c r="I32" s="22">
        <f t="shared" si="7"/>
        <v>5153824.9800000004</v>
      </c>
      <c r="J32" s="23">
        <f>IF($E32=1,I32/$I$93,0)</f>
        <v>9.6116969075594003E-3</v>
      </c>
      <c r="K32" s="22">
        <f>IFERROR(IF(C32="No",(VLOOKUP($A32,'[1]SHOPP UPL SFY2021 Combined INP'!$A:$AL,36,FALSE)),VLOOKUP($A32,'[1]DRG UPL SFY21 Combined'!$A:$AW,48,FALSE)),0)</f>
        <v>6476808.9992652554</v>
      </c>
      <c r="L32" s="22">
        <f>IF($E32=1,ROUND($J32*(L$96+L$97),0),0)</f>
        <v>4376087</v>
      </c>
      <c r="M32" s="22">
        <f>(IFERROR(VLOOKUP($A32,'[1]CAH 101% of cost'!$A$3:$BJ$44,48,FALSE),0))</f>
        <v>0</v>
      </c>
      <c r="N32" s="22">
        <f t="shared" si="8"/>
        <v>4376087</v>
      </c>
      <c r="O32" s="22">
        <v>1037287.26</v>
      </c>
      <c r="P32" s="22">
        <f t="shared" si="1"/>
        <v>1032756.53</v>
      </c>
      <c r="Q32" s="22">
        <f t="shared" si="2"/>
        <v>1089491.02</v>
      </c>
      <c r="R32" s="22">
        <f t="shared" si="14"/>
        <v>1094021.75</v>
      </c>
      <c r="S32" s="22">
        <f t="shared" si="14"/>
        <v>1094021.75</v>
      </c>
      <c r="T32" s="22">
        <f t="shared" si="4"/>
        <v>61265.22</v>
      </c>
      <c r="U32" s="22">
        <f t="shared" si="5"/>
        <v>2100721.9992652554</v>
      </c>
      <c r="V32" s="22"/>
      <c r="W32" s="22">
        <f>IFERROR(VLOOKUP($A32,'[1]Cost UPL SFY21 Combine'!$B:$AG,31,FALSE),0)+IFERROR(VLOOKUP($A32,'[1]Cost UPL SFY21 Combine'!$B:$AG,32,FALSE),0)</f>
        <v>5425518.9399999995</v>
      </c>
      <c r="X32" s="23">
        <f>IF($E32=1,W32/$W$93,0)</f>
        <v>1.7049589666496386E-2</v>
      </c>
      <c r="Y32" s="22">
        <f>IFERROR(VLOOKUP($A32,'[1]SHOPP UPL SFY2021 Combined OUT'!$A:$AH,33,FALSE),0)</f>
        <v>2590192.565737539</v>
      </c>
      <c r="Z32" s="24">
        <f>IF($E32=1,ROUND($X32*(Z$96+Z$97),0),0)</f>
        <v>1278998</v>
      </c>
      <c r="AA32" s="22">
        <f>(IFERROR(VLOOKUP(A32,'[1]CAH 101% of cost'!$A$3:$BP$44,64,FALSE),0))</f>
        <v>0</v>
      </c>
      <c r="AB32" s="22">
        <f t="shared" si="6"/>
        <v>1278998</v>
      </c>
      <c r="AC32" s="22">
        <f>VLOOKUP(A32,'[2]2022 Hospital Access Payments'!$B$2:$H$70,6,FALSE)</f>
        <v>296746.15999999997</v>
      </c>
      <c r="AD32" s="22">
        <f t="shared" si="9"/>
        <v>301843.53000000003</v>
      </c>
      <c r="AE32" s="22">
        <f t="shared" si="10"/>
        <v>324846.87000000005</v>
      </c>
      <c r="AF32" s="22">
        <f t="shared" si="11"/>
        <v>319749.5</v>
      </c>
      <c r="AG32" s="22">
        <f t="shared" si="11"/>
        <v>319749.5</v>
      </c>
      <c r="AH32" s="22">
        <f t="shared" si="12"/>
        <v>17905.97</v>
      </c>
      <c r="AI32" s="22">
        <f t="shared" si="13"/>
        <v>1311194.565737539</v>
      </c>
      <c r="AJ32" s="26"/>
      <c r="AO32" s="26"/>
    </row>
    <row r="33" spans="1:41" x14ac:dyDescent="0.3">
      <c r="A33" s="109" t="s">
        <v>90</v>
      </c>
      <c r="B33" s="18" t="s">
        <v>91</v>
      </c>
      <c r="C33" s="19" t="str">
        <f>IFERROR(VLOOKUP(A33,'[1]SHOPP UPL SFY2021 Combined OUT'!$A:$F,6,FALSE),IFERROR(VLOOKUP(A33,'[1]SHOPP UPL SFY2021 Combined INP'!$A:$F,6,FALSE),VLOOKUP(A33,'[1]DRG UPL SFY21 Combined'!$A:$J,10,FALSE)))</f>
        <v>Yes</v>
      </c>
      <c r="D33" s="18">
        <v>1</v>
      </c>
      <c r="E33" s="20">
        <v>1</v>
      </c>
      <c r="F33" s="21">
        <f t="shared" si="0"/>
        <v>15250500.730000021</v>
      </c>
      <c r="G33" s="22">
        <f>IF(C33="No",(VLOOKUP($A33,'[1]Cost UPL SFY21 Combine'!$B:$AS,17,FALSE)+VLOOKUP($A33,'[1]Cost UPL SFY21 Combine'!$B:$AS,18,FALSE)+VLOOKUP($A33,'[1]Cost UPL SFY21 Combine'!$B:$AS,19,FALSE)),(VLOOKUP($A33,'[1]DRG UPL SFY21 Combined'!$A:$AZ,18,FALSE)+VLOOKUP($A33,'[1]DRG UPL SFY21 Combined'!$A:$AZ,19,FALSE)+VLOOKUP($A33,'[1]DRG UPL SFY21 Combined'!$A:$AZ,22,FALSE)))</f>
        <v>6199072.0900000017</v>
      </c>
      <c r="H33" s="22"/>
      <c r="I33" s="22">
        <f t="shared" si="7"/>
        <v>6199072.0900000017</v>
      </c>
      <c r="J33" s="23">
        <f>IF($E33=1,I33/$I$93,0)</f>
        <v>1.1561044907114949E-2</v>
      </c>
      <c r="K33" s="22">
        <f>IFERROR(IF(C33="No",(VLOOKUP($A33,'[1]SHOPP UPL SFY2021 Combined INP'!$A:$AL,36,FALSE)),VLOOKUP($A33,'[1]DRG UPL SFY21 Combined'!$A:$AW,48,FALSE)),0)</f>
        <v>8816696.940159373</v>
      </c>
      <c r="L33" s="22">
        <f>IF($E33=1,ROUND($J33*(L$96+L$97),0),0)</f>
        <v>5263601</v>
      </c>
      <c r="M33" s="22">
        <f>(IFERROR(VLOOKUP($A33,'[1]CAH 101% of cost'!$A$3:$BJ$44,48,FALSE),0))</f>
        <v>0</v>
      </c>
      <c r="N33" s="22">
        <f t="shared" si="8"/>
        <v>5263601</v>
      </c>
      <c r="O33" s="22">
        <v>1252984.42</v>
      </c>
      <c r="P33" s="22">
        <f t="shared" si="1"/>
        <v>1242209.8400000001</v>
      </c>
      <c r="Q33" s="22">
        <f t="shared" si="2"/>
        <v>1305125.6700000002</v>
      </c>
      <c r="R33" s="22">
        <f t="shared" si="14"/>
        <v>1315900.25</v>
      </c>
      <c r="S33" s="22">
        <f t="shared" si="14"/>
        <v>1315900.25</v>
      </c>
      <c r="T33" s="22">
        <f t="shared" si="4"/>
        <v>73690.41</v>
      </c>
      <c r="U33" s="22">
        <f t="shared" si="5"/>
        <v>3553095.940159373</v>
      </c>
      <c r="V33" s="22"/>
      <c r="W33" s="22">
        <f>IFERROR(VLOOKUP($A33,'[1]Cost UPL SFY21 Combine'!$B:$AG,31,FALSE),0)+IFERROR(VLOOKUP($A33,'[1]Cost UPL SFY21 Combine'!$B:$AG,32,FALSE),0)</f>
        <v>9051428.6400000192</v>
      </c>
      <c r="X33" s="23">
        <f>IF($E33=1,W33/$W$93,0)</f>
        <v>2.8443941660550864E-2</v>
      </c>
      <c r="Y33" s="22">
        <f>IFERROR(VLOOKUP($A33,'[1]SHOPP UPL SFY2021 Combined OUT'!$A:$AH,33,FALSE),0)</f>
        <v>1537442.6632587835</v>
      </c>
      <c r="Z33" s="24">
        <f>IF($E33=1,ROUND($X33*(Z$96+Z$97),0),0)</f>
        <v>2133760</v>
      </c>
      <c r="AA33" s="22">
        <f>(IFERROR(VLOOKUP(A33,'[1]CAH 101% of cost'!$A$3:$BP$44,64,FALSE),0))</f>
        <v>0</v>
      </c>
      <c r="AB33" s="22">
        <f t="shared" si="6"/>
        <v>2133760</v>
      </c>
      <c r="AC33" s="22">
        <f>VLOOKUP(A33,'[2]2022 Hospital Access Payments'!$B$2:$H$70,6,FALSE)</f>
        <v>516971.22</v>
      </c>
      <c r="AD33" s="22">
        <f t="shared" si="9"/>
        <v>503567.35999999999</v>
      </c>
      <c r="AE33" s="22">
        <f t="shared" si="10"/>
        <v>520036.14</v>
      </c>
      <c r="AF33" s="22">
        <f t="shared" si="11"/>
        <v>533440</v>
      </c>
      <c r="AG33" s="22">
        <f t="shared" si="11"/>
        <v>533440</v>
      </c>
      <c r="AH33" s="22">
        <f t="shared" si="12"/>
        <v>29872.639999999999</v>
      </c>
      <c r="AI33" s="22">
        <f t="shared" si="13"/>
        <v>-596317.33674121648</v>
      </c>
      <c r="AJ33" s="26"/>
      <c r="AO33" s="26"/>
    </row>
    <row r="34" spans="1:41" x14ac:dyDescent="0.3">
      <c r="A34" s="109" t="s">
        <v>92</v>
      </c>
      <c r="B34" s="18" t="s">
        <v>93</v>
      </c>
      <c r="C34" s="19" t="str">
        <f>IFERROR(VLOOKUP(A34,'[1]SHOPP UPL SFY2021 Combined OUT'!$A:$F,6,FALSE),IFERROR(VLOOKUP(A34,'[1]SHOPP UPL SFY2021 Combined INP'!$A:$F,6,FALSE),VLOOKUP(A34,'[1]DRG UPL SFY21 Combined'!$A:$J,10,FALSE)))</f>
        <v>No</v>
      </c>
      <c r="D34" s="18">
        <v>1</v>
      </c>
      <c r="E34" s="20">
        <v>1</v>
      </c>
      <c r="F34" s="21">
        <f t="shared" si="0"/>
        <v>82225.850000000006</v>
      </c>
      <c r="G34" s="22">
        <f>IF(C34="No",(VLOOKUP($A34,'[1]Cost UPL SFY21 Combine'!$B:$AS,17,FALSE)+VLOOKUP($A34,'[1]Cost UPL SFY21 Combine'!$B:$AS,18,FALSE)+VLOOKUP($A34,'[1]Cost UPL SFY21 Combine'!$B:$AS,19,FALSE)),(VLOOKUP($A34,'[1]DRG UPL SFY21 Combined'!$A:$AZ,18,FALSE)+VLOOKUP($A34,'[1]DRG UPL SFY21 Combined'!$A:$AZ,19,FALSE)+VLOOKUP($A34,'[1]DRG UPL SFY21 Combined'!$A:$AZ,22,FALSE)))</f>
        <v>82225.850000000006</v>
      </c>
      <c r="H34" s="22"/>
      <c r="I34" s="22">
        <f t="shared" si="7"/>
        <v>82225.850000000006</v>
      </c>
      <c r="J34" s="23">
        <f>IF($E34=1,I34/$I$93,0)</f>
        <v>1.5334823189250851E-4</v>
      </c>
      <c r="K34" s="22">
        <f>IFERROR(IF(C34="No",(VLOOKUP($A34,'[1]SHOPP UPL SFY2021 Combined INP'!$A:$AL,36,FALSE)),VLOOKUP($A34,'[1]DRG UPL SFY21 Combined'!$A:$AW,48,FALSE)),0)</f>
        <v>66835.775702400832</v>
      </c>
      <c r="L34" s="22">
        <f>IF($E34=1,ROUND($J34*(L$96+L$97),0),0)</f>
        <v>69818</v>
      </c>
      <c r="M34" s="22">
        <f>(IFERROR(VLOOKUP($A34,'[1]CAH 101% of cost'!$A$3:$BJ$44,48,FALSE),0))</f>
        <v>0</v>
      </c>
      <c r="N34" s="22">
        <f t="shared" si="8"/>
        <v>69818</v>
      </c>
      <c r="O34" s="22">
        <v>16717.53</v>
      </c>
      <c r="P34" s="22">
        <f t="shared" si="1"/>
        <v>16477.05</v>
      </c>
      <c r="Q34" s="22">
        <f t="shared" si="2"/>
        <v>17214.02</v>
      </c>
      <c r="R34" s="22">
        <f t="shared" si="14"/>
        <v>17454.5</v>
      </c>
      <c r="S34" s="22">
        <f t="shared" si="14"/>
        <v>17454.5</v>
      </c>
      <c r="T34" s="22">
        <f t="shared" si="4"/>
        <v>977.45</v>
      </c>
      <c r="U34" s="22">
        <f t="shared" si="5"/>
        <v>-2982.2242975991685</v>
      </c>
      <c r="V34" s="22"/>
      <c r="W34" s="22">
        <f>IFERROR(VLOOKUP($A34,'[1]Cost UPL SFY21 Combine'!$B:$AG,31,FALSE),0)+IFERROR(VLOOKUP($A34,'[1]Cost UPL SFY21 Combine'!$B:$AG,32,FALSE),0)</f>
        <v>0</v>
      </c>
      <c r="X34" s="23">
        <f>IF($E34=1,W34/$W$93,0)</f>
        <v>0</v>
      </c>
      <c r="Y34" s="22">
        <f>IFERROR(VLOOKUP($A34,'[1]SHOPP UPL SFY2021 Combined OUT'!$A:$AH,33,FALSE),0)</f>
        <v>0</v>
      </c>
      <c r="Z34" s="24">
        <f>IF($E34=1,ROUND($X34*(Z$96+Z$97),0),0)</f>
        <v>0</v>
      </c>
      <c r="AA34" s="22">
        <f>(IFERROR(VLOOKUP(A34,'[1]CAH 101% of cost'!$A$3:$BP$44,64,FALSE),0))</f>
        <v>0</v>
      </c>
      <c r="AB34" s="22">
        <f t="shared" si="6"/>
        <v>0</v>
      </c>
      <c r="AC34" s="22">
        <f>VLOOKUP(A34,'[2]2022 Hospital Access Payments'!$B$2:$H$70,6,FALSE)</f>
        <v>0</v>
      </c>
      <c r="AD34" s="22">
        <f t="shared" si="9"/>
        <v>0</v>
      </c>
      <c r="AE34" s="22">
        <f t="shared" si="10"/>
        <v>0</v>
      </c>
      <c r="AF34" s="22">
        <f t="shared" si="11"/>
        <v>0</v>
      </c>
      <c r="AG34" s="22">
        <f t="shared" si="11"/>
        <v>0</v>
      </c>
      <c r="AH34" s="22">
        <f t="shared" si="12"/>
        <v>0</v>
      </c>
      <c r="AI34" s="22">
        <f t="shared" si="13"/>
        <v>0</v>
      </c>
      <c r="AJ34" s="26"/>
      <c r="AO34" s="26"/>
    </row>
    <row r="35" spans="1:41" x14ac:dyDescent="0.3">
      <c r="A35" s="109" t="s">
        <v>94</v>
      </c>
      <c r="B35" s="18" t="s">
        <v>95</v>
      </c>
      <c r="C35" s="19" t="str">
        <f>IFERROR(VLOOKUP(A35,'[1]SHOPP UPL SFY2021 Combined OUT'!$A:$F,6,FALSE),IFERROR(VLOOKUP(A35,'[1]SHOPP UPL SFY2021 Combined INP'!$A:$F,6,FALSE),VLOOKUP(A35,'[1]DRG UPL SFY21 Combined'!$A:$J,10,FALSE)))</f>
        <v>Yes</v>
      </c>
      <c r="D35" s="18">
        <v>1</v>
      </c>
      <c r="E35" s="20">
        <v>1</v>
      </c>
      <c r="F35" s="21">
        <f t="shared" si="0"/>
        <v>11125567.32999998</v>
      </c>
      <c r="G35" s="22">
        <f>IF(C35="No",(VLOOKUP($A35,'[1]Cost UPL SFY21 Combine'!$B:$AS,17,FALSE)+VLOOKUP($A35,'[1]Cost UPL SFY21 Combine'!$B:$AS,18,FALSE)+VLOOKUP($A35,'[1]Cost UPL SFY21 Combine'!$B:$AS,19,FALSE)),(VLOOKUP($A35,'[1]DRG UPL SFY21 Combined'!$A:$AZ,18,FALSE)+VLOOKUP($A35,'[1]DRG UPL SFY21 Combined'!$A:$AZ,19,FALSE)+VLOOKUP($A35,'[1]DRG UPL SFY21 Combined'!$A:$AZ,22,FALSE)))</f>
        <v>6333789.8599999994</v>
      </c>
      <c r="H35" s="22"/>
      <c r="I35" s="22">
        <f t="shared" si="7"/>
        <v>6333789.8599999994</v>
      </c>
      <c r="J35" s="23">
        <f>IF($E35=1,I35/$I$93,0)</f>
        <v>1.181228866846252E-2</v>
      </c>
      <c r="K35" s="22">
        <f>IFERROR(IF(C35="No",(VLOOKUP($A35,'[1]SHOPP UPL SFY2021 Combined INP'!$A:$AL,36,FALSE)),VLOOKUP($A35,'[1]DRG UPL SFY21 Combined'!$A:$AW,48,FALSE)),0)</f>
        <v>8907941.2176796496</v>
      </c>
      <c r="L35" s="22">
        <f>IF($E35=1,ROUND($J35*(L$96+L$97),0),0)</f>
        <v>5377989</v>
      </c>
      <c r="M35" s="22">
        <f>(IFERROR(VLOOKUP($A35,'[1]CAH 101% of cost'!$A$3:$BJ$44,48,FALSE),0))</f>
        <v>0</v>
      </c>
      <c r="N35" s="22">
        <f t="shared" si="8"/>
        <v>5377989</v>
      </c>
      <c r="O35" s="21">
        <v>1128976.0900000001</v>
      </c>
      <c r="P35" s="22">
        <f t="shared" si="1"/>
        <v>1269205.3999999999</v>
      </c>
      <c r="Q35" s="22">
        <f t="shared" si="2"/>
        <v>1484726.5599999998</v>
      </c>
      <c r="R35" s="22">
        <f t="shared" si="14"/>
        <v>1344497.25</v>
      </c>
      <c r="S35" s="22">
        <f t="shared" si="14"/>
        <v>1344497.25</v>
      </c>
      <c r="T35" s="22">
        <f t="shared" si="4"/>
        <v>75291.850000000006</v>
      </c>
      <c r="U35" s="22">
        <f t="shared" si="5"/>
        <v>3529952.2176796496</v>
      </c>
      <c r="V35" s="22"/>
      <c r="W35" s="22">
        <f>IFERROR(VLOOKUP($A35,'[1]Cost UPL SFY21 Combine'!$B:$AG,31,FALSE),0)+IFERROR(VLOOKUP($A35,'[1]Cost UPL SFY21 Combine'!$B:$AG,32,FALSE),0)</f>
        <v>4791777.4699999793</v>
      </c>
      <c r="X35" s="23">
        <f>IF($E35=1,W35/$W$93,0)</f>
        <v>1.50580691985681E-2</v>
      </c>
      <c r="Y35" s="22">
        <f>IFERROR(VLOOKUP($A35,'[1]SHOPP UPL SFY2021 Combined OUT'!$A:$AH,33,FALSE),0)</f>
        <v>1362125.998958406</v>
      </c>
      <c r="Z35" s="24">
        <f>IF($E35=1,ROUND($X35*(Z$96+Z$97),0),0)</f>
        <v>1129601</v>
      </c>
      <c r="AA35" s="22">
        <f>(IFERROR(VLOOKUP(A35,'[1]CAH 101% of cost'!$A$3:$BP$44,64,FALSE),0))</f>
        <v>0</v>
      </c>
      <c r="AB35" s="22">
        <f t="shared" si="6"/>
        <v>1129601</v>
      </c>
      <c r="AC35" s="22">
        <f>VLOOKUP(A35,'[2]2022 Hospital Access Payments'!$B$2:$H$70,6,FALSE)</f>
        <v>196814.09</v>
      </c>
      <c r="AD35" s="22">
        <f t="shared" si="9"/>
        <v>266585.84000000003</v>
      </c>
      <c r="AE35" s="22">
        <f t="shared" si="10"/>
        <v>352172</v>
      </c>
      <c r="AF35" s="22">
        <f t="shared" si="11"/>
        <v>282400.25</v>
      </c>
      <c r="AG35" s="22">
        <f t="shared" si="11"/>
        <v>282400.25</v>
      </c>
      <c r="AH35" s="22">
        <f t="shared" si="12"/>
        <v>15814.41</v>
      </c>
      <c r="AI35" s="22">
        <f t="shared" si="13"/>
        <v>232524.99895840604</v>
      </c>
      <c r="AJ35" s="26"/>
      <c r="AO35" s="26"/>
    </row>
    <row r="36" spans="1:41" x14ac:dyDescent="0.3">
      <c r="A36" s="109" t="s">
        <v>96</v>
      </c>
      <c r="B36" s="18" t="s">
        <v>97</v>
      </c>
      <c r="C36" s="19" t="str">
        <f>IFERROR(VLOOKUP(A36,'[1]SHOPP UPL SFY2021 Combined OUT'!$A:$F,6,FALSE),IFERROR(VLOOKUP(A36,'[1]SHOPP UPL SFY2021 Combined INP'!$A:$F,6,FALSE),VLOOKUP(A36,'[1]DRG UPL SFY21 Combined'!$A:$J,10,FALSE)))</f>
        <v>No</v>
      </c>
      <c r="D36" s="18">
        <v>1</v>
      </c>
      <c r="E36" s="20">
        <v>1</v>
      </c>
      <c r="F36" s="21">
        <f t="shared" si="0"/>
        <v>2804845.3000000003</v>
      </c>
      <c r="G36" s="22">
        <f>IF(C36="No",(VLOOKUP($A36,'[1]Cost UPL SFY21 Combine'!$B:$AS,17,FALSE)+VLOOKUP($A36,'[1]Cost UPL SFY21 Combine'!$B:$AS,18,FALSE)+VLOOKUP($A36,'[1]Cost UPL SFY21 Combine'!$B:$AS,19,FALSE)),(VLOOKUP($A36,'[1]DRG UPL SFY21 Combined'!$A:$AZ,18,FALSE)+VLOOKUP($A36,'[1]DRG UPL SFY21 Combined'!$A:$AZ,19,FALSE)+VLOOKUP($A36,'[1]DRG UPL SFY21 Combined'!$A:$AZ,22,FALSE)))</f>
        <v>2804845.3000000003</v>
      </c>
      <c r="H36" s="22"/>
      <c r="I36" s="22">
        <f t="shared" si="7"/>
        <v>2804845.3000000003</v>
      </c>
      <c r="J36" s="23">
        <f>IF($E36=1,I36/$I$93,0)</f>
        <v>5.2309348883229868E-3</v>
      </c>
      <c r="K36" s="22">
        <f>IFERROR(IF(C36="No",(VLOOKUP($A36,'[1]SHOPP UPL SFY2021 Combined INP'!$A:$AL,36,FALSE)),VLOOKUP($A36,'[1]DRG UPL SFY21 Combined'!$A:$AW,48,FALSE)),0)</f>
        <v>763178.87733782525</v>
      </c>
      <c r="L36" s="22">
        <f>IF($E36=1,ROUND($J36*(L$96+L$97),0),0)</f>
        <v>2381580</v>
      </c>
      <c r="M36" s="22">
        <f>(IFERROR(VLOOKUP($A36,'[1]CAH 101% of cost'!$A$3:$BJ$44,48,FALSE),0))</f>
        <v>0</v>
      </c>
      <c r="N36" s="22">
        <f t="shared" si="8"/>
        <v>2381580</v>
      </c>
      <c r="O36" s="22">
        <v>371008.05</v>
      </c>
      <c r="P36" s="22">
        <f t="shared" si="1"/>
        <v>562052.88</v>
      </c>
      <c r="Q36" s="22">
        <f t="shared" si="2"/>
        <v>786439.83000000007</v>
      </c>
      <c r="R36" s="22">
        <f t="shared" si="14"/>
        <v>595395</v>
      </c>
      <c r="S36" s="22">
        <f t="shared" si="14"/>
        <v>595395</v>
      </c>
      <c r="T36" s="22">
        <f t="shared" si="4"/>
        <v>33342.120000000003</v>
      </c>
      <c r="U36" s="22">
        <f t="shared" si="5"/>
        <v>-1618401.1226621747</v>
      </c>
      <c r="V36" s="22"/>
      <c r="W36" s="22">
        <f>IFERROR(VLOOKUP($A36,'[1]Cost UPL SFY21 Combine'!$B:$AG,31,FALSE),0)+IFERROR(VLOOKUP($A36,'[1]Cost UPL SFY21 Combine'!$B:$AG,32,FALSE),0)</f>
        <v>0</v>
      </c>
      <c r="X36" s="23">
        <f>IF($E36=1,W36/$W$93,0)</f>
        <v>0</v>
      </c>
      <c r="Y36" s="22">
        <f>IFERROR(VLOOKUP($A36,'[1]SHOPP UPL SFY2021 Combined OUT'!$A:$AH,33,FALSE),0)</f>
        <v>0</v>
      </c>
      <c r="Z36" s="24">
        <f>IF($E36=1,ROUND($X36*(Z$96+Z$97),0),0)</f>
        <v>0</v>
      </c>
      <c r="AA36" s="22">
        <f>(IFERROR(VLOOKUP(A36,'[1]CAH 101% of cost'!$A$3:$BP$44,64,FALSE),0))</f>
        <v>0</v>
      </c>
      <c r="AB36" s="22">
        <f t="shared" si="6"/>
        <v>0</v>
      </c>
      <c r="AC36" s="22">
        <f>VLOOKUP(A36,'[2]2022 Hospital Access Payments'!$B$2:$H$70,6,FALSE)</f>
        <v>0</v>
      </c>
      <c r="AD36" s="22">
        <f t="shared" si="9"/>
        <v>0</v>
      </c>
      <c r="AE36" s="22">
        <f t="shared" si="10"/>
        <v>0</v>
      </c>
      <c r="AF36" s="22">
        <f t="shared" si="11"/>
        <v>0</v>
      </c>
      <c r="AG36" s="22">
        <f t="shared" si="11"/>
        <v>0</v>
      </c>
      <c r="AH36" s="22">
        <f t="shared" si="12"/>
        <v>0</v>
      </c>
      <c r="AI36" s="22">
        <f t="shared" si="13"/>
        <v>0</v>
      </c>
      <c r="AJ36" s="26"/>
      <c r="AO36" s="26"/>
    </row>
    <row r="37" spans="1:41" x14ac:dyDescent="0.3">
      <c r="A37" s="109" t="s">
        <v>98</v>
      </c>
      <c r="B37" s="18" t="s">
        <v>99</v>
      </c>
      <c r="C37" s="19" t="str">
        <f>IFERROR(VLOOKUP(A37,'[1]SHOPP UPL SFY2021 Combined OUT'!$A:$F,6,FALSE),IFERROR(VLOOKUP(A37,'[1]SHOPP UPL SFY2021 Combined INP'!$A:$F,6,FALSE),VLOOKUP(A37,'[1]DRG UPL SFY21 Combined'!$A:$J,10,FALSE)))</f>
        <v>Yes</v>
      </c>
      <c r="D37" s="18">
        <v>1</v>
      </c>
      <c r="E37" s="20">
        <v>1</v>
      </c>
      <c r="F37" s="21">
        <f t="shared" si="0"/>
        <v>23506576.921366274</v>
      </c>
      <c r="G37" s="22">
        <f>IF(C37="No",(VLOOKUP($A37,'[1]Cost UPL SFY21 Combine'!$B:$AS,17,FALSE)+VLOOKUP($A37,'[1]Cost UPL SFY21 Combine'!$B:$AS,18,FALSE)+VLOOKUP($A37,'[1]Cost UPL SFY21 Combine'!$B:$AS,19,FALSE)),(VLOOKUP($A37,'[1]DRG UPL SFY21 Combined'!$A:$AZ,18,FALSE)+VLOOKUP($A37,'[1]DRG UPL SFY21 Combined'!$A:$AZ,19,FALSE)+VLOOKUP($A37,'[1]DRG UPL SFY21 Combined'!$A:$AZ,22,FALSE)))</f>
        <v>14451851.25</v>
      </c>
      <c r="H37" s="22"/>
      <c r="I37" s="22">
        <f t="shared" si="7"/>
        <v>14451851.25</v>
      </c>
      <c r="J37" s="23">
        <f>IF($E37=1,I37/$I$93,0)</f>
        <v>2.6952179111082938E-2</v>
      </c>
      <c r="K37" s="22">
        <f>IFERROR(IF(C37="No",(VLOOKUP($A37,'[1]SHOPP UPL SFY2021 Combined INP'!$A:$AL,36,FALSE)),VLOOKUP($A37,'[1]DRG UPL SFY21 Combined'!$A:$AW,48,FALSE)),0)</f>
        <v>10910202.766144931</v>
      </c>
      <c r="L37" s="22">
        <f>IF($E37=1,ROUND($J37*(L$96+L$97),0),0)</f>
        <v>12270993</v>
      </c>
      <c r="M37" s="22">
        <f>(IFERROR(VLOOKUP($A37,'[1]CAH 101% of cost'!$A$3:$BJ$44,48,FALSE),0))</f>
        <v>0</v>
      </c>
      <c r="N37" s="22">
        <f t="shared" si="8"/>
        <v>12270993</v>
      </c>
      <c r="O37" s="22">
        <v>2925969.77</v>
      </c>
      <c r="P37" s="22">
        <f t="shared" si="1"/>
        <v>2895954.35</v>
      </c>
      <c r="Q37" s="22">
        <f t="shared" si="2"/>
        <v>3037732.83</v>
      </c>
      <c r="R37" s="22">
        <f t="shared" si="14"/>
        <v>3067748.25</v>
      </c>
      <c r="S37" s="22">
        <f t="shared" si="14"/>
        <v>3067748.25</v>
      </c>
      <c r="T37" s="22">
        <f t="shared" si="4"/>
        <v>171793.9</v>
      </c>
      <c r="U37" s="22">
        <f t="shared" si="5"/>
        <v>-1360790.2338550687</v>
      </c>
      <c r="V37" s="22"/>
      <c r="W37" s="22">
        <f>IFERROR(VLOOKUP($A37,'[1]Cost UPL SFY21 Combine'!$B:$AG,31,FALSE),0)+IFERROR(VLOOKUP($A37,'[1]Cost UPL SFY21 Combine'!$B:$AG,32,FALSE),0)</f>
        <v>9054725.6713662725</v>
      </c>
      <c r="X37" s="23">
        <f>IF($E37=1,W37/$W$93,0)</f>
        <v>2.8454302518661184E-2</v>
      </c>
      <c r="Y37" s="22">
        <f>IFERROR(VLOOKUP($A37,'[1]SHOPP UPL SFY2021 Combined OUT'!$A:$AH,33,FALSE),0)</f>
        <v>2733942.0859504361</v>
      </c>
      <c r="Z37" s="24">
        <f>IF($E37=1,ROUND($X37*(Z$96+Z$97),0),0)</f>
        <v>2134538</v>
      </c>
      <c r="AA37" s="22">
        <f>(IFERROR(VLOOKUP(A37,'[1]CAH 101% of cost'!$A$3:$BP$44,64,FALSE),0))</f>
        <v>0</v>
      </c>
      <c r="AB37" s="22">
        <f t="shared" si="6"/>
        <v>2134538</v>
      </c>
      <c r="AC37" s="22">
        <f>VLOOKUP(A37,'[2]2022 Hospital Access Payments'!$B$2:$H$70,6,FALSE)</f>
        <v>506656.36</v>
      </c>
      <c r="AD37" s="22">
        <f t="shared" si="9"/>
        <v>503750.97</v>
      </c>
      <c r="AE37" s="22">
        <f t="shared" si="10"/>
        <v>530729.11</v>
      </c>
      <c r="AF37" s="22">
        <f t="shared" si="11"/>
        <v>533634.5</v>
      </c>
      <c r="AG37" s="22">
        <f t="shared" si="11"/>
        <v>533634.5</v>
      </c>
      <c r="AH37" s="22">
        <f t="shared" si="12"/>
        <v>29883.53</v>
      </c>
      <c r="AI37" s="22">
        <f t="shared" si="13"/>
        <v>599404.08595043607</v>
      </c>
      <c r="AJ37" s="26"/>
      <c r="AO37" s="26"/>
    </row>
    <row r="38" spans="1:41" x14ac:dyDescent="0.3">
      <c r="A38" s="109" t="s">
        <v>100</v>
      </c>
      <c r="B38" s="41" t="s">
        <v>101</v>
      </c>
      <c r="C38" s="19" t="s">
        <v>102</v>
      </c>
      <c r="D38" s="18">
        <v>1</v>
      </c>
      <c r="E38" s="20">
        <v>1</v>
      </c>
      <c r="F38" s="21">
        <f t="shared" si="0"/>
        <v>553778</v>
      </c>
      <c r="G38" s="22">
        <v>0</v>
      </c>
      <c r="H38" s="37"/>
      <c r="I38" s="21">
        <f>7086.78*4</f>
        <v>28347.119999999999</v>
      </c>
      <c r="J38" s="23">
        <f>IF($E38=1,I38/$I$93,0)</f>
        <v>5.2866352020012754E-5</v>
      </c>
      <c r="K38" s="22">
        <f>IFERROR(IF(C38="No",(VLOOKUP($A38,'[1]SHOPP UPL SFY2021 Combined INP'!$A:$AL,36,FALSE)),VLOOKUP($A38,'[1]DRG UPL SFY21 Combined'!$A:$AW,48,FALSE)),0)</f>
        <v>0</v>
      </c>
      <c r="L38" s="22">
        <f>IF($E38=1,ROUND($J38*(L$96+L$97),0),0)</f>
        <v>24069</v>
      </c>
      <c r="M38" s="22">
        <f>(IFERROR(VLOOKUP($A38,'[1]CAH 101% of cost'!$A$3:$BJ$44,48,FALSE),0))</f>
        <v>0</v>
      </c>
      <c r="N38" s="22">
        <f t="shared" si="8"/>
        <v>24069</v>
      </c>
      <c r="O38" s="22">
        <v>3828.39</v>
      </c>
      <c r="P38" s="22">
        <f t="shared" si="1"/>
        <v>5680.28</v>
      </c>
      <c r="Q38" s="22">
        <f t="shared" si="2"/>
        <v>7869.1399999999994</v>
      </c>
      <c r="R38" s="22">
        <f t="shared" si="14"/>
        <v>6017.25</v>
      </c>
      <c r="S38" s="22">
        <f t="shared" si="14"/>
        <v>6017.25</v>
      </c>
      <c r="T38" s="22">
        <f t="shared" si="4"/>
        <v>336.97</v>
      </c>
      <c r="U38" s="22">
        <f t="shared" si="5"/>
        <v>-24069</v>
      </c>
      <c r="V38" s="22"/>
      <c r="W38" s="21">
        <f>138444.5*4</f>
        <v>553778</v>
      </c>
      <c r="X38" s="23">
        <f>IF($E38=1,W38/$W$93,0)</f>
        <v>1.7402367903876558E-3</v>
      </c>
      <c r="Y38" s="22">
        <f>IFERROR(VLOOKUP($A38,'[1]SHOPP UPL SFY2021 Combined OUT'!$A:$AH,33,FALSE),0)</f>
        <v>0</v>
      </c>
      <c r="Z38" s="24">
        <f>IF($E38=1,ROUND($X38*(Z$96+Z$97),0),0)</f>
        <v>130546</v>
      </c>
      <c r="AA38" s="22">
        <f>(IFERROR(VLOOKUP(A38,'[1]CAH 101% of cost'!$A$3:$BP$44,64,FALSE),0))</f>
        <v>0</v>
      </c>
      <c r="AB38" s="22">
        <f t="shared" si="6"/>
        <v>130546</v>
      </c>
      <c r="AC38" s="22">
        <f>VLOOKUP(A38,'[2]2022 Hospital Access Payments'!$B$2:$H$70,6,FALSE)</f>
        <v>8815.7800000000007</v>
      </c>
      <c r="AD38" s="22">
        <f t="shared" si="9"/>
        <v>30808.86</v>
      </c>
      <c r="AE38" s="22">
        <f t="shared" si="10"/>
        <v>54629.58</v>
      </c>
      <c r="AF38" s="22">
        <f t="shared" ref="AF38:AG58" si="15">ROUND($AB38*25%,2)</f>
        <v>32636.5</v>
      </c>
      <c r="AG38" s="22">
        <f t="shared" si="15"/>
        <v>32636.5</v>
      </c>
      <c r="AH38" s="22">
        <f t="shared" si="12"/>
        <v>1827.64</v>
      </c>
      <c r="AI38" s="22">
        <f t="shared" si="13"/>
        <v>-130546</v>
      </c>
      <c r="AJ38" s="44"/>
      <c r="AO38" s="26"/>
    </row>
    <row r="39" spans="1:41" x14ac:dyDescent="0.3">
      <c r="A39" s="119" t="s">
        <v>103</v>
      </c>
      <c r="B39" s="42" t="s">
        <v>104</v>
      </c>
      <c r="C39" s="19" t="str">
        <f>IFERROR(VLOOKUP(A39,'[1]SHOPP UPL SFY2021 Combined OUT'!$A:$F,6,FALSE),IFERROR(VLOOKUP(A39,'[1]SHOPP UPL SFY2021 Combined INP'!$A:$F,6,FALSE),VLOOKUP(A39,'[1]DRG UPL SFY21 Combined'!$A:$J,10,FALSE)))</f>
        <v>No</v>
      </c>
      <c r="D39" s="18">
        <v>1</v>
      </c>
      <c r="E39" s="20">
        <v>1</v>
      </c>
      <c r="F39" s="21">
        <f t="shared" si="0"/>
        <v>234715.33999999997</v>
      </c>
      <c r="G39" s="22">
        <f>IF(C39="No",(VLOOKUP($A39,'[1]Cost UPL SFY21 Combine'!$B:$AS,17,FALSE)+VLOOKUP($A39,'[1]Cost UPL SFY21 Combine'!$B:$AS,18,FALSE)+VLOOKUP($A39,'[1]Cost UPL SFY21 Combine'!$B:$AS,19,FALSE)),(VLOOKUP($A39,'[1]DRG UPL SFY21 Combined'!$A:$AZ,18,FALSE)+VLOOKUP($A39,'[1]DRG UPL SFY21 Combined'!$A:$AZ,19,FALSE)+VLOOKUP($A39,'[1]DRG UPL SFY21 Combined'!$A:$AZ,22,FALSE)))</f>
        <v>234715.33999999997</v>
      </c>
      <c r="H39" s="22"/>
      <c r="I39" s="22">
        <f t="shared" si="7"/>
        <v>234715.33999999997</v>
      </c>
      <c r="J39" s="23">
        <f>IF($E39=1,I39/$I$93,0)</f>
        <v>4.3773560731873217E-4</v>
      </c>
      <c r="K39" s="22">
        <f>IFERROR(IF(C39="No",(VLOOKUP($A39,'[1]SHOPP UPL SFY2021 Combined INP'!$A:$AL,36,FALSE)),VLOOKUP($A39,'[1]DRG UPL SFY21 Combined'!$A:$AW,48,FALSE)),0)</f>
        <v>260785.9352930843</v>
      </c>
      <c r="L39" s="22">
        <f>IF($E39=1,ROUND($J39*(L$96+L$97),0),0)</f>
        <v>199296</v>
      </c>
      <c r="M39" s="22">
        <f>(IFERROR(VLOOKUP($A39,'[1]CAH 101% of cost'!$A$3:$BJ$44,48,FALSE),0))</f>
        <v>0</v>
      </c>
      <c r="N39" s="22">
        <f t="shared" si="8"/>
        <v>199296</v>
      </c>
      <c r="O39" s="22">
        <v>47720.14</v>
      </c>
      <c r="P39" s="22">
        <f t="shared" si="1"/>
        <v>47033.86</v>
      </c>
      <c r="Q39" s="22">
        <f t="shared" si="2"/>
        <v>49137.72</v>
      </c>
      <c r="R39" s="22">
        <f t="shared" si="14"/>
        <v>49824</v>
      </c>
      <c r="S39" s="22">
        <f t="shared" si="14"/>
        <v>49824</v>
      </c>
      <c r="T39" s="22">
        <f t="shared" si="4"/>
        <v>2790.14</v>
      </c>
      <c r="U39" s="22">
        <f t="shared" si="5"/>
        <v>61489.935293084302</v>
      </c>
      <c r="V39" s="22"/>
      <c r="W39" s="22">
        <f>IFERROR(VLOOKUP($A39,'[1]Cost UPL SFY21 Combine'!$B:$AG,31,FALSE),0)+IFERROR(VLOOKUP($A39,'[1]Cost UPL SFY21 Combine'!$B:$AG,32,FALSE),0)</f>
        <v>0</v>
      </c>
      <c r="X39" s="23">
        <f>IF($E39=1,W39/$W$93,0)</f>
        <v>0</v>
      </c>
      <c r="Y39" s="22">
        <f>IFERROR(VLOOKUP($A39,'[1]SHOPP UPL SFY2021 Combined OUT'!$A:$AH,33,FALSE),0)</f>
        <v>0</v>
      </c>
      <c r="Z39" s="24">
        <f>IF($E39=1,ROUND($X39*(Z$96+Z$97),0),0)</f>
        <v>0</v>
      </c>
      <c r="AA39" s="22">
        <f>(IFERROR(VLOOKUP(A39,'[1]CAH 101% of cost'!$A$3:$BP$44,64,FALSE),0))</f>
        <v>0</v>
      </c>
      <c r="AB39" s="22">
        <f t="shared" si="6"/>
        <v>0</v>
      </c>
      <c r="AC39" s="22">
        <f>VLOOKUP(A39,'[2]2022 Hospital Access Payments'!$B$2:$H$70,6,FALSE)</f>
        <v>0</v>
      </c>
      <c r="AD39" s="22">
        <f t="shared" si="9"/>
        <v>0</v>
      </c>
      <c r="AE39" s="22">
        <f t="shared" si="10"/>
        <v>0</v>
      </c>
      <c r="AF39" s="22">
        <f t="shared" si="15"/>
        <v>0</v>
      </c>
      <c r="AG39" s="22">
        <f t="shared" si="15"/>
        <v>0</v>
      </c>
      <c r="AH39" s="22">
        <f t="shared" si="12"/>
        <v>0</v>
      </c>
      <c r="AI39" s="22">
        <f t="shared" si="13"/>
        <v>0</v>
      </c>
      <c r="AJ39" s="26"/>
    </row>
    <row r="40" spans="1:41" x14ac:dyDescent="0.3">
      <c r="A40" s="109" t="s">
        <v>105</v>
      </c>
      <c r="B40" s="18" t="s">
        <v>106</v>
      </c>
      <c r="C40" s="19" t="str">
        <f>IFERROR(VLOOKUP(A40,'[1]SHOPP UPL SFY2021 Combined OUT'!$A:$F,6,FALSE),IFERROR(VLOOKUP(A40,'[1]SHOPP UPL SFY2021 Combined INP'!$A:$F,6,FALSE),VLOOKUP(A40,'[1]DRG UPL SFY21 Combined'!$A:$J,10,FALSE)))</f>
        <v>No</v>
      </c>
      <c r="D40" s="18">
        <v>1</v>
      </c>
      <c r="E40" s="20">
        <v>1</v>
      </c>
      <c r="F40" s="21">
        <f t="shared" si="0"/>
        <v>4904528.7200000007</v>
      </c>
      <c r="G40" s="22">
        <f>IF(C40="No",(VLOOKUP($A40,'[1]Cost UPL SFY21 Combine'!$B:$AS,17,FALSE)+VLOOKUP($A40,'[1]Cost UPL SFY21 Combine'!$B:$AS,18,FALSE)+VLOOKUP($A40,'[1]Cost UPL SFY21 Combine'!$B:$AS,19,FALSE)),(VLOOKUP($A40,'[1]DRG UPL SFY21 Combined'!$A:$AZ,18,FALSE)+VLOOKUP($A40,'[1]DRG UPL SFY21 Combined'!$A:$AZ,19,FALSE)+VLOOKUP($A40,'[1]DRG UPL SFY21 Combined'!$A:$AZ,22,FALSE)))</f>
        <v>4904528.7200000007</v>
      </c>
      <c r="H40" s="22"/>
      <c r="I40" s="22">
        <f t="shared" si="7"/>
        <v>4904528.7200000007</v>
      </c>
      <c r="J40" s="23">
        <f>IF($E40=1,I40/$I$93,0)</f>
        <v>9.1467684125859216E-3</v>
      </c>
      <c r="K40" s="22">
        <f>IFERROR(IF(C40="No",(VLOOKUP($A40,'[1]SHOPP UPL SFY2021 Combined INP'!$A:$AL,36,FALSE)),VLOOKUP($A40,'[1]DRG UPL SFY21 Combined'!$A:$AW,48,FALSE)),0)</f>
        <v>971390.88546659797</v>
      </c>
      <c r="L40" s="22">
        <f>IF($E40=1,ROUND($J40*(L$96+L$97),0),0)</f>
        <v>4164410</v>
      </c>
      <c r="M40" s="22">
        <f>(IFERROR(VLOOKUP($A40,'[1]CAH 101% of cost'!$A$3:$BJ$44,48,FALSE),0))</f>
        <v>0</v>
      </c>
      <c r="N40" s="22">
        <f t="shared" si="8"/>
        <v>4164410</v>
      </c>
      <c r="O40" s="22">
        <v>847679.9</v>
      </c>
      <c r="P40" s="22">
        <f t="shared" si="1"/>
        <v>982800.76</v>
      </c>
      <c r="Q40" s="22">
        <f t="shared" si="2"/>
        <v>1176223.3599999999</v>
      </c>
      <c r="R40" s="22">
        <f t="shared" si="14"/>
        <v>1041102.5</v>
      </c>
      <c r="S40" s="22">
        <f t="shared" si="14"/>
        <v>1041102.5</v>
      </c>
      <c r="T40" s="22">
        <f t="shared" si="4"/>
        <v>58301.74</v>
      </c>
      <c r="U40" s="22">
        <f t="shared" si="5"/>
        <v>-3193019.114533402</v>
      </c>
      <c r="V40" s="22"/>
      <c r="W40" s="22">
        <f>IFERROR(VLOOKUP($A40,'[1]Cost UPL SFY21 Combine'!$B:$AG,31,FALSE),0)+IFERROR(VLOOKUP($A40,'[1]Cost UPL SFY21 Combine'!$B:$AG,32,FALSE),0)</f>
        <v>0</v>
      </c>
      <c r="X40" s="23">
        <f>IF($E40=1,W40/$W$93,0)</f>
        <v>0</v>
      </c>
      <c r="Y40" s="22">
        <f>IFERROR(VLOOKUP($A40,'[1]SHOPP UPL SFY2021 Combined OUT'!$A:$AH,33,FALSE),0)</f>
        <v>0</v>
      </c>
      <c r="Z40" s="24">
        <f>IF($E40=1,ROUND($X40*(Z$96+Z$97),0),0)</f>
        <v>0</v>
      </c>
      <c r="AA40" s="22">
        <f>(IFERROR(VLOOKUP(A40,'[1]CAH 101% of cost'!$A$3:$BP$44,64,FALSE),0))</f>
        <v>0</v>
      </c>
      <c r="AB40" s="22">
        <f t="shared" si="6"/>
        <v>0</v>
      </c>
      <c r="AC40" s="22">
        <f>VLOOKUP(A40,'[2]2022 Hospital Access Payments'!$B$2:$H$70,6,FALSE)</f>
        <v>0</v>
      </c>
      <c r="AD40" s="22">
        <f t="shared" si="9"/>
        <v>0</v>
      </c>
      <c r="AE40" s="22">
        <f t="shared" si="10"/>
        <v>0</v>
      </c>
      <c r="AF40" s="22">
        <f t="shared" si="15"/>
        <v>0</v>
      </c>
      <c r="AG40" s="22">
        <f t="shared" si="15"/>
        <v>0</v>
      </c>
      <c r="AH40" s="22">
        <f t="shared" si="12"/>
        <v>0</v>
      </c>
      <c r="AI40" s="22">
        <f t="shared" si="13"/>
        <v>0</v>
      </c>
      <c r="AJ40" s="26"/>
      <c r="AO40" s="26"/>
    </row>
    <row r="41" spans="1:41" x14ac:dyDescent="0.3">
      <c r="A41" s="121" t="s">
        <v>107</v>
      </c>
      <c r="B41" s="18" t="s">
        <v>108</v>
      </c>
      <c r="C41" s="19" t="str">
        <f>IFERROR(VLOOKUP(A41,'[1]SHOPP UPL SFY2021 Combined OUT'!$A:$F,6,FALSE),IFERROR(VLOOKUP(A41,'[1]SHOPP UPL SFY2021 Combined INP'!$A:$F,6,FALSE),VLOOKUP(A41,'[1]DRG UPL SFY21 Combined'!$A:$J,10,FALSE)))</f>
        <v>No</v>
      </c>
      <c r="D41" s="18">
        <v>1</v>
      </c>
      <c r="E41" s="20">
        <v>1</v>
      </c>
      <c r="F41" s="21">
        <f t="shared" si="0"/>
        <v>1332207.22</v>
      </c>
      <c r="G41" s="22">
        <f>IF(C41="No",(VLOOKUP($A41,'[1]Cost UPL SFY21 Combine'!$B:$AS,17,FALSE)+VLOOKUP($A41,'[1]Cost UPL SFY21 Combine'!$B:$AS,18,FALSE)+VLOOKUP($A41,'[1]Cost UPL SFY21 Combine'!$B:$AS,19,FALSE)),(VLOOKUP($A41,'[1]DRG UPL SFY21 Combined'!$A:$AZ,18,FALSE)+VLOOKUP($A41,'[1]DRG UPL SFY21 Combined'!$A:$AZ,19,FALSE)+VLOOKUP($A41,'[1]DRG UPL SFY21 Combined'!$A:$AZ,22,FALSE)))</f>
        <v>1332207.22</v>
      </c>
      <c r="H41" s="22"/>
      <c r="I41" s="22">
        <f t="shared" si="7"/>
        <v>1332207.22</v>
      </c>
      <c r="J41" s="23">
        <f>IF($E41=1,I41/$I$93,0)</f>
        <v>2.4845182105315312E-3</v>
      </c>
      <c r="K41" s="22">
        <f>IFERROR(IF(C41="No",(VLOOKUP($A41,'[1]SHOPP UPL SFY2021 Combined INP'!$A:$AL,36,FALSE)),VLOOKUP($A41,'[1]DRG UPL SFY21 Combined'!$A:$AW,48,FALSE)),0)</f>
        <v>-238262.85291444353</v>
      </c>
      <c r="L41" s="22">
        <f>IF($E41=1,ROUND($J41*(L$96+L$97),0),0)</f>
        <v>1131170</v>
      </c>
      <c r="M41" s="22">
        <f>(IFERROR(VLOOKUP($A41,'[1]CAH 101% of cost'!$A$3:$BJ$44,48,FALSE),0))</f>
        <v>0</v>
      </c>
      <c r="N41" s="22">
        <f t="shared" si="8"/>
        <v>1131170</v>
      </c>
      <c r="O41" s="22">
        <v>270852.47999999998</v>
      </c>
      <c r="P41" s="22">
        <f t="shared" si="1"/>
        <v>266956.12</v>
      </c>
      <c r="Q41" s="22">
        <f t="shared" si="2"/>
        <v>278896.14</v>
      </c>
      <c r="R41" s="22">
        <f t="shared" si="14"/>
        <v>282792.5</v>
      </c>
      <c r="S41" s="22">
        <f t="shared" si="14"/>
        <v>282792.5</v>
      </c>
      <c r="T41" s="22">
        <f t="shared" si="4"/>
        <v>15836.38</v>
      </c>
      <c r="U41" s="22">
        <f t="shared" si="5"/>
        <v>-1369432.8529144435</v>
      </c>
      <c r="V41" s="22"/>
      <c r="W41" s="22">
        <f>IFERROR(VLOOKUP($A41,'[1]Cost UPL SFY21 Combine'!$B:$AG,31,FALSE),0)+IFERROR(VLOOKUP($A41,'[1]Cost UPL SFY21 Combine'!$B:$AG,32,FALSE),0)</f>
        <v>0</v>
      </c>
      <c r="X41" s="23">
        <f>IF($E41=1,W41/$W$93,0)</f>
        <v>0</v>
      </c>
      <c r="Y41" s="22">
        <f>IFERROR(VLOOKUP($A41,'[1]SHOPP UPL SFY2021 Combined OUT'!$A:$AH,33,FALSE),0)</f>
        <v>0</v>
      </c>
      <c r="Z41" s="24">
        <f>IF($E41=1,ROUND($X41*(Z$96+Z$97),0),0)</f>
        <v>0</v>
      </c>
      <c r="AA41" s="22">
        <f>(IFERROR(VLOOKUP(A41,'[1]CAH 101% of cost'!$A$3:$BP$44,64,FALSE),0))</f>
        <v>0</v>
      </c>
      <c r="AB41" s="22">
        <f t="shared" si="6"/>
        <v>0</v>
      </c>
      <c r="AC41" s="22">
        <f>VLOOKUP(A41,'[2]2022 Hospital Access Payments'!$B$2:$H$70,6,FALSE)</f>
        <v>2848.99</v>
      </c>
      <c r="AD41" s="22">
        <f t="shared" si="9"/>
        <v>0</v>
      </c>
      <c r="AE41" s="22">
        <v>0</v>
      </c>
      <c r="AF41" s="22">
        <f t="shared" si="15"/>
        <v>0</v>
      </c>
      <c r="AG41" s="22">
        <f t="shared" si="15"/>
        <v>0</v>
      </c>
      <c r="AH41" s="22">
        <f t="shared" si="12"/>
        <v>0</v>
      </c>
      <c r="AI41" s="22">
        <f t="shared" si="13"/>
        <v>0</v>
      </c>
      <c r="AJ41" s="26"/>
      <c r="AO41" s="26"/>
    </row>
    <row r="42" spans="1:41" x14ac:dyDescent="0.3">
      <c r="A42" s="109" t="s">
        <v>109</v>
      </c>
      <c r="B42" s="18" t="s">
        <v>110</v>
      </c>
      <c r="C42" s="19" t="str">
        <f>IFERROR(VLOOKUP(A42,'[1]SHOPP UPL SFY2021 Combined OUT'!$A:$F,6,FALSE),IFERROR(VLOOKUP(A42,'[1]SHOPP UPL SFY2021 Combined INP'!$A:$F,6,FALSE),VLOOKUP(A42,'[1]DRG UPL SFY21 Combined'!$A:$J,10,FALSE)))</f>
        <v>Yes</v>
      </c>
      <c r="D42" s="18">
        <v>1</v>
      </c>
      <c r="E42" s="20">
        <v>1</v>
      </c>
      <c r="F42" s="21">
        <f t="shared" si="0"/>
        <v>148954628.3107605</v>
      </c>
      <c r="G42" s="22">
        <f>IF(C42="No",(VLOOKUP($A42,'[1]Cost UPL SFY21 Combine'!$B:$AS,17,FALSE)+VLOOKUP($A42,'[1]Cost UPL SFY21 Combine'!$B:$AS,18,FALSE)+VLOOKUP($A42,'[1]Cost UPL SFY21 Combine'!$B:$AS,19,FALSE)),(VLOOKUP($A42,'[1]DRG UPL SFY21 Combined'!$A:$AZ,18,FALSE)+VLOOKUP($A42,'[1]DRG UPL SFY21 Combined'!$A:$AZ,19,FALSE)+VLOOKUP($A42,'[1]DRG UPL SFY21 Combined'!$A:$AZ,22,FALSE)))</f>
        <v>108087167.39999999</v>
      </c>
      <c r="H42" s="22"/>
      <c r="I42" s="22">
        <f t="shared" si="7"/>
        <v>108087167.39999999</v>
      </c>
      <c r="J42" s="23">
        <f>IF($E42=1,I42/$I$93,0)</f>
        <v>0.20157865210343931</v>
      </c>
      <c r="K42" s="22">
        <f>IFERROR(IF(C42="No",(VLOOKUP($A42,'[1]SHOPP UPL SFY2021 Combined INP'!$A:$AL,36,FALSE)),VLOOKUP($A42,'[1]DRG UPL SFY21 Combined'!$A:$AW,48,FALSE)),0)</f>
        <v>72555639.601235703</v>
      </c>
      <c r="L42" s="22">
        <f>IF($E42=1,ROUND($J42*(L$96+L$97),0),0)</f>
        <v>91776264</v>
      </c>
      <c r="M42" s="22">
        <f>(IFERROR(VLOOKUP($A42,'[1]CAH 101% of cost'!$A$3:$BJ$44,48,FALSE),0))</f>
        <v>0</v>
      </c>
      <c r="N42" s="22">
        <f t="shared" si="8"/>
        <v>91776264</v>
      </c>
      <c r="O42" s="22">
        <v>21881970.98</v>
      </c>
      <c r="P42" s="22">
        <f t="shared" si="1"/>
        <v>21659198.300000001</v>
      </c>
      <c r="Q42" s="22">
        <f t="shared" si="2"/>
        <v>22721293.32</v>
      </c>
      <c r="R42" s="22">
        <f t="shared" si="14"/>
        <v>22944066</v>
      </c>
      <c r="S42" s="22">
        <f t="shared" si="14"/>
        <v>22944066</v>
      </c>
      <c r="T42" s="22">
        <f t="shared" si="4"/>
        <v>1284867.7</v>
      </c>
      <c r="U42" s="22">
        <f t="shared" si="5"/>
        <v>-19220624.398764297</v>
      </c>
      <c r="V42" s="22"/>
      <c r="W42" s="22">
        <f>IFERROR(VLOOKUP($A42,'[1]Cost UPL SFY21 Combine'!$B:$AG,31,FALSE),0)+IFERROR(VLOOKUP($A42,'[1]Cost UPL SFY21 Combine'!$B:$AG,32,FALSE),0)</f>
        <v>40867460.9107605</v>
      </c>
      <c r="X42" s="23">
        <f>IF($E42=1,W42/$W$93,0)</f>
        <v>0.12842521553155747</v>
      </c>
      <c r="Y42" s="22">
        <f>IFERROR(VLOOKUP($A42,'[1]SHOPP UPL SFY2021 Combined OUT'!$A:$AH,33,FALSE),0)</f>
        <v>1827234.0414006636</v>
      </c>
      <c r="Z42" s="24">
        <f>IF($E42=1,ROUND($X42*(Z$96+Z$97),0),0)</f>
        <v>9633990</v>
      </c>
      <c r="AA42" s="22">
        <f>(IFERROR(VLOOKUP(A42,'[1]CAH 101% of cost'!$A$3:$BP$44,64,FALSE),0))</f>
        <v>0</v>
      </c>
      <c r="AB42" s="22">
        <f t="shared" si="6"/>
        <v>9633990</v>
      </c>
      <c r="AC42" s="22">
        <f>VLOOKUP(A42,'[2]2022 Hospital Access Payments'!$B$2:$H$70,6,FALSE)</f>
        <v>2316665.92</v>
      </c>
      <c r="AD42" s="22">
        <f t="shared" si="9"/>
        <v>2273621.64</v>
      </c>
      <c r="AE42" s="22">
        <f t="shared" si="10"/>
        <v>2365453.2200000002</v>
      </c>
      <c r="AF42" s="22">
        <f t="shared" si="15"/>
        <v>2408497.5</v>
      </c>
      <c r="AG42" s="22">
        <f t="shared" si="15"/>
        <v>2408497.5</v>
      </c>
      <c r="AH42" s="22">
        <f t="shared" si="12"/>
        <v>134875.85999999999</v>
      </c>
      <c r="AI42" s="22">
        <f t="shared" si="13"/>
        <v>-7806755.9585993364</v>
      </c>
      <c r="AJ42" s="26"/>
      <c r="AO42" s="26"/>
    </row>
    <row r="43" spans="1:41" x14ac:dyDescent="0.3">
      <c r="A43" s="109" t="s">
        <v>111</v>
      </c>
      <c r="B43" s="18" t="s">
        <v>112</v>
      </c>
      <c r="C43" s="19" t="str">
        <f>IFERROR(VLOOKUP(A43,'[1]SHOPP UPL SFY2021 Combined OUT'!$A:$F,6,FALSE),IFERROR(VLOOKUP(A43,'[1]SHOPP UPL SFY2021 Combined INP'!$A:$F,6,FALSE),VLOOKUP(A43,'[1]DRG UPL SFY21 Combined'!$A:$J,10,FALSE)))</f>
        <v>Yes</v>
      </c>
      <c r="D43" s="18">
        <v>1</v>
      </c>
      <c r="E43" s="20">
        <v>1</v>
      </c>
      <c r="F43" s="21">
        <f t="shared" si="0"/>
        <v>15830520.287917305</v>
      </c>
      <c r="G43" s="22">
        <f>IF(C43="No",(VLOOKUP($A43,'[1]Cost UPL SFY21 Combine'!$B:$AS,17,FALSE)+VLOOKUP($A43,'[1]Cost UPL SFY21 Combine'!$B:$AS,18,FALSE)+VLOOKUP($A43,'[1]Cost UPL SFY21 Combine'!$B:$AS,19,FALSE)),(VLOOKUP($A43,'[1]DRG UPL SFY21 Combined'!$A:$AZ,18,FALSE)+VLOOKUP($A43,'[1]DRG UPL SFY21 Combined'!$A:$AZ,19,FALSE)+VLOOKUP($A43,'[1]DRG UPL SFY21 Combined'!$A:$AZ,22,FALSE)))</f>
        <v>7949722.4400000004</v>
      </c>
      <c r="H43" s="22"/>
      <c r="I43" s="22">
        <f t="shared" si="7"/>
        <v>7949722.4400000004</v>
      </c>
      <c r="J43" s="23">
        <f>IF($E43=1,I43/$I$93,0)</f>
        <v>1.4825944398388082E-2</v>
      </c>
      <c r="K43" s="22">
        <f>IFERROR(IF(C43="No",(VLOOKUP($A43,'[1]SHOPP UPL SFY2021 Combined INP'!$A:$AL,36,FALSE)),VLOOKUP($A43,'[1]DRG UPL SFY21 Combined'!$A:$AW,48,FALSE)),0)</f>
        <v>7653654.8943298841</v>
      </c>
      <c r="L43" s="22">
        <f>IF($E43=1,ROUND($J43*(L$96+L$97),0),0)</f>
        <v>6750069</v>
      </c>
      <c r="M43" s="22">
        <f>(IFERROR(VLOOKUP($A43,'[1]CAH 101% of cost'!$A$3:$BJ$44,48,FALSE),0))</f>
        <v>0</v>
      </c>
      <c r="N43" s="22">
        <f t="shared" si="8"/>
        <v>6750069</v>
      </c>
      <c r="O43" s="22">
        <v>1611383.69</v>
      </c>
      <c r="P43" s="22">
        <f t="shared" si="1"/>
        <v>1593016.28</v>
      </c>
      <c r="Q43" s="22">
        <f t="shared" si="2"/>
        <v>1669149.84</v>
      </c>
      <c r="R43" s="22">
        <f t="shared" si="14"/>
        <v>1687517.25</v>
      </c>
      <c r="S43" s="22">
        <f t="shared" si="14"/>
        <v>1687517.25</v>
      </c>
      <c r="T43" s="22">
        <f t="shared" si="4"/>
        <v>94500.97</v>
      </c>
      <c r="U43" s="22">
        <f t="shared" si="5"/>
        <v>903585.89432988409</v>
      </c>
      <c r="V43" s="22"/>
      <c r="W43" s="22">
        <f>IFERROR(VLOOKUP($A43,'[1]Cost UPL SFY21 Combine'!$B:$AG,31,FALSE),0)+IFERROR(VLOOKUP($A43,'[1]Cost UPL SFY21 Combine'!$B:$AG,32,FALSE),0)</f>
        <v>7880797.8479173053</v>
      </c>
      <c r="X43" s="23">
        <f>IF($E43=1,W43/$W$93,0)</f>
        <v>2.4765256750094E-2</v>
      </c>
      <c r="Y43" s="22">
        <f>IFERROR(VLOOKUP($A43,'[1]SHOPP UPL SFY2021 Combined OUT'!$A:$AH,33,FALSE),0)</f>
        <v>647821.87878561206</v>
      </c>
      <c r="Z43" s="24">
        <f>IF($E43=1,ROUND($X43*(Z$96+Z$97),0),0)</f>
        <v>1857799</v>
      </c>
      <c r="AA43" s="22">
        <f>(IFERROR(VLOOKUP(A43,'[1]CAH 101% of cost'!$A$3:$BP$44,64,FALSE),0))</f>
        <v>0</v>
      </c>
      <c r="AB43" s="22">
        <f t="shared" si="6"/>
        <v>1857799</v>
      </c>
      <c r="AC43" s="22">
        <f>VLOOKUP(A43,'[2]2022 Hospital Access Payments'!$B$2:$H$70,6,FALSE)</f>
        <v>430100.8</v>
      </c>
      <c r="AD43" s="22">
        <f t="shared" si="9"/>
        <v>438440.56</v>
      </c>
      <c r="AE43" s="22">
        <f t="shared" si="10"/>
        <v>472789.51</v>
      </c>
      <c r="AF43" s="22">
        <f t="shared" si="15"/>
        <v>464449.75</v>
      </c>
      <c r="AG43" s="22">
        <f t="shared" si="15"/>
        <v>464449.75</v>
      </c>
      <c r="AH43" s="22">
        <f t="shared" si="12"/>
        <v>26009.19</v>
      </c>
      <c r="AI43" s="22">
        <f t="shared" si="13"/>
        <v>-1209977.1212143879</v>
      </c>
      <c r="AJ43" s="26"/>
      <c r="AO43" s="26"/>
    </row>
    <row r="44" spans="1:41" x14ac:dyDescent="0.3">
      <c r="A44" s="109" t="s">
        <v>113</v>
      </c>
      <c r="B44" s="18" t="s">
        <v>114</v>
      </c>
      <c r="C44" s="19" t="str">
        <f>IFERROR(VLOOKUP(A44,'[1]SHOPP UPL SFY2021 Combined OUT'!$A:$F,6,FALSE),IFERROR(VLOOKUP(A44,'[1]SHOPP UPL SFY2021 Combined INP'!$A:$F,6,FALSE),VLOOKUP(A44,'[1]DRG UPL SFY21 Combined'!$A:$J,10,FALSE)))</f>
        <v>Yes</v>
      </c>
      <c r="D44" s="18">
        <v>1</v>
      </c>
      <c r="E44" s="20">
        <v>1</v>
      </c>
      <c r="F44" s="21">
        <f t="shared" si="0"/>
        <v>2530715.4097167314</v>
      </c>
      <c r="G44" s="22">
        <f>IF(C44="No",(VLOOKUP($A44,'[1]Cost UPL SFY21 Combine'!$B:$AS,17,FALSE)+VLOOKUP($A44,'[1]Cost UPL SFY21 Combine'!$B:$AS,18,FALSE)+VLOOKUP($A44,'[1]Cost UPL SFY21 Combine'!$B:$AS,19,FALSE)),(VLOOKUP($A44,'[1]DRG UPL SFY21 Combined'!$A:$AZ,18,FALSE)+VLOOKUP($A44,'[1]DRG UPL SFY21 Combined'!$A:$AZ,19,FALSE)+VLOOKUP($A44,'[1]DRG UPL SFY21 Combined'!$A:$AZ,22,FALSE)))</f>
        <v>808622.52999999991</v>
      </c>
      <c r="H44" s="22"/>
      <c r="I44" s="22">
        <f t="shared" si="7"/>
        <v>808622.52999999991</v>
      </c>
      <c r="J44" s="23">
        <f>IF($E44=1,I44/$I$93,0)</f>
        <v>1.5080517287926717E-3</v>
      </c>
      <c r="K44" s="22">
        <f>IFERROR(IF(C44="No",(VLOOKUP($A44,'[1]SHOPP UPL SFY2021 Combined INP'!$A:$AL,36,FALSE)),VLOOKUP($A44,'[1]DRG UPL SFY21 Combined'!$A:$AW,48,FALSE)),0)</f>
        <v>767113.53035929136</v>
      </c>
      <c r="L44" s="22">
        <f>IF($E44=1,ROUND($J44*(L$96+L$97),0),0)</f>
        <v>686597</v>
      </c>
      <c r="M44" s="22">
        <f>(IFERROR(VLOOKUP($A44,'[1]CAH 101% of cost'!$A$3:$BJ$44,48,FALSE),0))</f>
        <v>0</v>
      </c>
      <c r="N44" s="22">
        <f t="shared" si="8"/>
        <v>686597</v>
      </c>
      <c r="O44" s="22">
        <v>162017.54</v>
      </c>
      <c r="P44" s="22">
        <f t="shared" si="1"/>
        <v>162036.89000000001</v>
      </c>
      <c r="Q44" s="22">
        <f t="shared" si="2"/>
        <v>171668.6</v>
      </c>
      <c r="R44" s="22">
        <f t="shared" si="14"/>
        <v>171649.25</v>
      </c>
      <c r="S44" s="22">
        <f t="shared" si="14"/>
        <v>171649.25</v>
      </c>
      <c r="T44" s="22">
        <f t="shared" si="4"/>
        <v>9612.36</v>
      </c>
      <c r="U44" s="22">
        <f t="shared" si="5"/>
        <v>80516.530359291355</v>
      </c>
      <c r="V44" s="22"/>
      <c r="W44" s="22">
        <f>IFERROR(VLOOKUP($A44,'[1]Cost UPL SFY21 Combine'!$B:$AG,31,FALSE),0)+IFERROR(VLOOKUP($A44,'[1]Cost UPL SFY21 Combine'!$B:$AG,32,FALSE),0)</f>
        <v>1722092.8797167316</v>
      </c>
      <c r="X44" s="23">
        <f>IF($E44=1,W44/$W$93,0)</f>
        <v>5.4116439904576931E-3</v>
      </c>
      <c r="Y44" s="22">
        <f>IFERROR(VLOOKUP($A44,'[1]SHOPP UPL SFY2021 Combined OUT'!$A:$AH,33,FALSE),0)</f>
        <v>762930.78597377799</v>
      </c>
      <c r="Z44" s="24">
        <f>IF($E44=1,ROUND($X44*(Z$96+Z$97),0),0)</f>
        <v>405962</v>
      </c>
      <c r="AA44" s="22">
        <f>(IFERROR(VLOOKUP(A44,'[1]CAH 101% of cost'!$A$3:$BP$44,64,FALSE),0))</f>
        <v>0</v>
      </c>
      <c r="AB44" s="22">
        <f t="shared" si="6"/>
        <v>405962</v>
      </c>
      <c r="AC44" s="22">
        <f>VLOOKUP(A44,'[2]2022 Hospital Access Payments'!$B$2:$H$70,6,FALSE)</f>
        <v>96545.71</v>
      </c>
      <c r="AD44" s="22">
        <f t="shared" si="9"/>
        <v>95807.03</v>
      </c>
      <c r="AE44" s="22">
        <f t="shared" si="10"/>
        <v>100751.81999999999</v>
      </c>
      <c r="AF44" s="22">
        <f t="shared" si="15"/>
        <v>101490.5</v>
      </c>
      <c r="AG44" s="22">
        <f t="shared" si="15"/>
        <v>101490.5</v>
      </c>
      <c r="AH44" s="22">
        <f t="shared" si="12"/>
        <v>5683.47</v>
      </c>
      <c r="AI44" s="22">
        <f t="shared" si="13"/>
        <v>356968.78597377799</v>
      </c>
      <c r="AJ44" s="26"/>
      <c r="AO44" s="26"/>
    </row>
    <row r="45" spans="1:41" x14ac:dyDescent="0.3">
      <c r="A45" s="109" t="s">
        <v>115</v>
      </c>
      <c r="B45" s="18" t="s">
        <v>116</v>
      </c>
      <c r="C45" s="19" t="str">
        <f>IFERROR(VLOOKUP(A45,'[1]SHOPP UPL SFY2021 Combined OUT'!$A:$F,6,FALSE),IFERROR(VLOOKUP(A45,'[1]SHOPP UPL SFY2021 Combined INP'!$A:$F,6,FALSE),VLOOKUP(A45,'[1]DRG UPL SFY21 Combined'!$A:$J,10,FALSE)))</f>
        <v>Yes</v>
      </c>
      <c r="D45" s="18">
        <v>1</v>
      </c>
      <c r="E45" s="20">
        <v>1</v>
      </c>
      <c r="F45" s="21">
        <f t="shared" si="0"/>
        <v>26860284.918189298</v>
      </c>
      <c r="G45" s="22">
        <f>IF(C45="No",(VLOOKUP($A45,'[1]Cost UPL SFY21 Combine'!$B:$AS,17,FALSE)+VLOOKUP($A45,'[1]Cost UPL SFY21 Combine'!$B:$AS,18,FALSE)+VLOOKUP($A45,'[1]Cost UPL SFY21 Combine'!$B:$AS,19,FALSE)),(VLOOKUP($A45,'[1]DRG UPL SFY21 Combined'!$A:$AZ,18,FALSE)+VLOOKUP($A45,'[1]DRG UPL SFY21 Combined'!$A:$AZ,19,FALSE)+VLOOKUP($A45,'[1]DRG UPL SFY21 Combined'!$A:$AZ,22,FALSE)))</f>
        <v>14962777.339999998</v>
      </c>
      <c r="H45" s="22"/>
      <c r="I45" s="22">
        <f t="shared" si="7"/>
        <v>14962777.339999998</v>
      </c>
      <c r="J45" s="23">
        <f>IF($E45=1,I45/$I$93,0)</f>
        <v>2.7905037762337409E-2</v>
      </c>
      <c r="K45" s="22">
        <f>IFERROR(IF(C45="No",(VLOOKUP($A45,'[1]SHOPP UPL SFY2021 Combined INP'!$A:$AL,36,FALSE)),VLOOKUP($A45,'[1]DRG UPL SFY21 Combined'!$A:$AW,48,FALSE)),0)</f>
        <v>11079525.659608947</v>
      </c>
      <c r="L45" s="22">
        <f>IF($E45=1,ROUND($J45*(L$96+L$97),0),0)</f>
        <v>12704818</v>
      </c>
      <c r="M45" s="22">
        <f>(IFERROR(VLOOKUP($A45,'[1]CAH 101% of cost'!$A$3:$BJ$44,48,FALSE),0))</f>
        <v>0</v>
      </c>
      <c r="N45" s="22">
        <f t="shared" si="8"/>
        <v>12704818</v>
      </c>
      <c r="O45" s="22">
        <v>3023722.86</v>
      </c>
      <c r="P45" s="22">
        <f t="shared" si="1"/>
        <v>2998337.05</v>
      </c>
      <c r="Q45" s="22">
        <f t="shared" si="2"/>
        <v>3150818.69</v>
      </c>
      <c r="R45" s="22">
        <f t="shared" ref="R45:S58" si="16">ROUND($N45*25%,2)</f>
        <v>3176204.5</v>
      </c>
      <c r="S45" s="22">
        <f t="shared" si="16"/>
        <v>3176204.5</v>
      </c>
      <c r="T45" s="22">
        <f t="shared" si="4"/>
        <v>177867.45</v>
      </c>
      <c r="U45" s="22">
        <f t="shared" si="5"/>
        <v>-1625292.3403910529</v>
      </c>
      <c r="V45" s="22"/>
      <c r="W45" s="22">
        <f>IFERROR(VLOOKUP($A45,'[1]Cost UPL SFY21 Combine'!$B:$AG,31,FALSE),0)+IFERROR(VLOOKUP($A45,'[1]Cost UPL SFY21 Combine'!$B:$AG,32,FALSE),0)</f>
        <v>11897507.5781893</v>
      </c>
      <c r="X45" s="23">
        <f>IF($E45=1,W45/$W$93,0)</f>
        <v>3.7387690376795318E-2</v>
      </c>
      <c r="Y45" s="22">
        <f>IFERROR(VLOOKUP($A45,'[1]SHOPP UPL SFY2021 Combined OUT'!$A:$AH,33,FALSE),0)</f>
        <v>545909.49873142876</v>
      </c>
      <c r="Z45" s="24">
        <f>IF($E45=1,ROUND($X45*(Z$96+Z$97),0),0)</f>
        <v>2804688</v>
      </c>
      <c r="AA45" s="22">
        <f>(IFERROR(VLOOKUP(A45,'[1]CAH 101% of cost'!$A$3:$BP$44,64,FALSE),0))</f>
        <v>0</v>
      </c>
      <c r="AB45" s="22">
        <f t="shared" si="6"/>
        <v>2804688</v>
      </c>
      <c r="AC45" s="22">
        <f>VLOOKUP(A45,'[2]2022 Hospital Access Payments'!$B$2:$H$70,6,FALSE)</f>
        <v>678053.96</v>
      </c>
      <c r="AD45" s="22">
        <f t="shared" si="9"/>
        <v>661906.37</v>
      </c>
      <c r="AE45" s="22">
        <f t="shared" si="10"/>
        <v>685024.41</v>
      </c>
      <c r="AF45" s="22">
        <f t="shared" si="15"/>
        <v>701172</v>
      </c>
      <c r="AG45" s="22">
        <f t="shared" si="15"/>
        <v>701172</v>
      </c>
      <c r="AH45" s="22">
        <f t="shared" si="12"/>
        <v>39265.629999999997</v>
      </c>
      <c r="AI45" s="22">
        <f t="shared" si="13"/>
        <v>-2258778.5012685712</v>
      </c>
      <c r="AJ45" s="26"/>
      <c r="AO45" s="26"/>
    </row>
    <row r="46" spans="1:41" x14ac:dyDescent="0.3">
      <c r="A46" s="108" t="s">
        <v>117</v>
      </c>
      <c r="B46" s="18" t="s">
        <v>118</v>
      </c>
      <c r="C46" s="19" t="str">
        <f>IFERROR(VLOOKUP(A46,'[1]SHOPP UPL SFY2021 Combined OUT'!$A:$F,6,FALSE),IFERROR(VLOOKUP(A46,'[1]SHOPP UPL SFY2021 Combined INP'!$A:$F,6,FALSE),VLOOKUP(A46,'[1]DRG UPL SFY21 Combined'!$A:$J,10,FALSE)))</f>
        <v>Yes</v>
      </c>
      <c r="D46" s="18">
        <v>1</v>
      </c>
      <c r="E46" s="20">
        <v>1</v>
      </c>
      <c r="F46" s="21">
        <f t="shared" si="0"/>
        <v>2588231.0299999998</v>
      </c>
      <c r="G46" s="22">
        <f>IF(C46="No",(VLOOKUP($A46,'[1]Cost UPL SFY21 Combine'!$B:$AS,17,FALSE)+VLOOKUP($A46,'[1]Cost UPL SFY21 Combine'!$B:$AS,18,FALSE)+VLOOKUP($A46,'[1]Cost UPL SFY21 Combine'!$B:$AS,19,FALSE)),(VLOOKUP($A46,'[1]DRG UPL SFY21 Combined'!$A:$AZ,18,FALSE)+VLOOKUP($A46,'[1]DRG UPL SFY21 Combined'!$A:$AZ,19,FALSE)+VLOOKUP($A46,'[1]DRG UPL SFY21 Combined'!$A:$AZ,22,FALSE)))</f>
        <v>368116.58999999997</v>
      </c>
      <c r="H46" s="22"/>
      <c r="I46" s="22">
        <f t="shared" si="7"/>
        <v>368116.58999999997</v>
      </c>
      <c r="J46" s="23">
        <f>IF($E46=1,I46/$I$93,0)</f>
        <v>6.8652410655285984E-4</v>
      </c>
      <c r="K46" s="22">
        <f>IFERROR(IF(C46="No",(VLOOKUP($A46,'[1]SHOPP UPL SFY2021 Combined INP'!$A:$AL,36,FALSE)),VLOOKUP($A46,'[1]DRG UPL SFY21 Combined'!$A:$AW,48,FALSE)),0)</f>
        <v>395024.59053077968</v>
      </c>
      <c r="L46" s="22">
        <f>IF($E46=1,ROUND($J46*(L$96+L$97),0),0)</f>
        <v>312566</v>
      </c>
      <c r="M46" s="22">
        <f>(IFERROR(VLOOKUP($A46,'[1]CAH 101% of cost'!$A$3:$BJ$44,48,FALSE),0))</f>
        <v>0</v>
      </c>
      <c r="N46" s="22">
        <f t="shared" si="8"/>
        <v>312566</v>
      </c>
      <c r="O46" s="22">
        <v>74842.210000000006</v>
      </c>
      <c r="P46" s="22">
        <f t="shared" si="1"/>
        <v>73765.58</v>
      </c>
      <c r="Q46" s="22">
        <f t="shared" si="2"/>
        <v>77064.87</v>
      </c>
      <c r="R46" s="22">
        <f t="shared" si="16"/>
        <v>78141.5</v>
      </c>
      <c r="S46" s="22">
        <f t="shared" si="16"/>
        <v>78141.5</v>
      </c>
      <c r="T46" s="22">
        <f t="shared" si="4"/>
        <v>4375.92</v>
      </c>
      <c r="U46" s="22">
        <f t="shared" si="5"/>
        <v>82458.590530779678</v>
      </c>
      <c r="V46" s="22"/>
      <c r="W46" s="22">
        <f>IFERROR(VLOOKUP($A46,'[1]Cost UPL SFY21 Combine'!$B:$AG,31,FALSE),0)+IFERROR(VLOOKUP($A46,'[1]Cost UPL SFY21 Combine'!$B:$AG,32,FALSE),0)</f>
        <v>2220114.44</v>
      </c>
      <c r="X46" s="23">
        <f>IF($E46=1,W46/$W$93,0)</f>
        <v>6.9766672337270305E-3</v>
      </c>
      <c r="Y46" s="22">
        <f>IFERROR(VLOOKUP($A46,'[1]SHOPP UPL SFY2021 Combined OUT'!$A:$AH,33,FALSE),0)</f>
        <v>1380621.6324465664</v>
      </c>
      <c r="Z46" s="24">
        <f>IF($E46=1,ROUND($X46*(Z$96+Z$97),0),0)</f>
        <v>523364</v>
      </c>
      <c r="AA46" s="22">
        <f>(IFERROR(VLOOKUP(A46,'[1]CAH 101% of cost'!$A$3:$BP$44,64,FALSE),0))</f>
        <v>0</v>
      </c>
      <c r="AB46" s="22">
        <f t="shared" si="6"/>
        <v>523364</v>
      </c>
      <c r="AC46" s="22">
        <f>VLOOKUP(A46,'[2]2022 Hospital Access Payments'!$B$2:$H$70,6,FALSE)</f>
        <v>128771.75</v>
      </c>
      <c r="AD46" s="22">
        <f t="shared" si="9"/>
        <v>123513.9</v>
      </c>
      <c r="AE46" s="22">
        <f t="shared" si="10"/>
        <v>125583.15</v>
      </c>
      <c r="AF46" s="22">
        <f t="shared" si="15"/>
        <v>130841</v>
      </c>
      <c r="AG46" s="22">
        <f t="shared" si="15"/>
        <v>130841</v>
      </c>
      <c r="AH46" s="22">
        <f t="shared" si="12"/>
        <v>7327.1</v>
      </c>
      <c r="AI46" s="22">
        <f t="shared" si="13"/>
        <v>857257.63244656636</v>
      </c>
      <c r="AJ46" s="26"/>
      <c r="AO46" s="26"/>
    </row>
    <row r="47" spans="1:41" x14ac:dyDescent="0.3">
      <c r="A47" s="109" t="s">
        <v>119</v>
      </c>
      <c r="B47" s="18" t="s">
        <v>120</v>
      </c>
      <c r="C47" s="19" t="str">
        <f>IFERROR(VLOOKUP(A47,'[1]SHOPP UPL SFY2021 Combined OUT'!$A:$F,6,FALSE),IFERROR(VLOOKUP(A47,'[1]SHOPP UPL SFY2021 Combined INP'!$A:$F,6,FALSE),VLOOKUP(A47,'[1]DRG UPL SFY21 Combined'!$A:$J,10,FALSE)))</f>
        <v>Yes</v>
      </c>
      <c r="D47" s="18">
        <v>1</v>
      </c>
      <c r="E47" s="20">
        <v>1</v>
      </c>
      <c r="F47" s="21">
        <f t="shared" si="0"/>
        <v>7402784.9205240384</v>
      </c>
      <c r="G47" s="22">
        <f>IF(C47="No",(VLOOKUP($A47,'[1]Cost UPL SFY21 Combine'!$B:$AS,17,FALSE)+VLOOKUP($A47,'[1]Cost UPL SFY21 Combine'!$B:$AS,18,FALSE)+VLOOKUP($A47,'[1]Cost UPL SFY21 Combine'!$B:$AS,19,FALSE)),(VLOOKUP($A47,'[1]DRG UPL SFY21 Combined'!$A:$AZ,18,FALSE)+VLOOKUP($A47,'[1]DRG UPL SFY21 Combined'!$A:$AZ,19,FALSE)+VLOOKUP($A47,'[1]DRG UPL SFY21 Combined'!$A:$AZ,22,FALSE)))</f>
        <v>4109618.66</v>
      </c>
      <c r="H47" s="22"/>
      <c r="I47" s="22">
        <f t="shared" si="7"/>
        <v>4109618.66</v>
      </c>
      <c r="J47" s="23">
        <f>IF($E47=1,I47/$I$93,0)</f>
        <v>7.6642899436547033E-3</v>
      </c>
      <c r="K47" s="22">
        <f>IFERROR(IF(C47="No",(VLOOKUP($A47,'[1]SHOPP UPL SFY2021 Combined INP'!$A:$AL,36,FALSE)),VLOOKUP($A47,'[1]DRG UPL SFY21 Combined'!$A:$AW,48,FALSE)),0)</f>
        <v>5564611.4910275955</v>
      </c>
      <c r="L47" s="22">
        <f>IF($E47=1,ROUND($J47*(L$96+L$97),0),0)</f>
        <v>3489456</v>
      </c>
      <c r="M47" s="22">
        <f>(IFERROR(VLOOKUP($A47,'[1]CAH 101% of cost'!$A$3:$BJ$44,48,FALSE),0))</f>
        <v>0</v>
      </c>
      <c r="N47" s="22">
        <f t="shared" si="8"/>
        <v>3489456</v>
      </c>
      <c r="O47" s="22">
        <v>813190.85999999987</v>
      </c>
      <c r="P47" s="22">
        <f t="shared" si="1"/>
        <v>823511.62</v>
      </c>
      <c r="Q47" s="22">
        <f t="shared" si="2"/>
        <v>882684.76000000013</v>
      </c>
      <c r="R47" s="22">
        <f t="shared" si="16"/>
        <v>872364</v>
      </c>
      <c r="S47" s="22">
        <f t="shared" si="16"/>
        <v>872364</v>
      </c>
      <c r="T47" s="22">
        <f t="shared" si="4"/>
        <v>48852.38</v>
      </c>
      <c r="U47" s="22">
        <f t="shared" si="5"/>
        <v>2075155.4910275955</v>
      </c>
      <c r="V47" s="22"/>
      <c r="W47" s="22">
        <f>IFERROR(VLOOKUP($A47,'[1]Cost UPL SFY21 Combine'!$B:$AG,31,FALSE),0)+IFERROR(VLOOKUP($A47,'[1]Cost UPL SFY21 Combine'!$B:$AG,32,FALSE),0)</f>
        <v>3293166.2605240382</v>
      </c>
      <c r="X47" s="23">
        <f>IF($E47=1,W47/$W$93,0)</f>
        <v>1.0348712089370236E-2</v>
      </c>
      <c r="Y47" s="22">
        <f>IFERROR(VLOOKUP($A47,'[1]SHOPP UPL SFY2021 Combined OUT'!$A:$AH,33,FALSE),0)</f>
        <v>293148.53899967205</v>
      </c>
      <c r="Z47" s="24">
        <f>IF($E47=1,ROUND($X47*(Z$96+Z$97),0),0)</f>
        <v>776322</v>
      </c>
      <c r="AA47" s="22">
        <f>(IFERROR(VLOOKUP(A47,'[1]CAH 101% of cost'!$A$3:$BP$44,64,FALSE),0))</f>
        <v>0</v>
      </c>
      <c r="AB47" s="22">
        <f t="shared" si="6"/>
        <v>776322</v>
      </c>
      <c r="AC47" s="22">
        <f>VLOOKUP(A47,'[2]2022 Hospital Access Payments'!$B$2:$H$70,6,FALSE)</f>
        <v>185426.38</v>
      </c>
      <c r="AD47" s="22">
        <f t="shared" si="9"/>
        <v>183211.99</v>
      </c>
      <c r="AE47" s="22">
        <f t="shared" si="10"/>
        <v>191866.11</v>
      </c>
      <c r="AF47" s="22">
        <f t="shared" si="15"/>
        <v>194080.5</v>
      </c>
      <c r="AG47" s="22">
        <f t="shared" si="15"/>
        <v>194080.5</v>
      </c>
      <c r="AH47" s="22">
        <f t="shared" si="12"/>
        <v>10868.51</v>
      </c>
      <c r="AI47" s="22">
        <f t="shared" si="13"/>
        <v>-483173.46100032795</v>
      </c>
      <c r="AJ47" s="26"/>
      <c r="AO47" s="26"/>
    </row>
    <row r="48" spans="1:41" x14ac:dyDescent="0.3">
      <c r="A48" s="109" t="s">
        <v>121</v>
      </c>
      <c r="B48" s="18" t="s">
        <v>122</v>
      </c>
      <c r="C48" s="19" t="str">
        <f>IFERROR(VLOOKUP(A48,'[1]SHOPP UPL SFY2021 Combined OUT'!$A:$F,6,FALSE),IFERROR(VLOOKUP(A48,'[1]SHOPP UPL SFY2021 Combined INP'!$A:$F,6,FALSE),VLOOKUP(A48,'[1]DRG UPL SFY21 Combined'!$A:$J,10,FALSE)))</f>
        <v>Yes</v>
      </c>
      <c r="D48" s="18">
        <v>1</v>
      </c>
      <c r="E48" s="20">
        <v>1</v>
      </c>
      <c r="F48" s="21">
        <f t="shared" si="0"/>
        <v>60959032.203943521</v>
      </c>
      <c r="G48" s="22">
        <f>IF(C48="No",(VLOOKUP($A48,'[1]Cost UPL SFY21 Combine'!$B:$AS,17,FALSE)+VLOOKUP($A48,'[1]Cost UPL SFY21 Combine'!$B:$AS,18,FALSE)+VLOOKUP($A48,'[1]Cost UPL SFY21 Combine'!$B:$AS,19,FALSE)),(VLOOKUP($A48,'[1]DRG UPL SFY21 Combined'!$A:$AZ,18,FALSE)+VLOOKUP($A48,'[1]DRG UPL SFY21 Combined'!$A:$AZ,19,FALSE)+VLOOKUP($A48,'[1]DRG UPL SFY21 Combined'!$A:$AZ,22,FALSE)))</f>
        <v>34662531.519999996</v>
      </c>
      <c r="H48" s="22"/>
      <c r="I48" s="22">
        <f t="shared" si="7"/>
        <v>34662531.519999996</v>
      </c>
      <c r="J48" s="23">
        <f>IF($E48=1,I48/$I$93,0)</f>
        <v>6.4644365750069405E-2</v>
      </c>
      <c r="K48" s="22">
        <f>IFERROR(IF(C48="No",(VLOOKUP($A48,'[1]SHOPP UPL SFY2021 Combined INP'!$A:$AL,36,FALSE)),VLOOKUP($A48,'[1]DRG UPL SFY21 Combined'!$A:$AW,48,FALSE)),0)</f>
        <v>41333330.909251347</v>
      </c>
      <c r="L48" s="22">
        <f>IF($E48=1,ROUND($J48*(L$96+L$97),0),0)</f>
        <v>29431779</v>
      </c>
      <c r="M48" s="22">
        <f>(IFERROR(VLOOKUP($A48,'[1]CAH 101% of cost'!$A$3:$BJ$44,48,FALSE),0))</f>
        <v>0</v>
      </c>
      <c r="N48" s="22">
        <f t="shared" si="8"/>
        <v>29431779</v>
      </c>
      <c r="O48" s="22">
        <v>7038830.7399999993</v>
      </c>
      <c r="P48" s="22">
        <f t="shared" si="1"/>
        <v>6945899.8399999999</v>
      </c>
      <c r="Q48" s="22">
        <f t="shared" si="2"/>
        <v>7265013.8500000006</v>
      </c>
      <c r="R48" s="22">
        <f t="shared" si="16"/>
        <v>7357944.75</v>
      </c>
      <c r="S48" s="22">
        <f t="shared" si="16"/>
        <v>7357944.75</v>
      </c>
      <c r="T48" s="22">
        <f t="shared" si="4"/>
        <v>412044.91</v>
      </c>
      <c r="U48" s="22">
        <f t="shared" si="5"/>
        <v>11901551.909251347</v>
      </c>
      <c r="V48" s="22"/>
      <c r="W48" s="22">
        <f>IFERROR(VLOOKUP($A48,'[1]Cost UPL SFY21 Combine'!$B:$AG,31,FALSE),0)+IFERROR(VLOOKUP($A48,'[1]Cost UPL SFY21 Combine'!$B:$AG,32,FALSE),0)</f>
        <v>26296500.683943521</v>
      </c>
      <c r="X48" s="23">
        <f>IF($E48=1,W48/$W$93,0)</f>
        <v>8.2636251257097004E-2</v>
      </c>
      <c r="Y48" s="22">
        <f>IFERROR(VLOOKUP($A48,'[1]SHOPP UPL SFY2021 Combined OUT'!$A:$AH,33,FALSE),0)</f>
        <v>13369643.183194268</v>
      </c>
      <c r="Z48" s="24">
        <f>IF($E48=1,ROUND($X48*(Z$96+Z$97),0),0)</f>
        <v>6199069</v>
      </c>
      <c r="AA48" s="22">
        <f>(IFERROR(VLOOKUP(A48,'[1]CAH 101% of cost'!$A$3:$BP$44,64,FALSE),0))</f>
        <v>0</v>
      </c>
      <c r="AB48" s="22">
        <f t="shared" si="6"/>
        <v>6199069</v>
      </c>
      <c r="AC48" s="22">
        <f>VLOOKUP(A48,'[2]2022 Hospital Access Payments'!$B$2:$H$70,6,FALSE)</f>
        <v>1498180.63</v>
      </c>
      <c r="AD48" s="22">
        <f t="shared" si="9"/>
        <v>1462980.28</v>
      </c>
      <c r="AE48" s="22">
        <f t="shared" si="10"/>
        <v>1514566.9000000001</v>
      </c>
      <c r="AF48" s="22">
        <f t="shared" si="15"/>
        <v>1549767.25</v>
      </c>
      <c r="AG48" s="22">
        <f t="shared" si="15"/>
        <v>1549767.25</v>
      </c>
      <c r="AH48" s="22">
        <f t="shared" si="12"/>
        <v>86786.97</v>
      </c>
      <c r="AI48" s="22">
        <f t="shared" si="13"/>
        <v>7170574.1831942685</v>
      </c>
      <c r="AJ48" s="26"/>
      <c r="AO48" s="26"/>
    </row>
    <row r="49" spans="1:41" x14ac:dyDescent="0.3">
      <c r="A49" s="109" t="s">
        <v>123</v>
      </c>
      <c r="B49" s="18" t="s">
        <v>124</v>
      </c>
      <c r="C49" s="19" t="str">
        <f>IFERROR(VLOOKUP(A49,'[1]SHOPP UPL SFY2021 Combined OUT'!$A:$F,6,FALSE),IFERROR(VLOOKUP(A49,'[1]SHOPP UPL SFY2021 Combined INP'!$A:$F,6,FALSE),VLOOKUP(A49,'[1]DRG UPL SFY21 Combined'!$A:$J,10,FALSE)))</f>
        <v>Yes</v>
      </c>
      <c r="D49" s="18">
        <v>1</v>
      </c>
      <c r="E49" s="20">
        <v>1</v>
      </c>
      <c r="F49" s="21">
        <f t="shared" si="0"/>
        <v>4914771.8588843336</v>
      </c>
      <c r="G49" s="22">
        <f>IF(C49="No",(VLOOKUP($A49,'[1]Cost UPL SFY21 Combine'!$B:$AS,17,FALSE)+VLOOKUP($A49,'[1]Cost UPL SFY21 Combine'!$B:$AS,18,FALSE)+VLOOKUP($A49,'[1]Cost UPL SFY21 Combine'!$B:$AS,19,FALSE)),(VLOOKUP($A49,'[1]DRG UPL SFY21 Combined'!$A:$AZ,18,FALSE)+VLOOKUP($A49,'[1]DRG UPL SFY21 Combined'!$A:$AZ,19,FALSE)+VLOOKUP($A49,'[1]DRG UPL SFY21 Combined'!$A:$AZ,22,FALSE)))</f>
        <v>804529.78</v>
      </c>
      <c r="H49" s="22"/>
      <c r="I49" s="22">
        <f t="shared" si="7"/>
        <v>804529.78</v>
      </c>
      <c r="J49" s="23">
        <f>IF($E49=1,I49/$I$93,0)</f>
        <v>1.5004188982889063E-3</v>
      </c>
      <c r="K49" s="22">
        <f>IFERROR(IF(C49="No",(VLOOKUP($A49,'[1]SHOPP UPL SFY2021 Combined INP'!$A:$AL,36,FALSE)),VLOOKUP($A49,'[1]DRG UPL SFY21 Combined'!$A:$AW,48,FALSE)),0)</f>
        <v>431654.29768510209</v>
      </c>
      <c r="L49" s="22">
        <f>IF($E49=1,ROUND($J49*(L$96+L$97),0),0)</f>
        <v>683122</v>
      </c>
      <c r="M49" s="22">
        <f>(IFERROR(VLOOKUP($A49,'[1]CAH 101% of cost'!$A$3:$BJ$44,48,FALSE),0))</f>
        <v>0</v>
      </c>
      <c r="N49" s="22">
        <f t="shared" si="8"/>
        <v>683122</v>
      </c>
      <c r="O49" s="22">
        <v>157028.26</v>
      </c>
      <c r="P49" s="22">
        <f t="shared" si="1"/>
        <v>161216.79</v>
      </c>
      <c r="Q49" s="22">
        <f t="shared" si="2"/>
        <v>174969.03</v>
      </c>
      <c r="R49" s="22">
        <f t="shared" si="16"/>
        <v>170780.5</v>
      </c>
      <c r="S49" s="22">
        <f t="shared" si="16"/>
        <v>170780.5</v>
      </c>
      <c r="T49" s="22">
        <f t="shared" si="4"/>
        <v>9563.7099999999991</v>
      </c>
      <c r="U49" s="22">
        <f t="shared" si="5"/>
        <v>-251467.70231489791</v>
      </c>
      <c r="V49" s="22"/>
      <c r="W49" s="22">
        <f>IFERROR(VLOOKUP($A49,'[1]Cost UPL SFY21 Combine'!$B:$AG,31,FALSE),0)+IFERROR(VLOOKUP($A49,'[1]Cost UPL SFY21 Combine'!$B:$AG,32,FALSE),0)</f>
        <v>4110242.0788843334</v>
      </c>
      <c r="X49" s="23">
        <f>IF($E49=1,W49/$W$93,0)</f>
        <v>1.2916357246177994E-2</v>
      </c>
      <c r="Y49" s="22">
        <f>IFERROR(VLOOKUP($A49,'[1]SHOPP UPL SFY2021 Combined OUT'!$A:$AH,33,FALSE),0)</f>
        <v>1822860.7535113376</v>
      </c>
      <c r="Z49" s="24">
        <f>IF($E49=1,ROUND($X49*(Z$96+Z$97),0),0)</f>
        <v>968938</v>
      </c>
      <c r="AA49" s="22">
        <f>(IFERROR(VLOOKUP(A49,'[1]CAH 101% of cost'!$A$3:$BP$44,64,FALSE),0))</f>
        <v>0</v>
      </c>
      <c r="AB49" s="22">
        <f t="shared" si="6"/>
        <v>968938</v>
      </c>
      <c r="AC49" s="22">
        <f>VLOOKUP(A49,'[2]2022 Hospital Access Payments'!$B$2:$H$70,6,FALSE)</f>
        <v>227364.29</v>
      </c>
      <c r="AD49" s="22">
        <f t="shared" si="9"/>
        <v>228669.37</v>
      </c>
      <c r="AE49" s="22">
        <f t="shared" si="10"/>
        <v>243539.58</v>
      </c>
      <c r="AF49" s="22">
        <f t="shared" si="15"/>
        <v>242234.5</v>
      </c>
      <c r="AG49" s="22">
        <f t="shared" si="15"/>
        <v>242234.5</v>
      </c>
      <c r="AH49" s="22">
        <f t="shared" si="12"/>
        <v>13565.13</v>
      </c>
      <c r="AI49" s="22">
        <f t="shared" si="13"/>
        <v>853922.75351133756</v>
      </c>
      <c r="AJ49" s="26"/>
      <c r="AO49" s="26"/>
    </row>
    <row r="50" spans="1:41" x14ac:dyDescent="0.3">
      <c r="A50" s="109" t="s">
        <v>125</v>
      </c>
      <c r="B50" s="18" t="s">
        <v>126</v>
      </c>
      <c r="C50" s="19" t="str">
        <f>IFERROR(VLOOKUP(A50,'[1]SHOPP UPL SFY2021 Combined OUT'!$A:$F,6,FALSE),IFERROR(VLOOKUP(A50,'[1]SHOPP UPL SFY2021 Combined INP'!$A:$F,6,FALSE),VLOOKUP(A50,'[1]DRG UPL SFY21 Combined'!$A:$J,10,FALSE)))</f>
        <v>Yes</v>
      </c>
      <c r="D50" s="18">
        <v>1</v>
      </c>
      <c r="E50" s="20">
        <v>1</v>
      </c>
      <c r="F50" s="21">
        <f t="shared" si="0"/>
        <v>57945306.964516923</v>
      </c>
      <c r="G50" s="22">
        <f>IF(C50="No",(VLOOKUP($A50,'[1]Cost UPL SFY21 Combine'!$B:$AS,17,FALSE)+VLOOKUP($A50,'[1]Cost UPL SFY21 Combine'!$B:$AS,18,FALSE)+VLOOKUP($A50,'[1]Cost UPL SFY21 Combine'!$B:$AS,19,FALSE)),(VLOOKUP($A50,'[1]DRG UPL SFY21 Combined'!$A:$AZ,18,FALSE)+VLOOKUP($A50,'[1]DRG UPL SFY21 Combined'!$A:$AZ,19,FALSE)+VLOOKUP($A50,'[1]DRG UPL SFY21 Combined'!$A:$AZ,22,FALSE)))</f>
        <v>45431296.390000001</v>
      </c>
      <c r="H50" s="22"/>
      <c r="I50" s="22">
        <f t="shared" si="7"/>
        <v>45431296.390000001</v>
      </c>
      <c r="J50" s="23">
        <f>IF($E50=1,I50/$I$93,0)</f>
        <v>8.4727722169986752E-2</v>
      </c>
      <c r="K50" s="22">
        <f>IFERROR(IF(C50="No",(VLOOKUP($A50,'[1]SHOPP UPL SFY2021 Combined INP'!$A:$AL,36,FALSE)),VLOOKUP($A50,'[1]DRG UPL SFY21 Combined'!$A:$AW,48,FALSE)),0)</f>
        <v>29020163.532355577</v>
      </c>
      <c r="L50" s="22">
        <f>IF($E50=1,ROUND($J50*(L$96+L$97),0),0)</f>
        <v>38575483</v>
      </c>
      <c r="M50" s="22">
        <f>(IFERROR(VLOOKUP($A50,'[1]CAH 101% of cost'!$A$3:$BJ$44,48,FALSE),0))</f>
        <v>0</v>
      </c>
      <c r="N50" s="22">
        <f t="shared" si="8"/>
        <v>38575483</v>
      </c>
      <c r="O50" s="22">
        <v>9513312.2200000007</v>
      </c>
      <c r="P50" s="22">
        <f t="shared" si="1"/>
        <v>9103813.9900000002</v>
      </c>
      <c r="Q50" s="22">
        <f t="shared" si="2"/>
        <v>9234372.5199999996</v>
      </c>
      <c r="R50" s="22">
        <f t="shared" si="16"/>
        <v>9643870.75</v>
      </c>
      <c r="S50" s="22">
        <f t="shared" si="16"/>
        <v>9643870.75</v>
      </c>
      <c r="T50" s="22">
        <f t="shared" si="4"/>
        <v>540056.76</v>
      </c>
      <c r="U50" s="22">
        <f t="shared" si="5"/>
        <v>-9555319.4676444232</v>
      </c>
      <c r="V50" s="22"/>
      <c r="W50" s="22">
        <f>IFERROR(VLOOKUP($A50,'[1]Cost UPL SFY21 Combine'!$B:$AG,31,FALSE),0)+IFERROR(VLOOKUP($A50,'[1]Cost UPL SFY21 Combine'!$B:$AG,32,FALSE),0)</f>
        <v>12514010.574516924</v>
      </c>
      <c r="X50" s="23">
        <f>IF($E50=1,W50/$W$93,0)</f>
        <v>3.9325039270383645E-2</v>
      </c>
      <c r="Y50" s="22">
        <f>IFERROR(VLOOKUP($A50,'[1]SHOPP UPL SFY2021 Combined OUT'!$A:$AH,33,FALSE),0)</f>
        <v>6657150.0080114156</v>
      </c>
      <c r="Z50" s="24">
        <f>IF($E50=1,ROUND($X50*(Z$96+Z$97),0),0)</f>
        <v>2950020</v>
      </c>
      <c r="AA50" s="22">
        <f>(IFERROR(VLOOKUP(A50,'[1]CAH 101% of cost'!$A$3:$BP$44,64,FALSE),0))</f>
        <v>0</v>
      </c>
      <c r="AB50" s="22">
        <f t="shared" si="6"/>
        <v>2950020</v>
      </c>
      <c r="AC50" s="22">
        <f>VLOOKUP(A50,'[2]2022 Hospital Access Payments'!$B$2:$H$70,6,FALSE)</f>
        <v>700985.37</v>
      </c>
      <c r="AD50" s="22">
        <f t="shared" si="9"/>
        <v>696204.72</v>
      </c>
      <c r="AE50" s="22">
        <f t="shared" si="10"/>
        <v>732724.35</v>
      </c>
      <c r="AF50" s="22">
        <f t="shared" si="15"/>
        <v>737505</v>
      </c>
      <c r="AG50" s="22">
        <f t="shared" si="15"/>
        <v>737505</v>
      </c>
      <c r="AH50" s="22">
        <f t="shared" si="12"/>
        <v>41300.28</v>
      </c>
      <c r="AI50" s="22">
        <f t="shared" si="13"/>
        <v>3707130.0080114156</v>
      </c>
      <c r="AJ50" s="26"/>
      <c r="AO50" s="26"/>
    </row>
    <row r="51" spans="1:41" x14ac:dyDescent="0.3">
      <c r="A51" s="109" t="s">
        <v>127</v>
      </c>
      <c r="B51" s="18" t="s">
        <v>128</v>
      </c>
      <c r="C51" s="19" t="str">
        <f>IFERROR(VLOOKUP(A51,'[1]SHOPP UPL SFY2021 Combined OUT'!$A:$F,6,FALSE),IFERROR(VLOOKUP(A51,'[1]SHOPP UPL SFY2021 Combined INP'!$A:$F,6,FALSE),VLOOKUP(A51,'[1]DRG UPL SFY21 Combined'!$A:$J,10,FALSE)))</f>
        <v>Yes</v>
      </c>
      <c r="D51" s="18">
        <v>1</v>
      </c>
      <c r="E51" s="20">
        <v>1</v>
      </c>
      <c r="F51" s="21">
        <f t="shared" si="0"/>
        <v>3440404.6302678073</v>
      </c>
      <c r="G51" s="22">
        <f>IF(C51="No",(VLOOKUP($A51,'[1]Cost UPL SFY21 Combine'!$B:$AS,17,FALSE)+VLOOKUP($A51,'[1]Cost UPL SFY21 Combine'!$B:$AS,18,FALSE)+VLOOKUP($A51,'[1]Cost UPL SFY21 Combine'!$B:$AS,19,FALSE)),(VLOOKUP($A51,'[1]DRG UPL SFY21 Combined'!$A:$AZ,18,FALSE)+VLOOKUP($A51,'[1]DRG UPL SFY21 Combined'!$A:$AZ,19,FALSE)+VLOOKUP($A51,'[1]DRG UPL SFY21 Combined'!$A:$AZ,22,FALSE)))</f>
        <v>1164065.2100000002</v>
      </c>
      <c r="H51" s="22"/>
      <c r="I51" s="22">
        <f t="shared" si="7"/>
        <v>1164065.2100000002</v>
      </c>
      <c r="J51" s="23">
        <f>IF($E51=1,I51/$I$93,0)</f>
        <v>2.1709394522657004E-3</v>
      </c>
      <c r="K51" s="22">
        <f>IFERROR(IF(C51="No",(VLOOKUP($A51,'[1]SHOPP UPL SFY2021 Combined INP'!$A:$AL,36,FALSE)),VLOOKUP($A51,'[1]DRG UPL SFY21 Combined'!$A:$AW,48,FALSE)),0)</f>
        <v>3061553.2489717947</v>
      </c>
      <c r="L51" s="22">
        <f>IF($E51=1,ROUND($J51*(L$96+L$97),0),0)</f>
        <v>988402</v>
      </c>
      <c r="M51" s="22">
        <f>(IFERROR(VLOOKUP($A51,'[1]CAH 101% of cost'!$A$3:$BJ$44,48,FALSE),0))</f>
        <v>0</v>
      </c>
      <c r="N51" s="22">
        <f t="shared" si="8"/>
        <v>988402</v>
      </c>
      <c r="O51" s="22">
        <v>234355.08</v>
      </c>
      <c r="P51" s="22">
        <f t="shared" si="1"/>
        <v>233262.87</v>
      </c>
      <c r="Q51" s="22">
        <f t="shared" si="2"/>
        <v>246008.29</v>
      </c>
      <c r="R51" s="22">
        <f t="shared" si="16"/>
        <v>247100.5</v>
      </c>
      <c r="S51" s="22">
        <f t="shared" si="16"/>
        <v>247100.5</v>
      </c>
      <c r="T51" s="22">
        <f t="shared" si="4"/>
        <v>13837.63</v>
      </c>
      <c r="U51" s="22">
        <f t="shared" si="5"/>
        <v>2073151.2489717947</v>
      </c>
      <c r="V51" s="22"/>
      <c r="W51" s="22">
        <f>IFERROR(VLOOKUP($A51,'[1]Cost UPL SFY21 Combine'!$B:$AG,31,FALSE),0)+IFERROR(VLOOKUP($A51,'[1]Cost UPL SFY21 Combine'!$B:$AG,32,FALSE),0)</f>
        <v>2276339.4202678073</v>
      </c>
      <c r="X51" s="23">
        <f>IF($E51=1,W51/$W$93,0)</f>
        <v>7.1533531605801346E-3</v>
      </c>
      <c r="Y51" s="22">
        <f>IFERROR(VLOOKUP($A51,'[1]SHOPP UPL SFY2021 Combined OUT'!$A:$AH,33,FALSE),0)</f>
        <v>1079934.4308313169</v>
      </c>
      <c r="Z51" s="24">
        <f>IF($E51=1,ROUND($X51*(Z$96+Z$97),0),0)</f>
        <v>536618</v>
      </c>
      <c r="AA51" s="22">
        <f>(IFERROR(VLOOKUP(A51,'[1]CAH 101% of cost'!$A$3:$BP$44,64,FALSE),0))</f>
        <v>0</v>
      </c>
      <c r="AB51" s="22">
        <f t="shared" si="6"/>
        <v>536618</v>
      </c>
      <c r="AC51" s="22">
        <f>VLOOKUP(A51,'[2]2022 Hospital Access Payments'!$B$2:$H$70,6,FALSE)</f>
        <v>127362.12</v>
      </c>
      <c r="AD51" s="22">
        <f t="shared" si="9"/>
        <v>126641.85</v>
      </c>
      <c r="AE51" s="22">
        <f t="shared" si="10"/>
        <v>133434.23000000001</v>
      </c>
      <c r="AF51" s="22">
        <f t="shared" si="15"/>
        <v>134154.5</v>
      </c>
      <c r="AG51" s="22">
        <f t="shared" si="15"/>
        <v>134154.5</v>
      </c>
      <c r="AH51" s="22">
        <f t="shared" si="12"/>
        <v>7512.65</v>
      </c>
      <c r="AI51" s="22">
        <f t="shared" si="13"/>
        <v>543316.43083131686</v>
      </c>
      <c r="AJ51" s="26"/>
      <c r="AO51" s="26"/>
    </row>
    <row r="52" spans="1:41" x14ac:dyDescent="0.3">
      <c r="A52" s="109" t="s">
        <v>129</v>
      </c>
      <c r="B52" s="18" t="s">
        <v>130</v>
      </c>
      <c r="C52" s="19" t="str">
        <f>IFERROR(VLOOKUP(A52,'[1]SHOPP UPL SFY2021 Combined OUT'!$A:$F,6,FALSE),IFERROR(VLOOKUP(A52,'[1]SHOPP UPL SFY2021 Combined INP'!$A:$F,6,FALSE),VLOOKUP(A52,'[1]DRG UPL SFY21 Combined'!$A:$J,10,FALSE)))</f>
        <v>No</v>
      </c>
      <c r="D52" s="18">
        <v>1</v>
      </c>
      <c r="E52" s="20">
        <v>1</v>
      </c>
      <c r="F52" s="21">
        <f t="shared" si="0"/>
        <v>1889362.6099999999</v>
      </c>
      <c r="G52" s="22">
        <f>IF(C52="No",(VLOOKUP($A52,'[1]Cost UPL SFY21 Combine'!$B:$AS,17,FALSE)+VLOOKUP($A52,'[1]Cost UPL SFY21 Combine'!$B:$AS,18,FALSE)+VLOOKUP($A52,'[1]Cost UPL SFY21 Combine'!$B:$AS,19,FALSE)),(VLOOKUP($A52,'[1]DRG UPL SFY21 Combined'!$A:$AZ,18,FALSE)+VLOOKUP($A52,'[1]DRG UPL SFY21 Combined'!$A:$AZ,19,FALSE)+VLOOKUP($A52,'[1]DRG UPL SFY21 Combined'!$A:$AZ,22,FALSE)))</f>
        <v>1889362.6099999999</v>
      </c>
      <c r="H52" s="22"/>
      <c r="I52" s="22">
        <f t="shared" si="7"/>
        <v>1889362.6099999999</v>
      </c>
      <c r="J52" s="23">
        <f>IF($E52=1,I52/$I$93,0)</f>
        <v>3.5235928317836193E-3</v>
      </c>
      <c r="K52" s="22">
        <f>IFERROR(IF(C52="No",(VLOOKUP($A52,'[1]SHOPP UPL SFY2021 Combined INP'!$A:$AL,36,FALSE)),VLOOKUP($A52,'[1]DRG UPL SFY21 Combined'!$A:$AW,48,FALSE)),0)</f>
        <v>1469659.6387625532</v>
      </c>
      <c r="L52" s="22">
        <f>IF($E52=1,ROUND($J52*(L$96+L$97),0),0)</f>
        <v>1604248</v>
      </c>
      <c r="M52" s="22">
        <f>(IFERROR(VLOOKUP($A52,'[1]CAH 101% of cost'!$A$3:$BJ$44,48,FALSE),0))</f>
        <v>0</v>
      </c>
      <c r="N52" s="22">
        <f t="shared" si="8"/>
        <v>1604248</v>
      </c>
      <c r="O52" s="22">
        <v>300748.02</v>
      </c>
      <c r="P52" s="22">
        <f t="shared" si="1"/>
        <v>378602.53</v>
      </c>
      <c r="Q52" s="22">
        <f t="shared" si="2"/>
        <v>478916.51</v>
      </c>
      <c r="R52" s="22">
        <f t="shared" si="16"/>
        <v>401062</v>
      </c>
      <c r="S52" s="22">
        <f t="shared" si="16"/>
        <v>401062</v>
      </c>
      <c r="T52" s="22">
        <f t="shared" si="4"/>
        <v>22459.47</v>
      </c>
      <c r="U52" s="22">
        <f t="shared" si="5"/>
        <v>-134588.36123744678</v>
      </c>
      <c r="V52" s="22"/>
      <c r="W52" s="22">
        <f>IFERROR(VLOOKUP($A52,'[1]Cost UPL SFY21 Combine'!$B:$AG,31,FALSE),0)+IFERROR(VLOOKUP($A52,'[1]Cost UPL SFY21 Combine'!$B:$AG,32,FALSE),0)</f>
        <v>0</v>
      </c>
      <c r="X52" s="23">
        <f>IF($E52=1,W52/$W$93,0)</f>
        <v>0</v>
      </c>
      <c r="Y52" s="22">
        <f>IFERROR(VLOOKUP($A52,'[1]SHOPP UPL SFY2021 Combined OUT'!$A:$AH,33,FALSE),0)</f>
        <v>0</v>
      </c>
      <c r="Z52" s="24">
        <f>IF($E52=1,ROUND($X52*(Z$96+Z$97),0),0)</f>
        <v>0</v>
      </c>
      <c r="AA52" s="22">
        <f>(IFERROR(VLOOKUP(A52,'[1]CAH 101% of cost'!$A$3:$BP$44,64,FALSE),0))</f>
        <v>0</v>
      </c>
      <c r="AB52" s="22">
        <f t="shared" si="6"/>
        <v>0</v>
      </c>
      <c r="AC52" s="22">
        <f>VLOOKUP(A52,'[2]2022 Hospital Access Payments'!$B$2:$H$70,6,FALSE)</f>
        <v>0</v>
      </c>
      <c r="AD52" s="22">
        <f t="shared" si="9"/>
        <v>0</v>
      </c>
      <c r="AE52" s="22">
        <f t="shared" si="10"/>
        <v>0</v>
      </c>
      <c r="AF52" s="22">
        <f t="shared" si="15"/>
        <v>0</v>
      </c>
      <c r="AG52" s="22">
        <f t="shared" si="15"/>
        <v>0</v>
      </c>
      <c r="AH52" s="22">
        <f t="shared" si="12"/>
        <v>0</v>
      </c>
      <c r="AI52" s="22">
        <f t="shared" si="13"/>
        <v>0</v>
      </c>
      <c r="AJ52" s="26"/>
      <c r="AO52" s="26"/>
    </row>
    <row r="53" spans="1:41" x14ac:dyDescent="0.3">
      <c r="A53" s="109" t="s">
        <v>131</v>
      </c>
      <c r="B53" s="18" t="s">
        <v>132</v>
      </c>
      <c r="C53" s="19" t="str">
        <f>IFERROR(VLOOKUP(A53,'[1]SHOPP UPL SFY2021 Combined OUT'!$A:$F,6,FALSE),IFERROR(VLOOKUP(A53,'[1]SHOPP UPL SFY2021 Combined INP'!$A:$F,6,FALSE),VLOOKUP(A53,'[1]DRG UPL SFY21 Combined'!$A:$J,10,FALSE)))</f>
        <v>Yes</v>
      </c>
      <c r="D53" s="18">
        <v>1</v>
      </c>
      <c r="E53" s="20">
        <v>1</v>
      </c>
      <c r="F53" s="21">
        <f t="shared" si="0"/>
        <v>6426285.3723893203</v>
      </c>
      <c r="G53" s="22">
        <f>IF(C53="No",(VLOOKUP($A53,'[1]Cost UPL SFY21 Combine'!$B:$AS,17,FALSE)+VLOOKUP($A53,'[1]Cost UPL SFY21 Combine'!$B:$AS,18,FALSE)+VLOOKUP($A53,'[1]Cost UPL SFY21 Combine'!$B:$AS,19,FALSE)),(VLOOKUP($A53,'[1]DRG UPL SFY21 Combined'!$A:$AZ,18,FALSE)+VLOOKUP($A53,'[1]DRG UPL SFY21 Combined'!$A:$AZ,19,FALSE)+VLOOKUP($A53,'[1]DRG UPL SFY21 Combined'!$A:$AZ,22,FALSE)))</f>
        <v>3470915.09</v>
      </c>
      <c r="H53" s="22"/>
      <c r="I53" s="22">
        <f t="shared" si="7"/>
        <v>3470915.09</v>
      </c>
      <c r="J53" s="23">
        <f>IF($E53=1,I53/$I$93,0)</f>
        <v>6.4731309205137682E-3</v>
      </c>
      <c r="K53" s="22">
        <f>IFERROR(IF(C53="No",(VLOOKUP($A53,'[1]SHOPP UPL SFY2021 Combined INP'!$A:$AL,36,FALSE)),VLOOKUP($A53,'[1]DRG UPL SFY21 Combined'!$A:$AW,48,FALSE)),0)</f>
        <v>4686811.0252899881</v>
      </c>
      <c r="L53" s="22">
        <f>IF($E53=1,ROUND($J53*(L$96+L$97),0),0)</f>
        <v>2947136</v>
      </c>
      <c r="M53" s="22">
        <f>(IFERROR(VLOOKUP($A53,'[1]CAH 101% of cost'!$A$3:$BJ$44,48,FALSE),0))</f>
        <v>0</v>
      </c>
      <c r="N53" s="22">
        <f t="shared" si="8"/>
        <v>2947136</v>
      </c>
      <c r="O53" s="22">
        <v>704337.28</v>
      </c>
      <c r="P53" s="22">
        <f t="shared" si="1"/>
        <v>695524.1</v>
      </c>
      <c r="Q53" s="22">
        <f t="shared" si="2"/>
        <v>727970.82</v>
      </c>
      <c r="R53" s="22">
        <f t="shared" si="16"/>
        <v>736784</v>
      </c>
      <c r="S53" s="22">
        <f t="shared" si="16"/>
        <v>736784</v>
      </c>
      <c r="T53" s="22">
        <f t="shared" si="4"/>
        <v>41259.9</v>
      </c>
      <c r="U53" s="22">
        <f t="shared" si="5"/>
        <v>1739675.0252899881</v>
      </c>
      <c r="V53" s="22"/>
      <c r="W53" s="22">
        <f>IFERROR(VLOOKUP($A53,'[1]Cost UPL SFY21 Combine'!$B:$AG,31,FALSE),0)+IFERROR(VLOOKUP($A53,'[1]Cost UPL SFY21 Combine'!$B:$AG,32,FALSE),0)</f>
        <v>2955370.2823893209</v>
      </c>
      <c r="X53" s="23">
        <f>IF($E53=1,W53/$W$93,0)</f>
        <v>9.2871946784311606E-3</v>
      </c>
      <c r="Y53" s="22">
        <f>IFERROR(VLOOKUP($A53,'[1]SHOPP UPL SFY2021 Combined OUT'!$A:$AH,33,FALSE),0)</f>
        <v>1796743.8580478309</v>
      </c>
      <c r="Z53" s="24">
        <f>IF($E53=1,ROUND($X53*(Z$96+Z$97),0),0)</f>
        <v>696691</v>
      </c>
      <c r="AA53" s="22">
        <f>(IFERROR(VLOOKUP(A53,'[1]CAH 101% of cost'!$A$3:$BP$44,64,FALSE),0))</f>
        <v>0</v>
      </c>
      <c r="AB53" s="22">
        <f t="shared" si="6"/>
        <v>696691</v>
      </c>
      <c r="AC53" s="22">
        <f>VLOOKUP(A53,'[2]2022 Hospital Access Payments'!$B$2:$H$70,6,FALSE)</f>
        <v>172226.43</v>
      </c>
      <c r="AD53" s="22">
        <f t="shared" si="9"/>
        <v>164419.07999999999</v>
      </c>
      <c r="AE53" s="22">
        <f t="shared" si="10"/>
        <v>166365.4</v>
      </c>
      <c r="AF53" s="22">
        <f t="shared" si="15"/>
        <v>174172.75</v>
      </c>
      <c r="AG53" s="22">
        <f t="shared" si="15"/>
        <v>174172.75</v>
      </c>
      <c r="AH53" s="22">
        <f t="shared" si="12"/>
        <v>9753.67</v>
      </c>
      <c r="AI53" s="22">
        <f t="shared" si="13"/>
        <v>1100052.8580478309</v>
      </c>
      <c r="AJ53" s="26"/>
      <c r="AO53" s="26"/>
    </row>
    <row r="54" spans="1:41" x14ac:dyDescent="0.3">
      <c r="A54" s="109" t="s">
        <v>133</v>
      </c>
      <c r="B54" s="18" t="s">
        <v>134</v>
      </c>
      <c r="C54" s="19" t="str">
        <f>IFERROR(VLOOKUP(A54,'[1]SHOPP UPL SFY2021 Combined OUT'!$A:$F,6,FALSE),IFERROR(VLOOKUP(A54,'[1]SHOPP UPL SFY2021 Combined INP'!$A:$F,6,FALSE),VLOOKUP(A54,'[1]DRG UPL SFY21 Combined'!$A:$J,10,FALSE)))</f>
        <v>Yes</v>
      </c>
      <c r="D54" s="18">
        <v>1</v>
      </c>
      <c r="E54" s="20">
        <v>1</v>
      </c>
      <c r="F54" s="21">
        <f t="shared" si="0"/>
        <v>14019464.272768196</v>
      </c>
      <c r="G54" s="22">
        <f>IF(C54="No",(VLOOKUP($A54,'[1]Cost UPL SFY21 Combine'!$B:$AS,17,FALSE)+VLOOKUP($A54,'[1]Cost UPL SFY21 Combine'!$B:$AS,18,FALSE)+VLOOKUP($A54,'[1]Cost UPL SFY21 Combine'!$B:$AS,19,FALSE)),(VLOOKUP($A54,'[1]DRG UPL SFY21 Combined'!$A:$AZ,18,FALSE)+VLOOKUP($A54,'[1]DRG UPL SFY21 Combined'!$A:$AZ,19,FALSE)+VLOOKUP($A54,'[1]DRG UPL SFY21 Combined'!$A:$AZ,22,FALSE)))</f>
        <v>6030533.5899999999</v>
      </c>
      <c r="H54" s="22"/>
      <c r="I54" s="22">
        <f t="shared" si="7"/>
        <v>6030533.5899999999</v>
      </c>
      <c r="J54" s="23">
        <f>IF($E54=1,I54/$I$93,0)</f>
        <v>1.1246726709360643E-2</v>
      </c>
      <c r="K54" s="22">
        <f>IFERROR(IF(C54="No",(VLOOKUP($A54,'[1]SHOPP UPL SFY2021 Combined INP'!$A:$AL,36,FALSE)),VLOOKUP($A54,'[1]DRG UPL SFY21 Combined'!$A:$AW,48,FALSE)),0)</f>
        <v>8455573.1419095416</v>
      </c>
      <c r="L54" s="22">
        <f>IF($E54=1,ROUND($J54*(L$96+L$97),0),0)</f>
        <v>5120495</v>
      </c>
      <c r="M54" s="22">
        <f>(IFERROR(VLOOKUP($A54,'[1]CAH 101% of cost'!$A$3:$BJ$44,48,FALSE),0))</f>
        <v>0</v>
      </c>
      <c r="N54" s="22">
        <f t="shared" si="8"/>
        <v>5120495</v>
      </c>
      <c r="O54" s="22">
        <v>1184255.32</v>
      </c>
      <c r="P54" s="22">
        <f t="shared" si="1"/>
        <v>1208436.82</v>
      </c>
      <c r="Q54" s="22">
        <f t="shared" si="2"/>
        <v>1304305.25</v>
      </c>
      <c r="R54" s="22">
        <f t="shared" si="16"/>
        <v>1280123.75</v>
      </c>
      <c r="S54" s="22">
        <f t="shared" si="16"/>
        <v>1280123.75</v>
      </c>
      <c r="T54" s="22">
        <f t="shared" si="4"/>
        <v>71686.929999999993</v>
      </c>
      <c r="U54" s="22">
        <f t="shared" si="5"/>
        <v>3335078.1419095416</v>
      </c>
      <c r="V54" s="22"/>
      <c r="W54" s="22">
        <f>IFERROR(VLOOKUP($A54,'[1]Cost UPL SFY21 Combine'!$B:$AG,31,FALSE),0)+IFERROR(VLOOKUP($A54,'[1]Cost UPL SFY21 Combine'!$B:$AG,32,FALSE),0)</f>
        <v>7988930.6827681959</v>
      </c>
      <c r="X54" s="23">
        <f>IF($E54=1,W54/$W$93,0)</f>
        <v>2.5105062118773204E-2</v>
      </c>
      <c r="Y54" s="22">
        <f>IFERROR(VLOOKUP($A54,'[1]SHOPP UPL SFY2021 Combined OUT'!$A:$AH,33,FALSE),0)</f>
        <v>2111488.3797215242</v>
      </c>
      <c r="Z54" s="24">
        <f>IF($E54=1,ROUND($X54*(Z$96+Z$97),0),0)</f>
        <v>1883290</v>
      </c>
      <c r="AA54" s="22">
        <f>(IFERROR(VLOOKUP(A54,'[1]CAH 101% of cost'!$A$3:$BP$44,64,FALSE),0))</f>
        <v>0</v>
      </c>
      <c r="AB54" s="22">
        <f t="shared" si="6"/>
        <v>1883290</v>
      </c>
      <c r="AC54" s="22">
        <f>VLOOKUP(A54,'[2]2022 Hospital Access Payments'!$B$2:$H$70,6,FALSE)</f>
        <v>455507.61</v>
      </c>
      <c r="AD54" s="22">
        <f t="shared" si="9"/>
        <v>444456.44</v>
      </c>
      <c r="AE54" s="22">
        <f t="shared" si="10"/>
        <v>459771.33</v>
      </c>
      <c r="AF54" s="22">
        <f t="shared" si="15"/>
        <v>470822.5</v>
      </c>
      <c r="AG54" s="22">
        <f t="shared" si="15"/>
        <v>470822.5</v>
      </c>
      <c r="AH54" s="22">
        <f t="shared" si="12"/>
        <v>26366.06</v>
      </c>
      <c r="AI54" s="22">
        <f t="shared" si="13"/>
        <v>228198.37972152419</v>
      </c>
      <c r="AJ54" s="26"/>
      <c r="AO54" s="26"/>
    </row>
    <row r="55" spans="1:41" x14ac:dyDescent="0.3">
      <c r="A55" s="109" t="s">
        <v>135</v>
      </c>
      <c r="B55" s="18" t="s">
        <v>136</v>
      </c>
      <c r="C55" s="19" t="str">
        <f>IFERROR(VLOOKUP(A55,'[1]SHOPP UPL SFY2021 Combined OUT'!$A:$F,6,FALSE),IFERROR(VLOOKUP(A55,'[1]SHOPP UPL SFY2021 Combined INP'!$A:$F,6,FALSE),VLOOKUP(A55,'[1]DRG UPL SFY21 Combined'!$A:$J,10,FALSE)))</f>
        <v>Yes</v>
      </c>
      <c r="D55" s="18">
        <v>1</v>
      </c>
      <c r="E55" s="20">
        <v>1</v>
      </c>
      <c r="F55" s="21">
        <f t="shared" si="0"/>
        <v>6542087.8199999398</v>
      </c>
      <c r="G55" s="22">
        <f>IF(C55="No",(VLOOKUP($A55,'[1]Cost UPL SFY21 Combine'!$B:$AS,17,FALSE)+VLOOKUP($A55,'[1]Cost UPL SFY21 Combine'!$B:$AS,18,FALSE)+VLOOKUP($A55,'[1]Cost UPL SFY21 Combine'!$B:$AS,19,FALSE)),(VLOOKUP($A55,'[1]DRG UPL SFY21 Combined'!$A:$AZ,18,FALSE)+VLOOKUP($A55,'[1]DRG UPL SFY21 Combined'!$A:$AZ,19,FALSE)+VLOOKUP($A55,'[1]DRG UPL SFY21 Combined'!$A:$AZ,22,FALSE)))</f>
        <v>1149527.22</v>
      </c>
      <c r="H55" s="22"/>
      <c r="I55" s="22">
        <f t="shared" si="7"/>
        <v>1149527.22</v>
      </c>
      <c r="J55" s="23">
        <f>IF($E55=1,I55/$I$93,0)</f>
        <v>2.1438266275059562E-3</v>
      </c>
      <c r="K55" s="22">
        <f>IFERROR(IF(C55="No",(VLOOKUP($A55,'[1]SHOPP UPL SFY2021 Combined INP'!$A:$AL,36,FALSE)),VLOOKUP($A55,'[1]DRG UPL SFY21 Combined'!$A:$AW,48,FALSE)),0)</f>
        <v>586745.26946452539</v>
      </c>
      <c r="L55" s="22">
        <f>IF($E55=1,ROUND($J55*(L$96+L$97),0),0)</f>
        <v>976058</v>
      </c>
      <c r="M55" s="22">
        <f>(IFERROR(VLOOKUP($A55,'[1]CAH 101% of cost'!$A$3:$BJ$44,48,FALSE),0))</f>
        <v>0</v>
      </c>
      <c r="N55" s="22">
        <f t="shared" si="8"/>
        <v>976058</v>
      </c>
      <c r="O55" s="22">
        <v>229000</v>
      </c>
      <c r="P55" s="22">
        <f t="shared" si="1"/>
        <v>230349.69</v>
      </c>
      <c r="Q55" s="22">
        <f t="shared" si="2"/>
        <v>245364.19</v>
      </c>
      <c r="R55" s="22">
        <f t="shared" si="16"/>
        <v>244014.5</v>
      </c>
      <c r="S55" s="22">
        <f t="shared" si="16"/>
        <v>244014.5</v>
      </c>
      <c r="T55" s="22">
        <f t="shared" si="4"/>
        <v>13664.81</v>
      </c>
      <c r="U55" s="22">
        <f t="shared" si="5"/>
        <v>-389312.73053547461</v>
      </c>
      <c r="V55" s="22"/>
      <c r="W55" s="22">
        <f>IFERROR(VLOOKUP($A55,'[1]Cost UPL SFY21 Combine'!$B:$AG,31,FALSE),0)+IFERROR(VLOOKUP($A55,'[1]Cost UPL SFY21 Combine'!$B:$AG,32,FALSE),0)</f>
        <v>5392560.59999994</v>
      </c>
      <c r="X55" s="23">
        <f>IF($E55=1,W55/$W$93,0)</f>
        <v>1.694601871239888E-2</v>
      </c>
      <c r="Y55" s="22">
        <f>IFERROR(VLOOKUP($A55,'[1]SHOPP UPL SFY2021 Combined OUT'!$A:$AH,33,FALSE),0)</f>
        <v>955213.1946737282</v>
      </c>
      <c r="Z55" s="24">
        <f>IF($E55=1,ROUND($X55*(Z$96+Z$97),0),0)</f>
        <v>1271228</v>
      </c>
      <c r="AA55" s="22">
        <f>(IFERROR(VLOOKUP(A55,'[1]CAH 101% of cost'!$A$3:$BP$44,64,FALSE),0))</f>
        <v>0</v>
      </c>
      <c r="AB55" s="22">
        <f t="shared" si="6"/>
        <v>1271228</v>
      </c>
      <c r="AC55" s="22">
        <f>VLOOKUP(A55,'[2]2022 Hospital Access Payments'!$B$2:$H$70,6,FALSE)</f>
        <v>308867.59999999998</v>
      </c>
      <c r="AD55" s="22">
        <f t="shared" si="9"/>
        <v>300009.81</v>
      </c>
      <c r="AE55" s="22">
        <f t="shared" si="10"/>
        <v>308949.21000000002</v>
      </c>
      <c r="AF55" s="22">
        <f t="shared" si="15"/>
        <v>317807</v>
      </c>
      <c r="AG55" s="22">
        <f t="shared" si="15"/>
        <v>317807</v>
      </c>
      <c r="AH55" s="22">
        <f t="shared" si="12"/>
        <v>17797.189999999999</v>
      </c>
      <c r="AI55" s="22">
        <f t="shared" si="13"/>
        <v>-316014.8053262718</v>
      </c>
      <c r="AJ55" s="26"/>
      <c r="AO55" s="26"/>
    </row>
    <row r="56" spans="1:41" x14ac:dyDescent="0.3">
      <c r="A56" s="109" t="s">
        <v>137</v>
      </c>
      <c r="B56" s="18" t="s">
        <v>138</v>
      </c>
      <c r="C56" s="19" t="str">
        <f>IFERROR(VLOOKUP(A56,'[1]SHOPP UPL SFY2021 Combined OUT'!$A:$F,6,FALSE),IFERROR(VLOOKUP(A56,'[1]SHOPP UPL SFY2021 Combined INP'!$A:$F,6,FALSE),VLOOKUP(A56,'[1]DRG UPL SFY21 Combined'!$A:$J,10,FALSE)))</f>
        <v>No</v>
      </c>
      <c r="D56" s="18">
        <v>1</v>
      </c>
      <c r="E56" s="20">
        <v>1</v>
      </c>
      <c r="F56" s="21">
        <f t="shared" si="0"/>
        <v>4984817.6900000004</v>
      </c>
      <c r="G56" s="22">
        <f>IF(C56="No",(VLOOKUP($A56,'[1]Cost UPL SFY21 Combine'!$B:$AS,17,FALSE)+VLOOKUP($A56,'[1]Cost UPL SFY21 Combine'!$B:$AS,18,FALSE)+VLOOKUP($A56,'[1]Cost UPL SFY21 Combine'!$B:$AS,19,FALSE)),(VLOOKUP($A56,'[1]DRG UPL SFY21 Combined'!$A:$AZ,18,FALSE)+VLOOKUP($A56,'[1]DRG UPL SFY21 Combined'!$A:$AZ,19,FALSE)+VLOOKUP($A56,'[1]DRG UPL SFY21 Combined'!$A:$AZ,22,FALSE)))</f>
        <v>4984817.6900000004</v>
      </c>
      <c r="H56" s="22"/>
      <c r="I56" s="22">
        <f t="shared" si="7"/>
        <v>4984817.6900000004</v>
      </c>
      <c r="J56" s="23">
        <f>IF($E56=1,I56/$I$93,0)</f>
        <v>9.2965044334354548E-3</v>
      </c>
      <c r="K56" s="22">
        <f>IFERROR(IF(C56="No",(VLOOKUP($A56,'[1]SHOPP UPL SFY2021 Combined INP'!$A:$AL,36,FALSE)),VLOOKUP($A56,'[1]DRG UPL SFY21 Combined'!$A:$AW,48,FALSE)),0)</f>
        <v>1102926.4190749004</v>
      </c>
      <c r="L56" s="22">
        <f>IF($E56=1,ROUND($J56*(L$96+L$97),0),0)</f>
        <v>4232583</v>
      </c>
      <c r="M56" s="22">
        <f>(IFERROR(VLOOKUP($A56,'[1]CAH 101% of cost'!$A$3:$BJ$44,48,FALSE),0))</f>
        <v>0</v>
      </c>
      <c r="N56" s="22">
        <f t="shared" si="8"/>
        <v>4232583</v>
      </c>
      <c r="O56" s="22">
        <v>854457.59</v>
      </c>
      <c r="P56" s="22">
        <f t="shared" si="1"/>
        <v>998889.59</v>
      </c>
      <c r="Q56" s="22">
        <f t="shared" si="2"/>
        <v>1202577.75</v>
      </c>
      <c r="R56" s="22">
        <f t="shared" si="16"/>
        <v>1058145.75</v>
      </c>
      <c r="S56" s="22">
        <f t="shared" si="16"/>
        <v>1058145.75</v>
      </c>
      <c r="T56" s="22">
        <f t="shared" si="4"/>
        <v>59256.160000000003</v>
      </c>
      <c r="U56" s="22">
        <f t="shared" si="5"/>
        <v>-3129656.5809250996</v>
      </c>
      <c r="V56" s="22"/>
      <c r="W56" s="22">
        <f>IFERROR(VLOOKUP($A56,'[1]Cost UPL SFY21 Combine'!$B:$AG,31,FALSE),0)+IFERROR(VLOOKUP($A56,'[1]Cost UPL SFY21 Combine'!$B:$AG,32,FALSE),0)</f>
        <v>0</v>
      </c>
      <c r="X56" s="23">
        <f>IF($E56=1,W56/$W$93,0)</f>
        <v>0</v>
      </c>
      <c r="Y56" s="22">
        <f>IFERROR(VLOOKUP($A56,'[1]SHOPP UPL SFY2021 Combined OUT'!$A:$AH,33,FALSE),0)</f>
        <v>0</v>
      </c>
      <c r="Z56" s="24">
        <f>IF($E56=1,ROUND($X56*(Z$96+Z$97),0),0)</f>
        <v>0</v>
      </c>
      <c r="AA56" s="22">
        <f>(IFERROR(VLOOKUP(A56,'[1]CAH 101% of cost'!$A$3:$BP$44,64,FALSE),0))</f>
        <v>0</v>
      </c>
      <c r="AB56" s="22">
        <f t="shared" si="6"/>
        <v>0</v>
      </c>
      <c r="AC56" s="22">
        <f>VLOOKUP(A56,'[2]2022 Hospital Access Payments'!$B$2:$H$70,6,FALSE)</f>
        <v>0</v>
      </c>
      <c r="AD56" s="22">
        <f t="shared" si="9"/>
        <v>0</v>
      </c>
      <c r="AE56" s="22">
        <f t="shared" si="10"/>
        <v>0</v>
      </c>
      <c r="AF56" s="22">
        <f t="shared" si="15"/>
        <v>0</v>
      </c>
      <c r="AG56" s="22">
        <f t="shared" si="15"/>
        <v>0</v>
      </c>
      <c r="AH56" s="22">
        <f t="shared" si="12"/>
        <v>0</v>
      </c>
      <c r="AI56" s="22">
        <f t="shared" si="13"/>
        <v>0</v>
      </c>
      <c r="AJ56" s="26"/>
      <c r="AO56" s="26"/>
    </row>
    <row r="57" spans="1:41" x14ac:dyDescent="0.3">
      <c r="A57" s="109" t="s">
        <v>139</v>
      </c>
      <c r="B57" s="18" t="s">
        <v>140</v>
      </c>
      <c r="C57" s="19" t="str">
        <f>IFERROR(VLOOKUP(A57,'[1]SHOPP UPL SFY2021 Combined OUT'!$A:$F,6,FALSE),IFERROR(VLOOKUP(A57,'[1]SHOPP UPL SFY2021 Combined INP'!$A:$F,6,FALSE),VLOOKUP(A57,'[1]DRG UPL SFY21 Combined'!$A:$J,10,FALSE)))</f>
        <v>No</v>
      </c>
      <c r="D57" s="18">
        <v>1</v>
      </c>
      <c r="E57" s="20">
        <v>1</v>
      </c>
      <c r="F57" s="21">
        <f t="shared" si="0"/>
        <v>1422930.1</v>
      </c>
      <c r="G57" s="22">
        <f>IF(C57="No",(VLOOKUP($A57,'[1]Cost UPL SFY21 Combine'!$B:$AS,17,FALSE)+VLOOKUP($A57,'[1]Cost UPL SFY21 Combine'!$B:$AS,18,FALSE)+VLOOKUP($A57,'[1]Cost UPL SFY21 Combine'!$B:$AS,19,FALSE)),(VLOOKUP($A57,'[1]DRG UPL SFY21 Combined'!$A:$AZ,18,FALSE)+VLOOKUP($A57,'[1]DRG UPL SFY21 Combined'!$A:$AZ,19,FALSE)+VLOOKUP($A57,'[1]DRG UPL SFY21 Combined'!$A:$AZ,22,FALSE)))</f>
        <v>1422930.1</v>
      </c>
      <c r="H57" s="22"/>
      <c r="I57" s="22">
        <f t="shared" si="7"/>
        <v>1422930.1</v>
      </c>
      <c r="J57" s="23">
        <f>IF($E57=1,I57/$I$93,0)</f>
        <v>2.6537130955974347E-3</v>
      </c>
      <c r="K57" s="22">
        <f>IFERROR(IF(C57="No",(VLOOKUP($A57,'[1]SHOPP UPL SFY2021 Combined INP'!$A:$AL,36,FALSE)),VLOOKUP($A57,'[1]DRG UPL SFY21 Combined'!$A:$AW,48,FALSE)),0)</f>
        <v>2107323.5523166303</v>
      </c>
      <c r="L57" s="22">
        <f>IF($E57=1,ROUND($J57*(L$96+L$97),0),0)</f>
        <v>1208203</v>
      </c>
      <c r="M57" s="22">
        <f>(IFERROR(VLOOKUP($A57,'[1]CAH 101% of cost'!$A$3:$BJ$44,48,FALSE),0))</f>
        <v>0</v>
      </c>
      <c r="N57" s="22">
        <f>L57+M57</f>
        <v>1208203</v>
      </c>
      <c r="O57" s="22">
        <v>289297.53000000003</v>
      </c>
      <c r="P57" s="22">
        <f t="shared" si="1"/>
        <v>285135.90999999997</v>
      </c>
      <c r="Q57" s="22">
        <f t="shared" si="2"/>
        <v>297889.12999999995</v>
      </c>
      <c r="R57" s="22">
        <f t="shared" si="16"/>
        <v>302050.75</v>
      </c>
      <c r="S57" s="22">
        <f t="shared" si="16"/>
        <v>302050.75</v>
      </c>
      <c r="T57" s="22">
        <f t="shared" si="4"/>
        <v>16914.84</v>
      </c>
      <c r="U57" s="22">
        <f t="shared" si="5"/>
        <v>899120.55231663026</v>
      </c>
      <c r="V57" s="22"/>
      <c r="W57" s="22">
        <f>IFERROR(VLOOKUP($A57,'[1]Cost UPL SFY21 Combine'!$B:$AG,31,FALSE),0)+IFERROR(VLOOKUP($A57,'[1]Cost UPL SFY21 Combine'!$B:$AG,32,FALSE),0)</f>
        <v>0</v>
      </c>
      <c r="X57" s="23">
        <f>IF($E57=1,W57/$W$93,0)</f>
        <v>0</v>
      </c>
      <c r="Y57" s="22">
        <f>IFERROR(VLOOKUP($A57,'[1]SHOPP UPL SFY2021 Combined OUT'!$A:$AH,33,FALSE),0)</f>
        <v>0</v>
      </c>
      <c r="Z57" s="24">
        <f>IF($E57=1,ROUND($X57*(Z$96+Z$97),0),0)</f>
        <v>0</v>
      </c>
      <c r="AA57" s="22">
        <f>(IFERROR(VLOOKUP(A57,'[1]CAH 101% of cost'!$A$3:$BP$44,64,FALSE),0))</f>
        <v>0</v>
      </c>
      <c r="AB57" s="22">
        <f t="shared" si="6"/>
        <v>0</v>
      </c>
      <c r="AC57" s="22">
        <f>VLOOKUP(A57,'[2]2022 Hospital Access Payments'!$B$2:$H$70,6,FALSE)</f>
        <v>0</v>
      </c>
      <c r="AD57" s="22">
        <f t="shared" si="9"/>
        <v>0</v>
      </c>
      <c r="AE57" s="22">
        <f t="shared" si="10"/>
        <v>0</v>
      </c>
      <c r="AF57" s="22">
        <f t="shared" si="15"/>
        <v>0</v>
      </c>
      <c r="AG57" s="22">
        <f t="shared" si="15"/>
        <v>0</v>
      </c>
      <c r="AH57" s="22">
        <f t="shared" si="12"/>
        <v>0</v>
      </c>
      <c r="AI57" s="22">
        <f t="shared" si="13"/>
        <v>0</v>
      </c>
      <c r="AJ57" s="26"/>
      <c r="AO57" s="26"/>
    </row>
    <row r="58" spans="1:41" x14ac:dyDescent="0.3">
      <c r="A58" s="109" t="s">
        <v>141</v>
      </c>
      <c r="B58" s="18" t="s">
        <v>142</v>
      </c>
      <c r="C58" s="19" t="str">
        <f>IFERROR(VLOOKUP(A58,'[1]SHOPP UPL SFY2021 Combined OUT'!$A:$F,6,FALSE),IFERROR(VLOOKUP(A58,'[1]SHOPP UPL SFY2021 Combined INP'!$A:$F,6,FALSE),VLOOKUP(A58,'[1]DRG UPL SFY21 Combined'!$A:$J,10,FALSE)))</f>
        <v>Yes</v>
      </c>
      <c r="D58" s="18">
        <v>1</v>
      </c>
      <c r="E58" s="20">
        <v>1</v>
      </c>
      <c r="F58" s="21">
        <f t="shared" si="0"/>
        <v>3385217.5695545264</v>
      </c>
      <c r="G58" s="22">
        <f>IF(C58="No",(VLOOKUP($A58,'[1]Cost UPL SFY21 Combine'!$B:$AS,17,FALSE)+VLOOKUP($A58,'[1]Cost UPL SFY21 Combine'!$B:$AS,18,FALSE)+VLOOKUP($A58,'[1]Cost UPL SFY21 Combine'!$B:$AS,19,FALSE)),(VLOOKUP($A58,'[1]DRG UPL SFY21 Combined'!$A:$AZ,18,FALSE)+VLOOKUP($A58,'[1]DRG UPL SFY21 Combined'!$A:$AZ,19,FALSE)+VLOOKUP($A58,'[1]DRG UPL SFY21 Combined'!$A:$AZ,22,FALSE)))</f>
        <v>1117007.3400000001</v>
      </c>
      <c r="H58" s="22"/>
      <c r="I58" s="22">
        <f t="shared" si="7"/>
        <v>1117007.3400000001</v>
      </c>
      <c r="J58" s="23">
        <f>IF($E58=1,I58/$I$93,0)</f>
        <v>2.0831782292302739E-3</v>
      </c>
      <c r="K58" s="22">
        <f>IFERROR(IF(C58="No",(VLOOKUP($A58,'[1]SHOPP UPL SFY2021 Combined INP'!$A:$AL,36,FALSE)),VLOOKUP($A58,'[1]DRG UPL SFY21 Combined'!$A:$AW,48,FALSE)),0)</f>
        <v>1958177.6315123595</v>
      </c>
      <c r="L58" s="22">
        <f>IF($E58=1,ROUND($J58*(L$96+L$97),0),0)</f>
        <v>948445</v>
      </c>
      <c r="M58" s="22">
        <f>(IFERROR(VLOOKUP($A58,'[1]CAH 101% of cost'!$A$3:$BJ$44,48,FALSE),0))</f>
        <v>0</v>
      </c>
      <c r="N58" s="22">
        <f t="shared" si="8"/>
        <v>948445</v>
      </c>
      <c r="O58" s="22">
        <v>227099.97</v>
      </c>
      <c r="P58" s="22">
        <f t="shared" si="1"/>
        <v>223833.02</v>
      </c>
      <c r="Q58" s="22">
        <f t="shared" si="2"/>
        <v>233844.3</v>
      </c>
      <c r="R58" s="22">
        <f t="shared" si="16"/>
        <v>237111.25</v>
      </c>
      <c r="S58" s="22">
        <f t="shared" si="16"/>
        <v>237111.25</v>
      </c>
      <c r="T58" s="22">
        <f t="shared" si="4"/>
        <v>13278.23</v>
      </c>
      <c r="U58" s="22">
        <f t="shared" si="5"/>
        <v>1009732.6315123595</v>
      </c>
      <c r="V58" s="22"/>
      <c r="W58" s="22">
        <f>IFERROR(VLOOKUP($A58,'[1]Cost UPL SFY21 Combine'!$B:$AG,31,FALSE),0)+IFERROR(VLOOKUP($A58,'[1]Cost UPL SFY21 Combine'!$B:$AG,32,FALSE),0)</f>
        <v>2268210.2295545265</v>
      </c>
      <c r="X58" s="23">
        <f>IF($E58=1,W58/$W$93,0)</f>
        <v>7.1278073339937969E-3</v>
      </c>
      <c r="Y58" s="22">
        <f>IFERROR(VLOOKUP($A58,'[1]SHOPP UPL SFY2021 Combined OUT'!$A:$AH,33,FALSE),0)</f>
        <v>1368914.2777490304</v>
      </c>
      <c r="Z58" s="24">
        <f>IF($E58=1,ROUND($X58*(Z$96+Z$97),0),0)</f>
        <v>534702</v>
      </c>
      <c r="AA58" s="22">
        <f>(IFERROR(VLOOKUP(A58,'[1]CAH 101% of cost'!$A$3:$BP$44,64,FALSE),0))</f>
        <v>0</v>
      </c>
      <c r="AB58" s="22">
        <f t="shared" si="6"/>
        <v>534702</v>
      </c>
      <c r="AC58" s="22">
        <f>VLOOKUP(A58,'[2]2022 Hospital Access Payments'!$B$2:$H$70,6,FALSE)</f>
        <v>122025.45</v>
      </c>
      <c r="AD58" s="22">
        <f t="shared" si="9"/>
        <v>126189.67</v>
      </c>
      <c r="AE58" s="22">
        <f t="shared" si="10"/>
        <v>137839.72</v>
      </c>
      <c r="AF58" s="22">
        <f t="shared" si="15"/>
        <v>133675.5</v>
      </c>
      <c r="AG58" s="22">
        <f t="shared" si="15"/>
        <v>133675.5</v>
      </c>
      <c r="AH58" s="22">
        <f t="shared" si="12"/>
        <v>7485.83</v>
      </c>
      <c r="AI58" s="22">
        <f t="shared" si="13"/>
        <v>834212.27774903039</v>
      </c>
      <c r="AJ58" s="26"/>
      <c r="AO58" s="26"/>
    </row>
    <row r="59" spans="1:41" x14ac:dyDescent="0.3">
      <c r="A59" s="17"/>
      <c r="C59" s="19"/>
      <c r="E59" s="20"/>
      <c r="F59" s="21"/>
      <c r="G59" s="21"/>
      <c r="H59" s="21"/>
      <c r="I59" s="21"/>
      <c r="J59" s="43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43"/>
      <c r="Y59" s="21"/>
      <c r="Z59" s="24"/>
      <c r="AA59" s="21"/>
      <c r="AB59" s="21"/>
      <c r="AC59" s="21"/>
      <c r="AD59" s="21"/>
      <c r="AE59" s="21"/>
      <c r="AF59" s="21"/>
      <c r="AG59" s="21"/>
      <c r="AH59" s="21"/>
      <c r="AI59" s="21"/>
      <c r="AK59" s="44"/>
      <c r="AL59" s="44"/>
    </row>
    <row r="60" spans="1:41" s="35" customFormat="1" x14ac:dyDescent="0.3">
      <c r="A60" s="27"/>
      <c r="B60" s="28" t="s">
        <v>143</v>
      </c>
      <c r="C60" s="29"/>
      <c r="D60" s="30"/>
      <c r="E60" s="31"/>
      <c r="F60" s="32"/>
      <c r="G60" s="32"/>
      <c r="H60" s="32"/>
      <c r="I60" s="32"/>
      <c r="J60" s="33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3"/>
      <c r="Y60" s="32"/>
      <c r="Z60" s="34"/>
      <c r="AA60" s="32"/>
      <c r="AB60" s="32"/>
      <c r="AC60" s="32"/>
      <c r="AD60" s="32"/>
      <c r="AE60" s="32"/>
      <c r="AF60" s="32"/>
      <c r="AG60" s="32"/>
      <c r="AH60" s="32"/>
      <c r="AI60" s="32"/>
      <c r="AK60" s="36"/>
      <c r="AL60" s="36"/>
    </row>
    <row r="61" spans="1:41" x14ac:dyDescent="0.3">
      <c r="A61" s="122" t="s">
        <v>144</v>
      </c>
      <c r="B61" s="123" t="s">
        <v>145</v>
      </c>
      <c r="C61" s="19" t="str">
        <f>IFERROR(VLOOKUP(A61,'[1]SHOPP UPL SFY2021 Combined OUT'!$A:$F,6,FALSE),IFERROR(VLOOKUP(A61,'[1]SHOPP UPL SFY2021 Combined INP'!$A:$F,6,FALSE),VLOOKUP(A61,'[1]DRG UPL SFY21 Combined'!$A:$J,10,FALSE)))</f>
        <v>No</v>
      </c>
      <c r="D61" s="18">
        <v>1</v>
      </c>
      <c r="E61" s="20">
        <v>1</v>
      </c>
      <c r="F61" s="21">
        <f t="shared" ref="F61:F70" si="17">G61+W61</f>
        <v>1583179.42</v>
      </c>
      <c r="G61" s="22">
        <f>IF(C61="No",(VLOOKUP($A61,'[1]Cost UPL SFY21 Combine'!$B:$AS,17,FALSE)+VLOOKUP($A61,'[1]Cost UPL SFY21 Combine'!$B:$AS,18,FALSE)+VLOOKUP($A61,'[1]Cost UPL SFY21 Combine'!$B:$AS,19,FALSE)),(VLOOKUP($A61,'[1]DRG UPL SFY21 Combined'!$A:$AZ,18,FALSE)+VLOOKUP($A61,'[1]DRG UPL SFY21 Combined'!$A:$AZ,19,FALSE)+VLOOKUP($A61,'[1]DRG UPL SFY21 Combined'!$A:$AZ,22,FALSE)))</f>
        <v>1583179.42</v>
      </c>
      <c r="H61" s="22"/>
      <c r="I61" s="22">
        <f t="shared" ref="I61:I70" si="18">G61+H61</f>
        <v>1583179.42</v>
      </c>
      <c r="J61" s="23">
        <f>IF($E61=1,I61/$I$93,0)</f>
        <v>2.9525722728996674E-3</v>
      </c>
      <c r="K61" s="22">
        <f>IFERROR(IF(C61="No",(VLOOKUP($A61,'[1]SHOPP UPL SFY2021 Combined INP'!$A:$AL,36,FALSE)),VLOOKUP($A61,'[1]DRG UPL SFY21 Combined'!$A:$AW,48,FALSE)),0)</f>
        <v>266904.05423624278</v>
      </c>
      <c r="L61" s="22">
        <f>IF($E61=1,ROUND($J61*(L$96+L$97),0),0)</f>
        <v>1344270</v>
      </c>
      <c r="M61" s="22">
        <f>(IFERROR(VLOOKUP($A61,'[1]CAH 101% of cost'!$A$3:$BJ$44,48,FALSE),0))</f>
        <v>0</v>
      </c>
      <c r="N61" s="22">
        <f t="shared" ref="N61:N70" si="19">L61+M61</f>
        <v>1344270</v>
      </c>
      <c r="O61" s="22">
        <v>321878.03999999998</v>
      </c>
      <c r="P61" s="22">
        <f t="shared" ref="P61:P70" si="20">ROUND($N61*23.6%,2)</f>
        <v>317247.71999999997</v>
      </c>
      <c r="Q61" s="22">
        <f t="shared" ref="Q61:Q70" si="21">P61-O61+ROUND($N61*25%,2)</f>
        <v>331437.18</v>
      </c>
      <c r="R61" s="22">
        <f t="shared" ref="R61:S70" si="22">ROUND($N61*25%,2)</f>
        <v>336067.5</v>
      </c>
      <c r="S61" s="22">
        <f t="shared" si="22"/>
        <v>336067.5</v>
      </c>
      <c r="T61" s="22">
        <f t="shared" ref="T61:T70" si="23">ROUND($N61*1.4%,2)</f>
        <v>18819.78</v>
      </c>
      <c r="U61" s="22">
        <f t="shared" ref="U61:U70" si="24">+K61-(L61+M61)</f>
        <v>-1077365.9457637572</v>
      </c>
      <c r="V61" s="22"/>
      <c r="W61" s="22">
        <f>IFERROR(VLOOKUP($A61,'[1]Cost UPL SFY21 Combine'!$B:$AG,31,FALSE),0)+IFERROR(VLOOKUP($A61,'[1]Cost UPL SFY21 Combine'!$B:$AG,32,FALSE),0)</f>
        <v>0</v>
      </c>
      <c r="X61" s="23">
        <f>IF($E61=1,W61/$W$93,0)</f>
        <v>0</v>
      </c>
      <c r="Y61" s="22">
        <f>IFERROR(VLOOKUP($A61,'[1]SHOPP UPL SFY2021 Combined OUT'!$A:$AH,33,FALSE),0)</f>
        <v>0</v>
      </c>
      <c r="Z61" s="24">
        <f>IF($E61=1,ROUND($X61*(Z$96+Z$97),0),0)</f>
        <v>0</v>
      </c>
      <c r="AA61" s="22">
        <f>(IFERROR(VLOOKUP(A61,'[1]CAH 101% of cost'!$A$3:$BP$44,64,FALSE),0))</f>
        <v>0</v>
      </c>
      <c r="AB61" s="22">
        <f t="shared" ref="AB61:AB70" si="25">Z61+AA61</f>
        <v>0</v>
      </c>
      <c r="AC61" s="22"/>
      <c r="AD61" s="22">
        <f t="shared" ref="AD61:AD70" si="26">$AB61*23.6%</f>
        <v>0</v>
      </c>
      <c r="AE61" s="22">
        <f t="shared" ref="AE61:AE70" si="27">AD61-AC61+ROUND($AB61*25%,2)</f>
        <v>0</v>
      </c>
      <c r="AF61" s="22">
        <f t="shared" ref="AF61:AG70" si="28">$AB61*25%</f>
        <v>0</v>
      </c>
      <c r="AG61" s="22">
        <f t="shared" si="28"/>
        <v>0</v>
      </c>
      <c r="AH61" s="22">
        <f t="shared" ref="AH61:AH70" si="29">$AB61*1.4%</f>
        <v>0</v>
      </c>
      <c r="AI61" s="22">
        <f t="shared" ref="AI61:AI70" si="30">+Y61-(Z61+AA61)</f>
        <v>0</v>
      </c>
      <c r="AJ61" s="26"/>
      <c r="AO61" s="26"/>
    </row>
    <row r="62" spans="1:41" x14ac:dyDescent="0.3">
      <c r="A62" s="124" t="s">
        <v>146</v>
      </c>
      <c r="B62" s="123" t="s">
        <v>147</v>
      </c>
      <c r="C62" s="19" t="str">
        <f>IFERROR(VLOOKUP(A62,'[1]SHOPP UPL SFY2021 Combined OUT'!$A:$F,6,FALSE),IFERROR(VLOOKUP(A62,'[1]SHOPP UPL SFY2021 Combined INP'!$A:$F,6,FALSE),VLOOKUP(A62,'[1]DRG UPL SFY21 Combined'!$A:$J,10,FALSE)))</f>
        <v>No</v>
      </c>
      <c r="D62" s="18">
        <v>1</v>
      </c>
      <c r="E62" s="20">
        <v>1</v>
      </c>
      <c r="F62" s="21">
        <f t="shared" si="17"/>
        <v>573655.52</v>
      </c>
      <c r="G62" s="22">
        <f>IF(C62="No",(VLOOKUP($A62,'[1]Cost UPL SFY21 Combine'!$B:$AS,17,FALSE)+VLOOKUP($A62,'[1]Cost UPL SFY21 Combine'!$B:$AS,18,FALSE)+VLOOKUP($A62,'[1]Cost UPL SFY21 Combine'!$B:$AS,19,FALSE)),(VLOOKUP($A62,'[1]DRG UPL SFY21 Combined'!$A:$AZ,18,FALSE)+VLOOKUP($A62,'[1]DRG UPL SFY21 Combined'!$A:$AZ,19,FALSE)+VLOOKUP($A62,'[1]DRG UPL SFY21 Combined'!$A:$AZ,22,FALSE)))</f>
        <v>573655.52</v>
      </c>
      <c r="H62" s="22"/>
      <c r="I62" s="22">
        <f t="shared" si="18"/>
        <v>573655.52</v>
      </c>
      <c r="J62" s="23">
        <f>IF($E62=1,I62/$I$93,0)</f>
        <v>1.069846766039847E-3</v>
      </c>
      <c r="K62" s="22">
        <f>IFERROR(IF(C62="No",(VLOOKUP($A62,'[1]SHOPP UPL SFY2021 Combined INP'!$A:$AL,36,FALSE)),VLOOKUP($A62,'[1]DRG UPL SFY21 Combined'!$A:$AW,48,FALSE)),0)</f>
        <v>131615.99009766441</v>
      </c>
      <c r="L62" s="22">
        <f>IF($E62=1,ROUND($J62*(L$96+L$97),0),0)</f>
        <v>487088</v>
      </c>
      <c r="M62" s="22">
        <f>(IFERROR(VLOOKUP($A62,'[1]CAH 101% of cost'!$A$3:$BJ$44,48,FALSE),0))</f>
        <v>0</v>
      </c>
      <c r="N62" s="22">
        <f t="shared" si="19"/>
        <v>487088</v>
      </c>
      <c r="O62" s="22">
        <v>116630.49</v>
      </c>
      <c r="P62" s="22">
        <f t="shared" si="20"/>
        <v>114952.77</v>
      </c>
      <c r="Q62" s="22">
        <f t="shared" si="21"/>
        <v>120094.28</v>
      </c>
      <c r="R62" s="22">
        <f t="shared" si="22"/>
        <v>121772</v>
      </c>
      <c r="S62" s="22">
        <f t="shared" si="22"/>
        <v>121772</v>
      </c>
      <c r="T62" s="22">
        <f t="shared" si="23"/>
        <v>6819.23</v>
      </c>
      <c r="U62" s="22">
        <f t="shared" si="24"/>
        <v>-355472.00990233559</v>
      </c>
      <c r="V62" s="21"/>
      <c r="W62" s="22">
        <f>IFERROR(VLOOKUP($A62,'[1]Cost UPL SFY21 Combine'!$B:$AG,31,FALSE),0)+IFERROR(VLOOKUP($A62,'[1]Cost UPL SFY21 Combine'!$B:$AG,32,FALSE),0)</f>
        <v>0</v>
      </c>
      <c r="X62" s="23">
        <f>IF($E62=1,W62/$W$93,0)</f>
        <v>0</v>
      </c>
      <c r="Y62" s="22">
        <f>IFERROR(VLOOKUP($A62,'[1]SHOPP UPL SFY2021 Combined OUT'!$A:$AH,33,FALSE),0)</f>
        <v>0</v>
      </c>
      <c r="Z62" s="24">
        <f>IF($E62=1,ROUND($X62*(Z$96+Z$97),0),0)</f>
        <v>0</v>
      </c>
      <c r="AA62" s="22">
        <f>(IFERROR(VLOOKUP(A62,'[1]CAH 101% of cost'!$A$3:$BP$44,64,FALSE),0))</f>
        <v>0</v>
      </c>
      <c r="AB62" s="22">
        <f t="shared" si="25"/>
        <v>0</v>
      </c>
      <c r="AC62" s="22"/>
      <c r="AD62" s="22">
        <f t="shared" si="26"/>
        <v>0</v>
      </c>
      <c r="AE62" s="22">
        <f t="shared" si="27"/>
        <v>0</v>
      </c>
      <c r="AF62" s="22">
        <f t="shared" si="28"/>
        <v>0</v>
      </c>
      <c r="AG62" s="22">
        <f t="shared" si="28"/>
        <v>0</v>
      </c>
      <c r="AH62" s="22">
        <f t="shared" si="29"/>
        <v>0</v>
      </c>
      <c r="AI62" s="22">
        <f t="shared" si="30"/>
        <v>0</v>
      </c>
      <c r="AJ62" s="26"/>
      <c r="AO62" s="26"/>
    </row>
    <row r="63" spans="1:41" x14ac:dyDescent="0.3">
      <c r="A63" s="122" t="s">
        <v>148</v>
      </c>
      <c r="B63" s="123" t="s">
        <v>149</v>
      </c>
      <c r="C63" s="19" t="str">
        <f>IFERROR(VLOOKUP(A63,'[1]SHOPP UPL SFY2021 Combined OUT'!$A:$F,6,FALSE),IFERROR(VLOOKUP(A63,'[1]SHOPP UPL SFY2021 Combined INP'!$A:$F,6,FALSE),VLOOKUP(A63,'[1]DRG UPL SFY21 Combined'!$A:$J,10,FALSE)))</f>
        <v>No</v>
      </c>
      <c r="D63" s="18">
        <v>1</v>
      </c>
      <c r="E63" s="20">
        <v>1</v>
      </c>
      <c r="F63" s="21">
        <f t="shared" si="17"/>
        <v>1790585.84</v>
      </c>
      <c r="G63" s="22">
        <f>IF(C63="No",(VLOOKUP($A63,'[1]Cost UPL SFY21 Combine'!$B:$AS,17,FALSE)+VLOOKUP($A63,'[1]Cost UPL SFY21 Combine'!$B:$AS,18,FALSE)+VLOOKUP($A63,'[1]Cost UPL SFY21 Combine'!$B:$AS,19,FALSE)),(VLOOKUP($A63,'[1]DRG UPL SFY21 Combined'!$A:$AZ,18,FALSE)+VLOOKUP($A63,'[1]DRG UPL SFY21 Combined'!$A:$AZ,19,FALSE)+VLOOKUP($A63,'[1]DRG UPL SFY21 Combined'!$A:$AZ,22,FALSE)))</f>
        <v>1790585.84</v>
      </c>
      <c r="H63" s="22"/>
      <c r="I63" s="22">
        <f t="shared" si="18"/>
        <v>1790585.84</v>
      </c>
      <c r="J63" s="23">
        <f>IF($E63=1,I63/$I$93,0)</f>
        <v>3.3393777335930506E-3</v>
      </c>
      <c r="K63" s="22">
        <f>IFERROR(IF(C63="No",(VLOOKUP($A63,'[1]SHOPP UPL SFY2021 Combined INP'!$A:$AL,36,FALSE)),VLOOKUP($A63,'[1]DRG UPL SFY21 Combined'!$A:$AW,48,FALSE)),0)</f>
        <v>1113103.4037511656</v>
      </c>
      <c r="L63" s="22">
        <f>IF($E63=1,ROUND($J63*(L$96+L$97),0),0)</f>
        <v>1520377</v>
      </c>
      <c r="M63" s="22">
        <f>(IFERROR(VLOOKUP($A63,'[1]CAH 101% of cost'!$A$3:$BJ$44,48,FALSE),0))</f>
        <v>0</v>
      </c>
      <c r="N63" s="22">
        <f t="shared" si="19"/>
        <v>1520377</v>
      </c>
      <c r="O63" s="22">
        <v>364046.05</v>
      </c>
      <c r="P63" s="22">
        <f t="shared" si="20"/>
        <v>358808.97</v>
      </c>
      <c r="Q63" s="22">
        <f t="shared" si="21"/>
        <v>374857.17</v>
      </c>
      <c r="R63" s="22">
        <f t="shared" si="22"/>
        <v>380094.25</v>
      </c>
      <c r="S63" s="22">
        <f t="shared" si="22"/>
        <v>380094.25</v>
      </c>
      <c r="T63" s="22">
        <f t="shared" si="23"/>
        <v>21285.279999999999</v>
      </c>
      <c r="U63" s="22">
        <f t="shared" si="24"/>
        <v>-407273.59624883439</v>
      </c>
      <c r="V63" s="22"/>
      <c r="W63" s="22">
        <f>IFERROR(VLOOKUP($A63,'[1]Cost UPL SFY21 Combine'!$B:$AG,31,FALSE),0)+IFERROR(VLOOKUP($A63,'[1]Cost UPL SFY21 Combine'!$B:$AG,32,FALSE),0)</f>
        <v>0</v>
      </c>
      <c r="X63" s="23">
        <f>IF($E63=1,W63/$W$93,0)</f>
        <v>0</v>
      </c>
      <c r="Y63" s="22">
        <f>IFERROR(VLOOKUP($A63,'[1]SHOPP UPL SFY2021 Combined OUT'!$A:$AH,33,FALSE),0)</f>
        <v>0</v>
      </c>
      <c r="Z63" s="24">
        <f>IF($E63=1,ROUND($X63*(Z$96+Z$97),0),0)</f>
        <v>0</v>
      </c>
      <c r="AA63" s="22">
        <f>(IFERROR(VLOOKUP(A63,'[1]CAH 101% of cost'!$A$3:$BP$44,64,FALSE),0))</f>
        <v>0</v>
      </c>
      <c r="AB63" s="22">
        <f t="shared" si="25"/>
        <v>0</v>
      </c>
      <c r="AC63" s="22"/>
      <c r="AD63" s="22">
        <f t="shared" si="26"/>
        <v>0</v>
      </c>
      <c r="AE63" s="22">
        <f t="shared" si="27"/>
        <v>0</v>
      </c>
      <c r="AF63" s="22">
        <f t="shared" si="28"/>
        <v>0</v>
      </c>
      <c r="AG63" s="22">
        <f t="shared" si="28"/>
        <v>0</v>
      </c>
      <c r="AH63" s="22">
        <f t="shared" si="29"/>
        <v>0</v>
      </c>
      <c r="AI63" s="22">
        <f t="shared" si="30"/>
        <v>0</v>
      </c>
      <c r="AJ63" s="26"/>
      <c r="AO63" s="26"/>
    </row>
    <row r="64" spans="1:41" x14ac:dyDescent="0.3">
      <c r="A64" s="109" t="s">
        <v>150</v>
      </c>
      <c r="B64" s="123" t="s">
        <v>106</v>
      </c>
      <c r="C64" s="19" t="str">
        <f>IFERROR(VLOOKUP(A64,'[1]SHOPP UPL SFY2021 Combined OUT'!$A:$F,6,FALSE),IFERROR(VLOOKUP(A64,'[1]SHOPP UPL SFY2021 Combined INP'!$A:$F,6,FALSE),VLOOKUP(A64,'[1]DRG UPL SFY21 Combined'!$A:$J,10,FALSE)))</f>
        <v>No</v>
      </c>
      <c r="D64" s="18">
        <v>1</v>
      </c>
      <c r="E64" s="20">
        <v>1</v>
      </c>
      <c r="F64" s="21">
        <f t="shared" si="17"/>
        <v>2783819.82</v>
      </c>
      <c r="G64" s="22">
        <f>IF(C64="No",(VLOOKUP($A64,'[1]Cost UPL SFY21 Combine'!$B:$AS,17,FALSE)+VLOOKUP($A64,'[1]Cost UPL SFY21 Combine'!$B:$AS,18,FALSE)+VLOOKUP($A64,'[1]Cost UPL SFY21 Combine'!$B:$AS,19,FALSE)),(VLOOKUP($A64,'[1]DRG UPL SFY21 Combined'!$A:$AZ,18,FALSE)+VLOOKUP($A64,'[1]DRG UPL SFY21 Combined'!$A:$AZ,19,FALSE)+VLOOKUP($A64,'[1]DRG UPL SFY21 Combined'!$A:$AZ,22,FALSE)))</f>
        <v>2783819.82</v>
      </c>
      <c r="H64" s="22"/>
      <c r="I64" s="22">
        <f t="shared" si="18"/>
        <v>2783819.82</v>
      </c>
      <c r="J64" s="23">
        <f>IF($E64=1,I64/$I$93,0)</f>
        <v>5.1917231297009554E-3</v>
      </c>
      <c r="K64" s="22">
        <f>IFERROR(IF(C64="No",(VLOOKUP($A64,'[1]SHOPP UPL SFY2021 Combined INP'!$A:$AL,36,FALSE)),VLOOKUP($A64,'[1]DRG UPL SFY21 Combined'!$A:$AW,48,FALSE)),0)</f>
        <v>829007.7357365198</v>
      </c>
      <c r="L64" s="22">
        <f>IF($E64=1,ROUND($J64*(L$96+L$97),0),0)</f>
        <v>2363727</v>
      </c>
      <c r="M64" s="22">
        <f>(IFERROR(VLOOKUP($A64,'[1]CAH 101% of cost'!$A$3:$BJ$44,48,FALSE),0))</f>
        <v>0</v>
      </c>
      <c r="N64" s="22">
        <f t="shared" si="19"/>
        <v>2363727</v>
      </c>
      <c r="O64" s="22">
        <v>565981.34</v>
      </c>
      <c r="P64" s="22">
        <f t="shared" si="20"/>
        <v>557839.56999999995</v>
      </c>
      <c r="Q64" s="22">
        <f t="shared" si="21"/>
        <v>582789.98</v>
      </c>
      <c r="R64" s="22">
        <f t="shared" si="22"/>
        <v>590931.75</v>
      </c>
      <c r="S64" s="22">
        <f t="shared" si="22"/>
        <v>590931.75</v>
      </c>
      <c r="T64" s="22">
        <f t="shared" si="23"/>
        <v>33092.18</v>
      </c>
      <c r="U64" s="22">
        <f t="shared" si="24"/>
        <v>-1534719.2642634802</v>
      </c>
      <c r="V64" s="22"/>
      <c r="W64" s="22">
        <f>IFERROR(VLOOKUP($A64,'[1]Cost UPL SFY21 Combine'!$B:$AG,31,FALSE),0)+IFERROR(VLOOKUP($A64,'[1]Cost UPL SFY21 Combine'!$B:$AG,32,FALSE),0)</f>
        <v>0</v>
      </c>
      <c r="X64" s="23">
        <f>IF($E64=1,W64/$W$93,0)</f>
        <v>0</v>
      </c>
      <c r="Y64" s="22">
        <f>IFERROR(VLOOKUP($A64,'[1]SHOPP UPL SFY2021 Combined OUT'!$A:$AH,33,FALSE),0)</f>
        <v>0</v>
      </c>
      <c r="Z64" s="24">
        <f>IF($E64=1,ROUND($X64*(Z$96+Z$97),0),0)</f>
        <v>0</v>
      </c>
      <c r="AA64" s="22">
        <f>(IFERROR(VLOOKUP(A64,'[1]CAH 101% of cost'!$A$3:$BP$44,64,FALSE),0))</f>
        <v>0</v>
      </c>
      <c r="AB64" s="22">
        <f t="shared" si="25"/>
        <v>0</v>
      </c>
      <c r="AC64" s="22"/>
      <c r="AD64" s="22">
        <f t="shared" si="26"/>
        <v>0</v>
      </c>
      <c r="AE64" s="22">
        <f t="shared" si="27"/>
        <v>0</v>
      </c>
      <c r="AF64" s="22">
        <f t="shared" si="28"/>
        <v>0</v>
      </c>
      <c r="AG64" s="22">
        <f t="shared" si="28"/>
        <v>0</v>
      </c>
      <c r="AH64" s="22">
        <f t="shared" si="29"/>
        <v>0</v>
      </c>
      <c r="AI64" s="22">
        <f t="shared" si="30"/>
        <v>0</v>
      </c>
      <c r="AJ64" s="26"/>
      <c r="AO64" s="26"/>
    </row>
    <row r="65" spans="1:41" x14ac:dyDescent="0.3">
      <c r="A65" s="125" t="s">
        <v>151</v>
      </c>
      <c r="B65" s="123" t="s">
        <v>152</v>
      </c>
      <c r="C65" s="19" t="str">
        <f>IFERROR(VLOOKUP(A65,'[1]SHOPP UPL SFY2021 Combined OUT'!$A:$F,6,FALSE),IFERROR(VLOOKUP(A65,'[1]SHOPP UPL SFY2021 Combined INP'!$A:$F,6,FALSE),VLOOKUP(A65,'[1]DRG UPL SFY21 Combined'!$A:$J,10,FALSE)))</f>
        <v>No</v>
      </c>
      <c r="D65" s="18">
        <v>1</v>
      </c>
      <c r="E65" s="20">
        <v>1</v>
      </c>
      <c r="F65" s="21">
        <f t="shared" si="17"/>
        <v>2550743.13</v>
      </c>
      <c r="G65" s="22">
        <f>IF(C65="No",(VLOOKUP($A65,'[1]Cost UPL SFY21 Combine'!$B:$AS,17,FALSE)+VLOOKUP($A65,'[1]Cost UPL SFY21 Combine'!$B:$AS,18,FALSE)+VLOOKUP($A65,'[1]Cost UPL SFY21 Combine'!$B:$AS,19,FALSE)),(VLOOKUP($A65,'[1]DRG UPL SFY21 Combined'!$A:$AZ,18,FALSE)+VLOOKUP($A65,'[1]DRG UPL SFY21 Combined'!$A:$AZ,19,FALSE)+VLOOKUP($A65,'[1]DRG UPL SFY21 Combined'!$A:$AZ,22,FALSE)))</f>
        <v>2550743.13</v>
      </c>
      <c r="H65" s="22"/>
      <c r="I65" s="22">
        <f t="shared" si="18"/>
        <v>2550743.13</v>
      </c>
      <c r="J65" s="23">
        <f>IF($E65=1,I65/$I$93,0)</f>
        <v>4.757043545277586E-3</v>
      </c>
      <c r="K65" s="22">
        <f>IFERROR(IF(C65="No",(VLOOKUP($A65,'[1]SHOPP UPL SFY2021 Combined INP'!$A:$AL,36,FALSE)),VLOOKUP($A65,'[1]DRG UPL SFY21 Combined'!$A:$AW,48,FALSE)),0)</f>
        <v>129076.94325828832</v>
      </c>
      <c r="L65" s="22">
        <f>IF($E65=1,ROUND($J65*(L$96+L$97),0),0)</f>
        <v>2165823</v>
      </c>
      <c r="M65" s="22">
        <f>(IFERROR(VLOOKUP($A65,'[1]CAH 101% of cost'!$A$3:$BJ$44,48,FALSE),0))</f>
        <v>0</v>
      </c>
      <c r="N65" s="22">
        <f t="shared" si="19"/>
        <v>2165823</v>
      </c>
      <c r="O65" s="22">
        <v>518594.42</v>
      </c>
      <c r="P65" s="22">
        <f t="shared" si="20"/>
        <v>511134.23</v>
      </c>
      <c r="Q65" s="22">
        <f t="shared" si="21"/>
        <v>533995.56000000006</v>
      </c>
      <c r="R65" s="22">
        <f t="shared" si="22"/>
        <v>541455.75</v>
      </c>
      <c r="S65" s="22">
        <f t="shared" si="22"/>
        <v>541455.75</v>
      </c>
      <c r="T65" s="22">
        <f t="shared" si="23"/>
        <v>30321.52</v>
      </c>
      <c r="U65" s="22">
        <f t="shared" si="24"/>
        <v>-2036746.0567417117</v>
      </c>
      <c r="V65" s="21"/>
      <c r="W65" s="22">
        <f>IFERROR(VLOOKUP($A65,'[1]Cost UPL SFY21 Combine'!$B:$AG,31,FALSE),0)+IFERROR(VLOOKUP($A65,'[1]Cost UPL SFY21 Combine'!$B:$AG,32,FALSE),0)</f>
        <v>0</v>
      </c>
      <c r="X65" s="23">
        <f>IF($E65=1,W65/$W$93,0)</f>
        <v>0</v>
      </c>
      <c r="Y65" s="22">
        <f>IFERROR(VLOOKUP($A65,'[1]SHOPP UPL SFY2021 Combined OUT'!$A:$AH,33,FALSE),0)</f>
        <v>0</v>
      </c>
      <c r="Z65" s="24">
        <f>IF($E65=1,ROUND($X65*(Z$96+Z$97),0),0)</f>
        <v>0</v>
      </c>
      <c r="AA65" s="22">
        <f>(IFERROR(VLOOKUP(A65,'[1]CAH 101% of cost'!$A$3:$BP$44,64,FALSE),0))</f>
        <v>0</v>
      </c>
      <c r="AB65" s="22">
        <f t="shared" si="25"/>
        <v>0</v>
      </c>
      <c r="AC65" s="22"/>
      <c r="AD65" s="22">
        <f t="shared" si="26"/>
        <v>0</v>
      </c>
      <c r="AE65" s="22">
        <f t="shared" si="27"/>
        <v>0</v>
      </c>
      <c r="AF65" s="22">
        <f t="shared" si="28"/>
        <v>0</v>
      </c>
      <c r="AG65" s="22">
        <f t="shared" si="28"/>
        <v>0</v>
      </c>
      <c r="AH65" s="22">
        <f t="shared" si="29"/>
        <v>0</v>
      </c>
      <c r="AI65" s="22">
        <f t="shared" si="30"/>
        <v>0</v>
      </c>
      <c r="AJ65" s="26"/>
      <c r="AO65" s="26"/>
    </row>
    <row r="66" spans="1:41" x14ac:dyDescent="0.3">
      <c r="A66" s="122" t="s">
        <v>153</v>
      </c>
      <c r="B66" s="123" t="s">
        <v>154</v>
      </c>
      <c r="C66" s="19" t="str">
        <f>IFERROR(VLOOKUP(A66,'[1]SHOPP UPL SFY2021 Combined OUT'!$A:$F,6,FALSE),IFERROR(VLOOKUP(A66,'[1]SHOPP UPL SFY2021 Combined INP'!$A:$F,6,FALSE),VLOOKUP(A66,'[1]DRG UPL SFY21 Combined'!$A:$J,10,FALSE)))</f>
        <v>No</v>
      </c>
      <c r="D66" s="18">
        <v>1</v>
      </c>
      <c r="E66" s="20">
        <v>1</v>
      </c>
      <c r="F66" s="21">
        <f t="shared" si="17"/>
        <v>2746059.31</v>
      </c>
      <c r="G66" s="22">
        <f>IF(C66="No",(VLOOKUP($A66,'[1]Cost UPL SFY21 Combine'!$B:$AS,17,FALSE)+VLOOKUP($A66,'[1]Cost UPL SFY21 Combine'!$B:$AS,18,FALSE)+VLOOKUP($A66,'[1]Cost UPL SFY21 Combine'!$B:$AS,19,FALSE)),(VLOOKUP($A66,'[1]DRG UPL SFY21 Combined'!$A:$AZ,18,FALSE)+VLOOKUP($A66,'[1]DRG UPL SFY21 Combined'!$A:$AZ,19,FALSE)+VLOOKUP($A66,'[1]DRG UPL SFY21 Combined'!$A:$AZ,22,FALSE)))</f>
        <v>2746059.31</v>
      </c>
      <c r="H66" s="22"/>
      <c r="I66" s="22">
        <f t="shared" si="18"/>
        <v>2746059.31</v>
      </c>
      <c r="J66" s="23">
        <f>IF($E66=1,I66/$I$93,0)</f>
        <v>5.1213011462996356E-3</v>
      </c>
      <c r="K66" s="22">
        <f>IFERROR(IF(C66="No",(VLOOKUP($A66,'[1]SHOPP UPL SFY2021 Combined INP'!$A:$AL,36,FALSE)),VLOOKUP($A66,'[1]DRG UPL SFY21 Combined'!$A:$AW,48,FALSE)),0)</f>
        <v>453712.88806972094</v>
      </c>
      <c r="L66" s="22">
        <f>IF($E66=1,ROUND($J66*(L$96+L$97),0),0)</f>
        <v>2331665</v>
      </c>
      <c r="M66" s="22">
        <f>(IFERROR(VLOOKUP($A66,'[1]CAH 101% of cost'!$A$3:$BJ$44,48,FALSE),0))</f>
        <v>0</v>
      </c>
      <c r="N66" s="22">
        <f t="shared" si="19"/>
        <v>2331665</v>
      </c>
      <c r="O66" s="22">
        <v>558304.26</v>
      </c>
      <c r="P66" s="22">
        <f t="shared" si="20"/>
        <v>550272.93999999994</v>
      </c>
      <c r="Q66" s="22">
        <f t="shared" si="21"/>
        <v>574884.92999999993</v>
      </c>
      <c r="R66" s="22">
        <f t="shared" si="22"/>
        <v>582916.25</v>
      </c>
      <c r="S66" s="22">
        <f t="shared" si="22"/>
        <v>582916.25</v>
      </c>
      <c r="T66" s="22">
        <f t="shared" si="23"/>
        <v>32643.31</v>
      </c>
      <c r="U66" s="22">
        <f t="shared" si="24"/>
        <v>-1877952.1119302791</v>
      </c>
      <c r="V66" s="22"/>
      <c r="W66" s="22">
        <f>IFERROR(VLOOKUP($A66,'[1]Cost UPL SFY21 Combine'!$B:$AG,31,FALSE),0)+IFERROR(VLOOKUP($A66,'[1]Cost UPL SFY21 Combine'!$B:$AG,32,FALSE),0)</f>
        <v>0</v>
      </c>
      <c r="X66" s="23">
        <f>IF($E66=1,W66/$W$93,0)</f>
        <v>0</v>
      </c>
      <c r="Y66" s="22">
        <f>IFERROR(VLOOKUP($A66,'[1]SHOPP UPL SFY2021 Combined OUT'!$A:$AH,33,FALSE),0)</f>
        <v>0</v>
      </c>
      <c r="Z66" s="24">
        <f>IF($E66=1,ROUND($X66*(Z$96+Z$97),0),0)</f>
        <v>0</v>
      </c>
      <c r="AA66" s="22">
        <f>(IFERROR(VLOOKUP(A66,'[1]CAH 101% of cost'!$A$3:$BP$44,64,FALSE),0))</f>
        <v>0</v>
      </c>
      <c r="AB66" s="22">
        <f t="shared" si="25"/>
        <v>0</v>
      </c>
      <c r="AC66" s="22"/>
      <c r="AD66" s="22">
        <f t="shared" si="26"/>
        <v>0</v>
      </c>
      <c r="AE66" s="22">
        <f t="shared" si="27"/>
        <v>0</v>
      </c>
      <c r="AF66" s="22">
        <f t="shared" si="28"/>
        <v>0</v>
      </c>
      <c r="AG66" s="22">
        <f t="shared" si="28"/>
        <v>0</v>
      </c>
      <c r="AH66" s="22">
        <f t="shared" si="29"/>
        <v>0</v>
      </c>
      <c r="AI66" s="22">
        <f t="shared" si="30"/>
        <v>0</v>
      </c>
      <c r="AJ66" s="26"/>
      <c r="AO66" s="26"/>
    </row>
    <row r="67" spans="1:41" x14ac:dyDescent="0.3">
      <c r="A67" s="122" t="s">
        <v>155</v>
      </c>
      <c r="B67" s="123" t="s">
        <v>156</v>
      </c>
      <c r="C67" s="19" t="str">
        <f>IFERROR(VLOOKUP(A67,'[1]SHOPP UPL SFY2021 Combined OUT'!$A:$F,6,FALSE),IFERROR(VLOOKUP(A67,'[1]SHOPP UPL SFY2021 Combined INP'!$A:$F,6,FALSE),VLOOKUP(A67,'[1]DRG UPL SFY21 Combined'!$A:$J,10,FALSE)))</f>
        <v>No</v>
      </c>
      <c r="D67" s="18">
        <v>1</v>
      </c>
      <c r="E67" s="20">
        <v>1</v>
      </c>
      <c r="F67" s="21">
        <f t="shared" si="17"/>
        <v>5883659.4900000002</v>
      </c>
      <c r="G67" s="22">
        <f>IF(C67="No",(VLOOKUP($A67,'[1]Cost UPL SFY21 Combine'!$B:$AS,17,FALSE)+VLOOKUP($A67,'[1]Cost UPL SFY21 Combine'!$B:$AS,18,FALSE)+VLOOKUP($A67,'[1]Cost UPL SFY21 Combine'!$B:$AS,19,FALSE)),(VLOOKUP($A67,'[1]DRG UPL SFY21 Combined'!$A:$AZ,18,FALSE)+VLOOKUP($A67,'[1]DRG UPL SFY21 Combined'!$A:$AZ,19,FALSE)+VLOOKUP($A67,'[1]DRG UPL SFY21 Combined'!$A:$AZ,22,FALSE)))</f>
        <v>5883659.4900000002</v>
      </c>
      <c r="H67" s="22"/>
      <c r="I67" s="22">
        <f t="shared" si="18"/>
        <v>5883659.4900000002</v>
      </c>
      <c r="J67" s="23">
        <f>IF($E67=1,I67/$I$93,0)</f>
        <v>1.0972811832885624E-2</v>
      </c>
      <c r="K67" s="22">
        <f>IFERROR(IF(C67="No",(VLOOKUP($A67,'[1]SHOPP UPL SFY2021 Combined INP'!$A:$AL,36,FALSE)),VLOOKUP($A67,'[1]DRG UPL SFY21 Combined'!$A:$AW,48,FALSE)),0)</f>
        <v>775967.26617833693</v>
      </c>
      <c r="L67" s="22">
        <f>IF($E67=1,ROUND($J67*(L$96+L$97),0),0)</f>
        <v>4995785</v>
      </c>
      <c r="M67" s="22">
        <f>(IFERROR(VLOOKUP($A67,'[1]CAH 101% of cost'!$A$3:$BJ$44,48,FALSE),0))</f>
        <v>0</v>
      </c>
      <c r="N67" s="22">
        <f t="shared" si="19"/>
        <v>4995785</v>
      </c>
      <c r="O67" s="22">
        <v>1196213.2</v>
      </c>
      <c r="P67" s="22">
        <f t="shared" si="20"/>
        <v>1179005.26</v>
      </c>
      <c r="Q67" s="22">
        <f t="shared" si="21"/>
        <v>1231738.31</v>
      </c>
      <c r="R67" s="22">
        <f t="shared" si="22"/>
        <v>1248946.25</v>
      </c>
      <c r="S67" s="22">
        <f t="shared" si="22"/>
        <v>1248946.25</v>
      </c>
      <c r="T67" s="22">
        <f t="shared" si="23"/>
        <v>69940.990000000005</v>
      </c>
      <c r="U67" s="22">
        <f t="shared" si="24"/>
        <v>-4219817.7338216631</v>
      </c>
      <c r="V67" s="22"/>
      <c r="W67" s="22">
        <f>IFERROR(VLOOKUP($A67,'[1]Cost UPL SFY21 Combine'!$B:$AG,31,FALSE),0)+IFERROR(VLOOKUP($A67,'[1]Cost UPL SFY21 Combine'!$B:$AG,32,FALSE),0)</f>
        <v>0</v>
      </c>
      <c r="X67" s="23">
        <f>IF($E67=1,W67/$W$93,0)</f>
        <v>0</v>
      </c>
      <c r="Y67" s="22">
        <f>IFERROR(VLOOKUP($A67,'[1]SHOPP UPL SFY2021 Combined OUT'!$A:$AH,33,FALSE),0)</f>
        <v>0</v>
      </c>
      <c r="Z67" s="24">
        <f>IF($E67=1,ROUND($X67*(Z$96+Z$97),0),0)</f>
        <v>0</v>
      </c>
      <c r="AA67" s="22">
        <f>(IFERROR(VLOOKUP(A67,'[1]CAH 101% of cost'!$A$3:$BP$44,64,FALSE),0))</f>
        <v>0</v>
      </c>
      <c r="AB67" s="22">
        <f t="shared" si="25"/>
        <v>0</v>
      </c>
      <c r="AC67" s="22"/>
      <c r="AD67" s="22">
        <f t="shared" si="26"/>
        <v>0</v>
      </c>
      <c r="AE67" s="22">
        <f t="shared" si="27"/>
        <v>0</v>
      </c>
      <c r="AF67" s="22">
        <f t="shared" si="28"/>
        <v>0</v>
      </c>
      <c r="AG67" s="22">
        <f t="shared" si="28"/>
        <v>0</v>
      </c>
      <c r="AH67" s="22">
        <f t="shared" si="29"/>
        <v>0</v>
      </c>
      <c r="AI67" s="22">
        <f t="shared" si="30"/>
        <v>0</v>
      </c>
      <c r="AJ67" s="26"/>
      <c r="AO67" s="26"/>
    </row>
    <row r="68" spans="1:41" x14ac:dyDescent="0.3">
      <c r="A68" s="122" t="s">
        <v>157</v>
      </c>
      <c r="B68" s="123" t="s">
        <v>140</v>
      </c>
      <c r="C68" s="19" t="str">
        <f>IFERROR(VLOOKUP(A68,'[1]SHOPP UPL SFY2021 Combined OUT'!$A:$F,6,FALSE),IFERROR(VLOOKUP(A68,'[1]SHOPP UPL SFY2021 Combined INP'!$A:$F,6,FALSE),VLOOKUP(A68,'[1]DRG UPL SFY21 Combined'!$A:$J,10,FALSE)))</f>
        <v>No</v>
      </c>
      <c r="D68" s="18">
        <v>1</v>
      </c>
      <c r="E68" s="20">
        <v>1</v>
      </c>
      <c r="F68" s="21">
        <f t="shared" si="17"/>
        <v>4524132.0500000007</v>
      </c>
      <c r="G68" s="22">
        <f>IF(C68="No",(VLOOKUP($A68,'[1]Cost UPL SFY21 Combine'!$B:$AS,17,FALSE)+VLOOKUP($A68,'[1]Cost UPL SFY21 Combine'!$B:$AS,18,FALSE)+VLOOKUP($A68,'[1]Cost UPL SFY21 Combine'!$B:$AS,19,FALSE)),(VLOOKUP($A68,'[1]DRG UPL SFY21 Combined'!$A:$AZ,18,FALSE)+VLOOKUP($A68,'[1]DRG UPL SFY21 Combined'!$A:$AZ,19,FALSE)+VLOOKUP($A68,'[1]DRG UPL SFY21 Combined'!$A:$AZ,22,FALSE)))</f>
        <v>4524132.0500000007</v>
      </c>
      <c r="H68" s="22"/>
      <c r="I68" s="22">
        <f t="shared" si="18"/>
        <v>4524132.0500000007</v>
      </c>
      <c r="J68" s="23">
        <f>IF($E68=1,I68/$I$93,0)</f>
        <v>8.4373424016380497E-3</v>
      </c>
      <c r="K68" s="22">
        <f>IFERROR(IF(C68="No",(VLOOKUP($A68,'[1]SHOPP UPL SFY2021 Combined INP'!$A:$AL,36,FALSE)),VLOOKUP($A68,'[1]DRG UPL SFY21 Combined'!$A:$AW,48,FALSE)),0)</f>
        <v>6118832.3958634837</v>
      </c>
      <c r="L68" s="22">
        <f>IF($E68=1,ROUND($J68*(L$96+L$97),0),0)</f>
        <v>3841417</v>
      </c>
      <c r="M68" s="22">
        <f>(IFERROR(VLOOKUP($A68,'[1]CAH 101% of cost'!$A$3:$BJ$44,48,FALSE),0))</f>
        <v>0</v>
      </c>
      <c r="N68" s="22">
        <f t="shared" si="19"/>
        <v>3841417</v>
      </c>
      <c r="O68" s="22">
        <v>919806.22</v>
      </c>
      <c r="P68" s="22">
        <f t="shared" si="20"/>
        <v>906574.41</v>
      </c>
      <c r="Q68" s="22">
        <f t="shared" si="21"/>
        <v>947122.44000000006</v>
      </c>
      <c r="R68" s="22">
        <f t="shared" si="22"/>
        <v>960354.25</v>
      </c>
      <c r="S68" s="22">
        <f t="shared" si="22"/>
        <v>960354.25</v>
      </c>
      <c r="T68" s="22">
        <f t="shared" si="23"/>
        <v>53779.839999999997</v>
      </c>
      <c r="U68" s="22">
        <f t="shared" si="24"/>
        <v>2277415.3958634837</v>
      </c>
      <c r="V68" s="22"/>
      <c r="W68" s="22">
        <f>IFERROR(VLOOKUP($A68,'[1]Cost UPL SFY21 Combine'!$B:$AG,31,FALSE),0)+IFERROR(VLOOKUP($A68,'[1]Cost UPL SFY21 Combine'!$B:$AG,32,FALSE),0)</f>
        <v>0</v>
      </c>
      <c r="X68" s="23">
        <f>IF($E68=1,W68/$W$93,0)</f>
        <v>0</v>
      </c>
      <c r="Y68" s="22">
        <f>IFERROR(VLOOKUP($A68,'[1]SHOPP UPL SFY2021 Combined OUT'!$A:$AH,33,FALSE),0)</f>
        <v>0</v>
      </c>
      <c r="Z68" s="24">
        <f>IF($E68=1,ROUND($X68*(Z$96+Z$97),0),0)</f>
        <v>0</v>
      </c>
      <c r="AA68" s="22">
        <f>(IFERROR(VLOOKUP(A68,'[1]CAH 101% of cost'!$A$3:$BP$44,64,FALSE),0))</f>
        <v>0</v>
      </c>
      <c r="AB68" s="22">
        <f t="shared" si="25"/>
        <v>0</v>
      </c>
      <c r="AC68" s="22"/>
      <c r="AD68" s="22">
        <f t="shared" si="26"/>
        <v>0</v>
      </c>
      <c r="AE68" s="22">
        <f t="shared" si="27"/>
        <v>0</v>
      </c>
      <c r="AF68" s="22">
        <f t="shared" si="28"/>
        <v>0</v>
      </c>
      <c r="AG68" s="22">
        <f t="shared" si="28"/>
        <v>0</v>
      </c>
      <c r="AH68" s="22">
        <f t="shared" si="29"/>
        <v>0</v>
      </c>
      <c r="AI68" s="22">
        <f t="shared" si="30"/>
        <v>0</v>
      </c>
      <c r="AJ68" s="26"/>
      <c r="AN68" s="48"/>
      <c r="AO68" s="26"/>
    </row>
    <row r="69" spans="1:41" x14ac:dyDescent="0.3">
      <c r="A69" s="122" t="s">
        <v>158</v>
      </c>
      <c r="B69" s="123" t="s">
        <v>159</v>
      </c>
      <c r="C69" s="19" t="str">
        <f>IFERROR(VLOOKUP(A69,'[1]SHOPP UPL SFY2021 Combined OUT'!$A:$F,6,FALSE),IFERROR(VLOOKUP(A69,'[1]SHOPP UPL SFY2021 Combined INP'!$A:$F,6,FALSE),VLOOKUP(A69,'[1]DRG UPL SFY21 Combined'!$A:$J,10,FALSE)))</f>
        <v>No</v>
      </c>
      <c r="D69" s="18">
        <v>1</v>
      </c>
      <c r="E69" s="20">
        <v>1</v>
      </c>
      <c r="F69" s="21">
        <f t="shared" si="17"/>
        <v>3569404.33</v>
      </c>
      <c r="G69" s="22">
        <f>IF(C69="No",(VLOOKUP($A69,'[1]Cost UPL SFY21 Combine'!$B:$AS,17,FALSE)+VLOOKUP($A69,'[1]Cost UPL SFY21 Combine'!$B:$AS,18,FALSE)+VLOOKUP($A69,'[1]Cost UPL SFY21 Combine'!$B:$AS,19,FALSE)),(VLOOKUP($A69,'[1]DRG UPL SFY21 Combined'!$A:$AZ,18,FALSE)+VLOOKUP($A69,'[1]DRG UPL SFY21 Combined'!$A:$AZ,19,FALSE)+VLOOKUP($A69,'[1]DRG UPL SFY21 Combined'!$A:$AZ,22,FALSE)))</f>
        <v>3569404.33</v>
      </c>
      <c r="H69" s="22"/>
      <c r="I69" s="22">
        <f t="shared" si="18"/>
        <v>3569404.33</v>
      </c>
      <c r="J69" s="23">
        <f>IF($E69=1,I69/$I$93,0)</f>
        <v>6.6568097856691535E-3</v>
      </c>
      <c r="K69" s="22">
        <f>IFERROR(IF(C69="No",(VLOOKUP($A69,'[1]SHOPP UPL SFY2021 Combined INP'!$A:$AL,36,FALSE)),VLOOKUP($A69,'[1]DRG UPL SFY21 Combined'!$A:$AW,48,FALSE)),0)</f>
        <v>-627450.46712726774</v>
      </c>
      <c r="L69" s="22">
        <f>IF($E69=1,ROUND($J69*(L$96+L$97),0),0)</f>
        <v>3030763</v>
      </c>
      <c r="M69" s="22">
        <f>(IFERROR(VLOOKUP($A69,'[1]CAH 101% of cost'!$A$3:$BJ$44,48,FALSE),0))</f>
        <v>0</v>
      </c>
      <c r="N69" s="22">
        <f t="shared" si="19"/>
        <v>3030763</v>
      </c>
      <c r="O69" s="22">
        <v>725699.53</v>
      </c>
      <c r="P69" s="22">
        <f t="shared" si="20"/>
        <v>715260.07</v>
      </c>
      <c r="Q69" s="22">
        <f t="shared" si="21"/>
        <v>747251.28999999992</v>
      </c>
      <c r="R69" s="22">
        <f t="shared" si="22"/>
        <v>757690.75</v>
      </c>
      <c r="S69" s="22">
        <f t="shared" si="22"/>
        <v>757690.75</v>
      </c>
      <c r="T69" s="22">
        <f t="shared" si="23"/>
        <v>42430.68</v>
      </c>
      <c r="U69" s="22">
        <f t="shared" si="24"/>
        <v>-3658213.4671272677</v>
      </c>
      <c r="V69" s="22"/>
      <c r="W69" s="22">
        <f>IFERROR(VLOOKUP($A69,'[1]Cost UPL SFY21 Combine'!$B:$AG,31,FALSE),0)+IFERROR(VLOOKUP($A69,'[1]Cost UPL SFY21 Combine'!$B:$AG,32,FALSE),0)</f>
        <v>0</v>
      </c>
      <c r="X69" s="23">
        <f>IF($E69=1,W69/$W$93,0)</f>
        <v>0</v>
      </c>
      <c r="Y69" s="22">
        <f>IFERROR(VLOOKUP($A69,'[1]SHOPP UPL SFY2021 Combined OUT'!$A:$AH,33,FALSE),0)</f>
        <v>0</v>
      </c>
      <c r="Z69" s="24">
        <f>IF($E69=1,ROUND($X69*(Z$96+Z$97),0),0)</f>
        <v>0</v>
      </c>
      <c r="AA69" s="22">
        <f>(IFERROR(VLOOKUP(A69,'[1]CAH 101% of cost'!$A$3:$BP$44,64,FALSE),0))</f>
        <v>0</v>
      </c>
      <c r="AB69" s="22">
        <f t="shared" si="25"/>
        <v>0</v>
      </c>
      <c r="AC69" s="22"/>
      <c r="AD69" s="22">
        <f t="shared" si="26"/>
        <v>0</v>
      </c>
      <c r="AE69" s="22">
        <f t="shared" si="27"/>
        <v>0</v>
      </c>
      <c r="AF69" s="22">
        <f t="shared" si="28"/>
        <v>0</v>
      </c>
      <c r="AG69" s="22">
        <f t="shared" si="28"/>
        <v>0</v>
      </c>
      <c r="AH69" s="22">
        <f t="shared" si="29"/>
        <v>0</v>
      </c>
      <c r="AI69" s="22">
        <f t="shared" si="30"/>
        <v>0</v>
      </c>
      <c r="AJ69" s="26"/>
      <c r="AO69" s="26"/>
    </row>
    <row r="70" spans="1:41" x14ac:dyDescent="0.3">
      <c r="A70" s="126" t="s">
        <v>160</v>
      </c>
      <c r="B70" s="123" t="s">
        <v>161</v>
      </c>
      <c r="C70" s="19" t="str">
        <f>IFERROR(VLOOKUP(A70,'[1]SHOPP UPL SFY2021 Combined OUT'!$A:$F,6,FALSE),IFERROR(VLOOKUP(A70,'[1]SHOPP UPL SFY2021 Combined INP'!$A:$F,6,FALSE),VLOOKUP(A70,'[1]DRG UPL SFY21 Combined'!$A:$J,10,FALSE)))</f>
        <v>No</v>
      </c>
      <c r="D70" s="18">
        <v>1</v>
      </c>
      <c r="E70" s="20">
        <v>1</v>
      </c>
      <c r="F70" s="21">
        <f t="shared" si="17"/>
        <v>3808086.36</v>
      </c>
      <c r="G70" s="22">
        <f>IF(C70="No",(VLOOKUP($A70,'[1]Cost UPL SFY21 Combine'!$B:$AS,17,FALSE)+VLOOKUP($A70,'[1]Cost UPL SFY21 Combine'!$B:$AS,18,FALSE)+VLOOKUP($A70,'[1]Cost UPL SFY21 Combine'!$B:$AS,19,FALSE)),(VLOOKUP($A70,'[1]DRG UPL SFY21 Combined'!$A:$AZ,18,FALSE)+VLOOKUP($A70,'[1]DRG UPL SFY21 Combined'!$A:$AZ,19,FALSE)+VLOOKUP($A70,'[1]DRG UPL SFY21 Combined'!$A:$AZ,22,FALSE)))</f>
        <v>3808086.36</v>
      </c>
      <c r="H70" s="22"/>
      <c r="I70" s="22">
        <f t="shared" si="18"/>
        <v>3808086.36</v>
      </c>
      <c r="J70" s="23">
        <f>IF($E70=1,I70/$I$93,0)</f>
        <v>7.1019431261577547E-3</v>
      </c>
      <c r="K70" s="22">
        <f>IFERROR(IF(C70="No",(VLOOKUP($A70,'[1]SHOPP UPL SFY2021 Combined INP'!$A:$AL,36,FALSE)),VLOOKUP($A70,'[1]DRG UPL SFY21 Combined'!$A:$AW,48,FALSE)),0)</f>
        <v>-965481.79121293453</v>
      </c>
      <c r="L70" s="22">
        <f>IF($E70=1,ROUND($J70*(L$96+L$97),0),0)</f>
        <v>3233427</v>
      </c>
      <c r="M70" s="22">
        <f>(IFERROR(VLOOKUP($A70,'[1]CAH 101% of cost'!$A$3:$BJ$44,48,FALSE),0))</f>
        <v>0</v>
      </c>
      <c r="N70" s="22">
        <f t="shared" si="19"/>
        <v>3233427</v>
      </c>
      <c r="O70" s="22">
        <v>774226.08</v>
      </c>
      <c r="P70" s="22">
        <f t="shared" si="20"/>
        <v>763088.77</v>
      </c>
      <c r="Q70" s="22">
        <f t="shared" si="21"/>
        <v>797219.44000000006</v>
      </c>
      <c r="R70" s="22">
        <f t="shared" si="22"/>
        <v>808356.75</v>
      </c>
      <c r="S70" s="22">
        <f t="shared" si="22"/>
        <v>808356.75</v>
      </c>
      <c r="T70" s="22">
        <f t="shared" si="23"/>
        <v>45267.98</v>
      </c>
      <c r="U70" s="22">
        <f t="shared" si="24"/>
        <v>-4198908.791212935</v>
      </c>
      <c r="V70" s="22"/>
      <c r="W70" s="22">
        <f>IFERROR(VLOOKUP($A70,'[1]Cost UPL SFY21 Combine'!$B:$AG,31,FALSE),0)+IFERROR(VLOOKUP($A70,'[1]Cost UPL SFY21 Combine'!$B:$AG,32,FALSE),0)</f>
        <v>0</v>
      </c>
      <c r="X70" s="23">
        <f>IF($E70=1,W70/$W$93,0)</f>
        <v>0</v>
      </c>
      <c r="Y70" s="22">
        <f>IFERROR(VLOOKUP($A70,'[1]SHOPP UPL SFY2021 Combined OUT'!$A:$AH,33,FALSE),0)</f>
        <v>0</v>
      </c>
      <c r="Z70" s="24">
        <f>IF($E70=1,ROUND($X70*(Z$96+Z$97),0),0)</f>
        <v>0</v>
      </c>
      <c r="AA70" s="22">
        <f>(IFERROR(VLOOKUP(A70,'[1]CAH 101% of cost'!$A$3:$BP$44,64,FALSE),0))</f>
        <v>0</v>
      </c>
      <c r="AB70" s="22">
        <f t="shared" si="25"/>
        <v>0</v>
      </c>
      <c r="AC70" s="22"/>
      <c r="AD70" s="22">
        <f t="shared" si="26"/>
        <v>0</v>
      </c>
      <c r="AE70" s="22">
        <f t="shared" si="27"/>
        <v>0</v>
      </c>
      <c r="AF70" s="22">
        <f t="shared" si="28"/>
        <v>0</v>
      </c>
      <c r="AG70" s="22">
        <f t="shared" si="28"/>
        <v>0</v>
      </c>
      <c r="AH70" s="22">
        <f t="shared" si="29"/>
        <v>0</v>
      </c>
      <c r="AI70" s="22">
        <f t="shared" si="30"/>
        <v>0</v>
      </c>
      <c r="AJ70" s="26"/>
      <c r="AO70" s="26"/>
    </row>
    <row r="71" spans="1:41" x14ac:dyDescent="0.3">
      <c r="A71" s="17"/>
      <c r="C71" s="19"/>
      <c r="E71" s="50"/>
      <c r="F71" s="21"/>
      <c r="G71" s="22"/>
      <c r="H71" s="22"/>
      <c r="I71" s="22"/>
      <c r="J71" s="23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3"/>
      <c r="Y71" s="22"/>
      <c r="Z71" s="24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41" s="35" customFormat="1" x14ac:dyDescent="0.3">
      <c r="A72" s="27"/>
      <c r="B72" s="28" t="s">
        <v>162</v>
      </c>
      <c r="C72" s="29"/>
      <c r="D72" s="30"/>
      <c r="E72" s="31"/>
      <c r="F72" s="32"/>
      <c r="G72" s="32"/>
      <c r="H72" s="32"/>
      <c r="I72" s="32"/>
      <c r="J72" s="33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3"/>
      <c r="Y72" s="32"/>
      <c r="Z72" s="34"/>
      <c r="AA72" s="32"/>
      <c r="AB72" s="32"/>
      <c r="AC72" s="32"/>
      <c r="AD72" s="32"/>
      <c r="AE72" s="32"/>
      <c r="AF72" s="32"/>
      <c r="AG72" s="32"/>
      <c r="AH72" s="32"/>
      <c r="AI72" s="32"/>
      <c r="AK72" s="36"/>
      <c r="AL72" s="36"/>
    </row>
    <row r="73" spans="1:41" x14ac:dyDescent="0.3">
      <c r="A73" s="108" t="s">
        <v>163</v>
      </c>
      <c r="B73" s="38" t="s">
        <v>164</v>
      </c>
      <c r="C73" s="19" t="str">
        <f>IFERROR(VLOOKUP(A73,'[1]SHOPP UPL SFY2021 Combined OUT'!$A:$F,6,FALSE),IFERROR(VLOOKUP(A73,'[1]SHOPP UPL SFY2021 Combined INP'!$A:$F,6,FALSE),VLOOKUP(A73,'[1]DRG UPL SFY21 Combined'!$A:$J,10,FALSE)))</f>
        <v>No</v>
      </c>
      <c r="D73" s="38">
        <v>1</v>
      </c>
      <c r="E73" s="50">
        <v>0</v>
      </c>
      <c r="F73" s="21">
        <f t="shared" ref="F73:F90" si="31">G73+W73</f>
        <v>1186485.6499999971</v>
      </c>
      <c r="G73" s="22">
        <f>IF(C73="No",(VLOOKUP($A73,'[1]Cost UPL SFY21 Combine'!$B:$AS,17,FALSE)+VLOOKUP($A73,'[1]Cost UPL SFY21 Combine'!$B:$AS,18,FALSE)+VLOOKUP($A73,'[1]Cost UPL SFY21 Combine'!$B:$AS,19,FALSE)),(VLOOKUP($A73,'[1]DRG UPL SFY21 Combined'!$A:$AZ,18,FALSE)+VLOOKUP($A73,'[1]DRG UPL SFY21 Combined'!$A:$AZ,19,FALSE)+VLOOKUP($A73,'[1]DRG UPL SFY21 Combined'!$A:$AZ,22,FALSE)))</f>
        <v>182130.96</v>
      </c>
      <c r="H73" s="22"/>
      <c r="I73" s="22">
        <f t="shared" ref="I73:I90" si="32">G73+H73</f>
        <v>182130.96</v>
      </c>
      <c r="J73" s="23">
        <f>IF($E73=1,I73/$I$93,0)</f>
        <v>0</v>
      </c>
      <c r="K73" s="22">
        <f>IFERROR(IF(C73="No",(VLOOKUP($A73,'[1]SHOPP UPL SFY2021 Combined INP'!$A:$AL,36,FALSE)),VLOOKUP($A73,'[1]DRG UPL SFY21 Combined'!$A:$AW,48,FALSE)),0)</f>
        <v>98921.339853790661</v>
      </c>
      <c r="L73" s="22">
        <f>IF($E73=1,ROUND($J73*(L$96+L$97),0),0)</f>
        <v>0</v>
      </c>
      <c r="M73" s="22">
        <f>(IFERROR(VLOOKUP($A73,'[1]CAH 101% of cost'!$A$3:$BJ$44,48,FALSE),0))</f>
        <v>121884</v>
      </c>
      <c r="N73" s="22">
        <f t="shared" ref="N73" si="33">L73+M73</f>
        <v>121884</v>
      </c>
      <c r="O73" s="22">
        <v>16853.5</v>
      </c>
      <c r="P73" s="22">
        <f t="shared" ref="P73:P90" si="34">ROUND($N73*25%,2)</f>
        <v>30471</v>
      </c>
      <c r="Q73" s="22">
        <f t="shared" ref="Q73:Q90" si="35">P73-O73+ROUND($N73*25%,2)</f>
        <v>44088.5</v>
      </c>
      <c r="R73" s="22">
        <f t="shared" ref="R73:S90" si="36">ROUND($N73*25%,2)</f>
        <v>30471</v>
      </c>
      <c r="S73" s="22">
        <f t="shared" si="36"/>
        <v>30471</v>
      </c>
      <c r="T73" s="22">
        <v>0</v>
      </c>
      <c r="U73" s="22">
        <f t="shared" ref="U73:U90" si="37">+K73-(L73+M73)</f>
        <v>-22962.660146209339</v>
      </c>
      <c r="V73" s="22"/>
      <c r="W73" s="22">
        <f>IFERROR(VLOOKUP($A73,'[1]Cost UPL SFY21 Combine'!$B:$AG,31,FALSE),0)+IFERROR(VLOOKUP($A73,'[1]Cost UPL SFY21 Combine'!$B:$AG,32,FALSE),0)</f>
        <v>1004354.689999997</v>
      </c>
      <c r="X73" s="23">
        <f>IF($E73=1,W73/$W$93,0)</f>
        <v>0</v>
      </c>
      <c r="Y73" s="22">
        <f>IFERROR(VLOOKUP($A73,'[1]SHOPP UPL SFY2021 Combined OUT'!$A:$AH,33,FALSE),0)</f>
        <v>1521022.6447972157</v>
      </c>
      <c r="Z73" s="24">
        <f>IF($E73=1,ROUND($X73*(Z$96+Z$97),0),0)</f>
        <v>0</v>
      </c>
      <c r="AA73" s="22">
        <f>(IFERROR(VLOOKUP(A73,'[1]CAH 101% of cost'!$A$3:$BP$44,64,FALSE),0))</f>
        <v>1833407</v>
      </c>
      <c r="AB73" s="22">
        <f t="shared" ref="AB73:AB90" si="38">Z73+AA73</f>
        <v>1833407</v>
      </c>
      <c r="AC73" s="22">
        <f>VLOOKUP(A73,'[2]2022 CAH Payments'!$B$2:$G$40,6,FALSE)</f>
        <v>308233.25</v>
      </c>
      <c r="AD73" s="22">
        <f t="shared" ref="AD73:AG88" si="39">ROUND($AB73*25%,2)</f>
        <v>458351.75</v>
      </c>
      <c r="AE73" s="22">
        <f t="shared" ref="AE73:AE90" si="40">AD73-AC73+ROUND($AB73*25%,2)</f>
        <v>608470.25</v>
      </c>
      <c r="AF73" s="22">
        <f t="shared" si="39"/>
        <v>458351.75</v>
      </c>
      <c r="AG73" s="22">
        <f t="shared" si="39"/>
        <v>458351.75</v>
      </c>
      <c r="AH73" s="22">
        <v>0</v>
      </c>
      <c r="AI73" s="22">
        <f t="shared" ref="AI73:AI90" si="41">+Y73-(Z73+AA73)</f>
        <v>-312384.3552027843</v>
      </c>
      <c r="AJ73" s="26"/>
      <c r="AO73" s="26"/>
    </row>
    <row r="74" spans="1:41" x14ac:dyDescent="0.3">
      <c r="A74" s="109" t="s">
        <v>165</v>
      </c>
      <c r="B74" s="18" t="s">
        <v>166</v>
      </c>
      <c r="C74" s="19" t="str">
        <f>IFERROR(VLOOKUP(A74,'[1]SHOPP UPL SFY2021 Combined OUT'!$A:$F,6,FALSE),IFERROR(VLOOKUP(A74,'[1]SHOPP UPL SFY2021 Combined INP'!$A:$F,6,FALSE),VLOOKUP(A74,'[1]DRG UPL SFY21 Combined'!$A:$J,10,FALSE)))</f>
        <v>No</v>
      </c>
      <c r="D74" s="18">
        <v>1</v>
      </c>
      <c r="E74" s="50">
        <v>0</v>
      </c>
      <c r="F74" s="21">
        <f t="shared" si="31"/>
        <v>269423.60000000003</v>
      </c>
      <c r="G74" s="22">
        <f>IF(C74="No",(VLOOKUP($A74,'[1]Cost UPL SFY21 Combine'!$B:$AS,17,FALSE)+VLOOKUP($A74,'[1]Cost UPL SFY21 Combine'!$B:$AS,18,FALSE)+VLOOKUP($A74,'[1]Cost UPL SFY21 Combine'!$B:$AS,19,FALSE)),(VLOOKUP($A74,'[1]DRG UPL SFY21 Combined'!$A:$AZ,18,FALSE)+VLOOKUP($A74,'[1]DRG UPL SFY21 Combined'!$A:$AZ,19,FALSE)+VLOOKUP($A74,'[1]DRG UPL SFY21 Combined'!$A:$AZ,22,FALSE)))</f>
        <v>10648.05</v>
      </c>
      <c r="H74" s="22"/>
      <c r="I74" s="22">
        <f t="shared" si="32"/>
        <v>10648.05</v>
      </c>
      <c r="J74" s="23">
        <f>IF($E74=1,I74/$I$93,0)</f>
        <v>0</v>
      </c>
      <c r="K74" s="22">
        <f>IFERROR(IF(C74="No",(VLOOKUP($A74,'[1]SHOPP UPL SFY2021 Combined INP'!$A:$AL,36,FALSE)),VLOOKUP($A74,'[1]DRG UPL SFY21 Combined'!$A:$AW,48,FALSE)),0)</f>
        <v>0</v>
      </c>
      <c r="L74" s="22">
        <f>IF($E74=1,ROUND($J74*(L$96+L$97),0),0)</f>
        <v>0</v>
      </c>
      <c r="M74" s="22">
        <f>(IFERROR(VLOOKUP($A74,'[1]CAH 101% of cost'!$A$3:$BJ$44,48,FALSE),0))</f>
        <v>7460</v>
      </c>
      <c r="N74" s="22">
        <f>L74+M74</f>
        <v>7460</v>
      </c>
      <c r="O74" s="22">
        <v>3056.25</v>
      </c>
      <c r="P74" s="22">
        <f t="shared" si="34"/>
        <v>1865</v>
      </c>
      <c r="Q74" s="22">
        <f t="shared" si="35"/>
        <v>673.75</v>
      </c>
      <c r="R74" s="22">
        <f t="shared" si="36"/>
        <v>1865</v>
      </c>
      <c r="S74" s="22">
        <f t="shared" si="36"/>
        <v>1865</v>
      </c>
      <c r="T74" s="22">
        <v>0</v>
      </c>
      <c r="U74" s="22">
        <f t="shared" si="37"/>
        <v>-7460</v>
      </c>
      <c r="V74" s="22"/>
      <c r="W74" s="22">
        <f>IFERROR(VLOOKUP($A74,'[1]Cost UPL SFY21 Combine'!$B:$AG,31,FALSE),0)+IFERROR(VLOOKUP($A74,'[1]Cost UPL SFY21 Combine'!$B:$AG,32,FALSE),0)</f>
        <v>258775.55000000002</v>
      </c>
      <c r="X74" s="23">
        <f>IF($E74=1,W74/$W$93,0)</f>
        <v>0</v>
      </c>
      <c r="Y74" s="22">
        <f>IFERROR(VLOOKUP($A74,'[1]SHOPP UPL SFY2021 Combined OUT'!$A:$AH,33,FALSE),0)</f>
        <v>7533864.1187740332</v>
      </c>
      <c r="Z74" s="24">
        <f>IF($E74=1,ROUND($X74*(Z$96+Z$97),0),0)</f>
        <v>0</v>
      </c>
      <c r="AA74" s="22">
        <f>(IFERROR(VLOOKUP(A74,'[1]CAH 101% of cost'!$A$3:$BP$44,64,FALSE),0))</f>
        <v>1431266</v>
      </c>
      <c r="AB74" s="22">
        <f>Z74+AA74</f>
        <v>1431266</v>
      </c>
      <c r="AC74" s="22">
        <f>VLOOKUP(A74,'[2]2022 CAH Payments'!$B$2:$G$40,6,FALSE)</f>
        <v>279450.75</v>
      </c>
      <c r="AD74" s="22">
        <f t="shared" si="39"/>
        <v>357816.5</v>
      </c>
      <c r="AE74" s="22">
        <f t="shared" si="40"/>
        <v>436182.25</v>
      </c>
      <c r="AF74" s="22">
        <f t="shared" si="39"/>
        <v>357816.5</v>
      </c>
      <c r="AG74" s="22">
        <f t="shared" si="39"/>
        <v>357816.5</v>
      </c>
      <c r="AH74" s="22">
        <v>0</v>
      </c>
      <c r="AI74" s="22">
        <f>+Y74-(Z74+AA74)</f>
        <v>6102598.1187740332</v>
      </c>
      <c r="AJ74" s="44"/>
      <c r="AO74" s="26"/>
    </row>
    <row r="75" spans="1:41" x14ac:dyDescent="0.3">
      <c r="A75" s="109" t="s">
        <v>167</v>
      </c>
      <c r="B75" s="18" t="s">
        <v>168</v>
      </c>
      <c r="C75" s="19" t="str">
        <f>IFERROR(VLOOKUP(A75,'[1]SHOPP UPL SFY2021 Combined OUT'!$A:$F,6,FALSE),IFERROR(VLOOKUP(A75,'[1]SHOPP UPL SFY2021 Combined INP'!$A:$F,6,FALSE),VLOOKUP(A75,'[1]DRG UPL SFY21 Combined'!$A:$J,10,FALSE)))</f>
        <v>No</v>
      </c>
      <c r="D75" s="18">
        <v>1</v>
      </c>
      <c r="E75" s="50">
        <v>0</v>
      </c>
      <c r="F75" s="21">
        <f t="shared" si="31"/>
        <v>107415.84</v>
      </c>
      <c r="G75" s="22">
        <f>IF(C75="No",(VLOOKUP($A75,'[1]Cost UPL SFY21 Combine'!$B:$AS,17,FALSE)+VLOOKUP($A75,'[1]Cost UPL SFY21 Combine'!$B:$AS,18,FALSE)+VLOOKUP($A75,'[1]Cost UPL SFY21 Combine'!$B:$AS,19,FALSE)),(VLOOKUP($A75,'[1]DRG UPL SFY21 Combined'!$A:$AZ,18,FALSE)+VLOOKUP($A75,'[1]DRG UPL SFY21 Combined'!$A:$AZ,19,FALSE)+VLOOKUP($A75,'[1]DRG UPL SFY21 Combined'!$A:$AZ,22,FALSE)))</f>
        <v>4809.72</v>
      </c>
      <c r="H75" s="22"/>
      <c r="I75" s="22">
        <f t="shared" si="32"/>
        <v>4809.72</v>
      </c>
      <c r="J75" s="23">
        <f>IF($E75=1,I75/$I$93,0)</f>
        <v>0</v>
      </c>
      <c r="K75" s="22">
        <f>IFERROR(IF(C75="No",(VLOOKUP($A75,'[1]SHOPP UPL SFY2021 Combined INP'!$A:$AL,36,FALSE)),VLOOKUP($A75,'[1]DRG UPL SFY21 Combined'!$A:$AW,48,FALSE)),0)</f>
        <v>0</v>
      </c>
      <c r="L75" s="22">
        <f>IF($E75=1,ROUND($J75*(L$96+L$97),0),0)</f>
        <v>0</v>
      </c>
      <c r="M75" s="22">
        <f>(IFERROR(VLOOKUP($A75,'[1]CAH 101% of cost'!$A$3:$BJ$44,48,FALSE),0))</f>
        <v>10374</v>
      </c>
      <c r="N75" s="22">
        <f t="shared" ref="N75:N90" si="42">L75+M75</f>
        <v>10374</v>
      </c>
      <c r="O75" s="22">
        <v>3336.75</v>
      </c>
      <c r="P75" s="22">
        <f t="shared" si="34"/>
        <v>2593.5</v>
      </c>
      <c r="Q75" s="22">
        <f t="shared" si="35"/>
        <v>1850.25</v>
      </c>
      <c r="R75" s="22">
        <f t="shared" si="36"/>
        <v>2593.5</v>
      </c>
      <c r="S75" s="22">
        <f t="shared" si="36"/>
        <v>2593.5</v>
      </c>
      <c r="T75" s="22">
        <v>0</v>
      </c>
      <c r="U75" s="22">
        <f t="shared" si="37"/>
        <v>-10374</v>
      </c>
      <c r="V75" s="22"/>
      <c r="W75" s="22">
        <f>IFERROR(VLOOKUP($A75,'[1]Cost UPL SFY21 Combine'!$B:$AG,31,FALSE),0)+IFERROR(VLOOKUP($A75,'[1]Cost UPL SFY21 Combine'!$B:$AG,32,FALSE),0)</f>
        <v>102606.12</v>
      </c>
      <c r="X75" s="23">
        <f>IF($E75=1,W75/$W$93,0)</f>
        <v>0</v>
      </c>
      <c r="Y75" s="22">
        <f>IFERROR(VLOOKUP($A75,'[1]SHOPP UPL SFY2021 Combined OUT'!$A:$AH,33,FALSE),0)</f>
        <v>288039.29767508985</v>
      </c>
      <c r="Z75" s="24">
        <f>IF($E75=1,ROUND($X75*(Z$96+Z$97),0),0)</f>
        <v>0</v>
      </c>
      <c r="AA75" s="22">
        <f>(IFERROR(VLOOKUP(A75,'[1]CAH 101% of cost'!$A$3:$BP$44,64,FALSE),0))</f>
        <v>558387</v>
      </c>
      <c r="AB75" s="22">
        <f t="shared" si="38"/>
        <v>558387</v>
      </c>
      <c r="AC75" s="22">
        <f>VLOOKUP(A75,'[2]2022 CAH Payments'!$B$2:$G$40,6,FALSE)</f>
        <v>125238.75</v>
      </c>
      <c r="AD75" s="22">
        <f t="shared" si="39"/>
        <v>139596.75</v>
      </c>
      <c r="AE75" s="22">
        <f t="shared" si="40"/>
        <v>153954.75</v>
      </c>
      <c r="AF75" s="22">
        <f t="shared" si="39"/>
        <v>139596.75</v>
      </c>
      <c r="AG75" s="22">
        <f t="shared" si="39"/>
        <v>139596.75</v>
      </c>
      <c r="AH75" s="22">
        <v>0</v>
      </c>
      <c r="AI75" s="22">
        <f t="shared" si="41"/>
        <v>-270347.70232491015</v>
      </c>
      <c r="AJ75" s="26"/>
      <c r="AO75" s="26"/>
    </row>
    <row r="76" spans="1:41" x14ac:dyDescent="0.3">
      <c r="A76" s="109" t="s">
        <v>169</v>
      </c>
      <c r="B76" s="18" t="s">
        <v>170</v>
      </c>
      <c r="C76" s="19" t="str">
        <f>IFERROR(VLOOKUP(A76,'[1]SHOPP UPL SFY2021 Combined OUT'!$A:$F,6,FALSE),IFERROR(VLOOKUP(A76,'[1]SHOPP UPL SFY2021 Combined INP'!$A:$F,6,FALSE),VLOOKUP(A76,'[1]DRG UPL SFY21 Combined'!$A:$J,10,FALSE)))</f>
        <v>No</v>
      </c>
      <c r="D76" s="18">
        <v>1</v>
      </c>
      <c r="E76" s="50">
        <v>0</v>
      </c>
      <c r="F76" s="21">
        <f t="shared" si="31"/>
        <v>413660.98</v>
      </c>
      <c r="G76" s="22">
        <f>IF(C76="No",(VLOOKUP($A76,'[1]Cost UPL SFY21 Combine'!$B:$AS,17,FALSE)+VLOOKUP($A76,'[1]Cost UPL SFY21 Combine'!$B:$AS,18,FALSE)+VLOOKUP($A76,'[1]Cost UPL SFY21 Combine'!$B:$AS,19,FALSE)),(VLOOKUP($A76,'[1]DRG UPL SFY21 Combined'!$A:$AZ,18,FALSE)+VLOOKUP($A76,'[1]DRG UPL SFY21 Combined'!$A:$AZ,19,FALSE)+VLOOKUP($A76,'[1]DRG UPL SFY21 Combined'!$A:$AZ,22,FALSE)))</f>
        <v>75792.479999999996</v>
      </c>
      <c r="H76" s="22"/>
      <c r="I76" s="22">
        <f t="shared" si="32"/>
        <v>75792.479999999996</v>
      </c>
      <c r="J76" s="23">
        <f>IF($E76=1,I76/$I$93,0)</f>
        <v>0</v>
      </c>
      <c r="K76" s="22">
        <f>IFERROR(IF(C76="No",(VLOOKUP($A76,'[1]SHOPP UPL SFY2021 Combined INP'!$A:$AL,36,FALSE)),VLOOKUP($A76,'[1]DRG UPL SFY21 Combined'!$A:$AW,48,FALSE)),0)</f>
        <v>118247.94130622054</v>
      </c>
      <c r="L76" s="22">
        <f>IF($E76=1,ROUND($J76*(L$96+L$97),0),0)</f>
        <v>0</v>
      </c>
      <c r="M76" s="22">
        <f>(IFERROR(VLOOKUP($A76,'[1]CAH 101% of cost'!$A$3:$BJ$44,48,FALSE),0))</f>
        <v>170863</v>
      </c>
      <c r="N76" s="22">
        <f t="shared" si="42"/>
        <v>170863</v>
      </c>
      <c r="O76" s="22">
        <v>14080</v>
      </c>
      <c r="P76" s="22">
        <f t="shared" si="34"/>
        <v>42715.75</v>
      </c>
      <c r="Q76" s="22">
        <f t="shared" si="35"/>
        <v>71351.5</v>
      </c>
      <c r="R76" s="22">
        <f t="shared" si="36"/>
        <v>42715.75</v>
      </c>
      <c r="S76" s="22">
        <f t="shared" si="36"/>
        <v>42715.75</v>
      </c>
      <c r="T76" s="22">
        <v>0</v>
      </c>
      <c r="U76" s="22">
        <f t="shared" si="37"/>
        <v>-52615.058693779458</v>
      </c>
      <c r="V76" s="22"/>
      <c r="W76" s="22">
        <f>IFERROR(VLOOKUP($A76,'[1]Cost UPL SFY21 Combine'!$B:$AG,31,FALSE),0)+IFERROR(VLOOKUP($A76,'[1]Cost UPL SFY21 Combine'!$B:$AG,32,FALSE),0)</f>
        <v>337868.5</v>
      </c>
      <c r="X76" s="23">
        <f>IF($E76=1,W76/$W$93,0)</f>
        <v>0</v>
      </c>
      <c r="Y76" s="22">
        <f>IFERROR(VLOOKUP($A76,'[1]SHOPP UPL SFY2021 Combined OUT'!$A:$AH,33,FALSE),0)</f>
        <v>605491.04195933184</v>
      </c>
      <c r="Z76" s="24">
        <f>IF($E76=1,ROUND($X76*(Z$96+Z$97),0),0)</f>
        <v>0</v>
      </c>
      <c r="AA76" s="22">
        <f>(IFERROR(VLOOKUP(A76,'[1]CAH 101% of cost'!$A$3:$BP$44,64,FALSE),0))</f>
        <v>2092740</v>
      </c>
      <c r="AB76" s="22">
        <f t="shared" si="38"/>
        <v>2092740</v>
      </c>
      <c r="AC76" s="22">
        <f>VLOOKUP(A76,'[2]2022 CAH Payments'!$B$2:$G$40,6,FALSE)</f>
        <v>342914.5</v>
      </c>
      <c r="AD76" s="22">
        <f t="shared" si="39"/>
        <v>523185</v>
      </c>
      <c r="AE76" s="22">
        <f t="shared" si="40"/>
        <v>703455.5</v>
      </c>
      <c r="AF76" s="22">
        <f t="shared" si="39"/>
        <v>523185</v>
      </c>
      <c r="AG76" s="22">
        <f t="shared" si="39"/>
        <v>523185</v>
      </c>
      <c r="AH76" s="22">
        <v>0</v>
      </c>
      <c r="AI76" s="22">
        <f t="shared" si="41"/>
        <v>-1487248.9580406682</v>
      </c>
      <c r="AJ76" s="26"/>
      <c r="AO76" s="26"/>
    </row>
    <row r="77" spans="1:41" x14ac:dyDescent="0.3">
      <c r="A77" s="109" t="s">
        <v>171</v>
      </c>
      <c r="B77" s="18" t="s">
        <v>172</v>
      </c>
      <c r="C77" s="19" t="str">
        <f>IFERROR(VLOOKUP(A77,'[1]SHOPP UPL SFY2021 Combined OUT'!$A:$F,6,FALSE),IFERROR(VLOOKUP(A77,'[1]SHOPP UPL SFY2021 Combined INP'!$A:$F,6,FALSE),VLOOKUP(A77,'[1]DRG UPL SFY21 Combined'!$A:$J,10,FALSE)))</f>
        <v>No</v>
      </c>
      <c r="D77" s="18">
        <v>1</v>
      </c>
      <c r="E77" s="50">
        <v>0</v>
      </c>
      <c r="F77" s="21">
        <f t="shared" si="31"/>
        <v>286880.09137751645</v>
      </c>
      <c r="G77" s="22">
        <f>IF(C77="No",(VLOOKUP($A77,'[1]Cost UPL SFY21 Combine'!$B:$AS,17,FALSE)+VLOOKUP($A77,'[1]Cost UPL SFY21 Combine'!$B:$AS,18,FALSE)+VLOOKUP($A77,'[1]Cost UPL SFY21 Combine'!$B:$AS,19,FALSE)),(VLOOKUP($A77,'[1]DRG UPL SFY21 Combined'!$A:$AZ,18,FALSE)+VLOOKUP($A77,'[1]DRG UPL SFY21 Combined'!$A:$AZ,19,FALSE)+VLOOKUP($A77,'[1]DRG UPL SFY21 Combined'!$A:$AZ,22,FALSE)))</f>
        <v>38091.090000000004</v>
      </c>
      <c r="H77" s="22"/>
      <c r="I77" s="22">
        <f t="shared" si="32"/>
        <v>38091.090000000004</v>
      </c>
      <c r="J77" s="23">
        <f>IF($E77=1,I77/$I$93,0)</f>
        <v>0</v>
      </c>
      <c r="K77" s="22">
        <f>IFERROR(IF(C77="No",(VLOOKUP($A77,'[1]SHOPP UPL SFY2021 Combined INP'!$A:$AL,36,FALSE)),VLOOKUP($A77,'[1]DRG UPL SFY21 Combined'!$A:$AW,48,FALSE)),0)</f>
        <v>3640.080792754814</v>
      </c>
      <c r="L77" s="22">
        <f>IF($E77=1,ROUND($J77*(L$96+L$97),0),0)</f>
        <v>0</v>
      </c>
      <c r="M77" s="22">
        <f>(IFERROR(VLOOKUP($A77,'[1]CAH 101% of cost'!$A$3:$BJ$44,48,FALSE),0))</f>
        <v>14598</v>
      </c>
      <c r="N77" s="22">
        <f t="shared" si="42"/>
        <v>14598</v>
      </c>
      <c r="O77" s="22">
        <v>7.5</v>
      </c>
      <c r="P77" s="22">
        <f t="shared" si="34"/>
        <v>3649.5</v>
      </c>
      <c r="Q77" s="22">
        <f t="shared" si="35"/>
        <v>7291.5</v>
      </c>
      <c r="R77" s="22">
        <f t="shared" si="36"/>
        <v>3649.5</v>
      </c>
      <c r="S77" s="22">
        <f t="shared" si="36"/>
        <v>3649.5</v>
      </c>
      <c r="T77" s="22">
        <v>0</v>
      </c>
      <c r="U77" s="22">
        <f t="shared" si="37"/>
        <v>-10957.919207245186</v>
      </c>
      <c r="V77" s="22"/>
      <c r="W77" s="22">
        <f>IFERROR(VLOOKUP($A77,'[1]Cost UPL SFY21 Combine'!$B:$AG,31,FALSE),0)+IFERROR(VLOOKUP($A77,'[1]Cost UPL SFY21 Combine'!$B:$AG,32,FALSE),0)</f>
        <v>248789.00137751643</v>
      </c>
      <c r="X77" s="23">
        <f>IF($E77=1,W77/$W$93,0)</f>
        <v>0</v>
      </c>
      <c r="Y77" s="22">
        <f>IFERROR(VLOOKUP($A77,'[1]SHOPP UPL SFY2021 Combined OUT'!$A:$AH,33,FALSE),0)</f>
        <v>518527.51818418381</v>
      </c>
      <c r="Z77" s="24">
        <f>IF($E77=1,ROUND($X77*(Z$96+Z$97),0),0)</f>
        <v>0</v>
      </c>
      <c r="AA77" s="22">
        <f>(IFERROR(VLOOKUP(A77,'[1]CAH 101% of cost'!$A$3:$BP$44,64,FALSE),0))</f>
        <v>490422</v>
      </c>
      <c r="AB77" s="22">
        <f t="shared" si="38"/>
        <v>490422</v>
      </c>
      <c r="AC77" s="22">
        <f>VLOOKUP(A77,'[2]2022 CAH Payments'!$B$2:$G$40,6,FALSE)</f>
        <v>95289.25</v>
      </c>
      <c r="AD77" s="22">
        <f t="shared" si="39"/>
        <v>122605.5</v>
      </c>
      <c r="AE77" s="22">
        <f t="shared" si="40"/>
        <v>149921.75</v>
      </c>
      <c r="AF77" s="22">
        <f t="shared" si="39"/>
        <v>122605.5</v>
      </c>
      <c r="AG77" s="22">
        <f t="shared" si="39"/>
        <v>122605.5</v>
      </c>
      <c r="AH77" s="22">
        <v>0</v>
      </c>
      <c r="AI77" s="22">
        <f t="shared" si="41"/>
        <v>28105.518184183806</v>
      </c>
      <c r="AJ77" s="26"/>
      <c r="AO77" s="26"/>
    </row>
    <row r="78" spans="1:41" x14ac:dyDescent="0.3">
      <c r="A78" s="109" t="s">
        <v>173</v>
      </c>
      <c r="B78" s="18" t="s">
        <v>174</v>
      </c>
      <c r="C78" s="19" t="str">
        <f>IFERROR(VLOOKUP(A78,'[1]SHOPP UPL SFY2021 Combined OUT'!$A:$F,6,FALSE),IFERROR(VLOOKUP(A78,'[1]SHOPP UPL SFY2021 Combined INP'!$A:$F,6,FALSE),VLOOKUP(A78,'[1]DRG UPL SFY21 Combined'!$A:$J,10,FALSE)))</f>
        <v>No</v>
      </c>
      <c r="D78" s="18">
        <v>1</v>
      </c>
      <c r="E78" s="50">
        <v>0</v>
      </c>
      <c r="F78" s="21">
        <f t="shared" si="31"/>
        <v>279962.60279309691</v>
      </c>
      <c r="G78" s="22">
        <f>IF(C78="No",(VLOOKUP($A78,'[1]Cost UPL SFY21 Combine'!$B:$AS,17,FALSE)+VLOOKUP($A78,'[1]Cost UPL SFY21 Combine'!$B:$AS,18,FALSE)+VLOOKUP($A78,'[1]Cost UPL SFY21 Combine'!$B:$AS,19,FALSE)),(VLOOKUP($A78,'[1]DRG UPL SFY21 Combined'!$A:$AZ,18,FALSE)+VLOOKUP($A78,'[1]DRG UPL SFY21 Combined'!$A:$AZ,19,FALSE)+VLOOKUP($A78,'[1]DRG UPL SFY21 Combined'!$A:$AZ,22,FALSE)))</f>
        <v>52421.42</v>
      </c>
      <c r="H78" s="22"/>
      <c r="I78" s="22">
        <f t="shared" si="32"/>
        <v>52421.42</v>
      </c>
      <c r="J78" s="23">
        <f>IF($E78=1,I78/$I$93,0)</f>
        <v>0</v>
      </c>
      <c r="K78" s="22">
        <f>IFERROR(IF(C78="No",(VLOOKUP($A78,'[1]SHOPP UPL SFY2021 Combined INP'!$A:$AL,36,FALSE)),VLOOKUP($A78,'[1]DRG UPL SFY21 Combined'!$A:$AW,48,FALSE)),0)</f>
        <v>25412.600062302328</v>
      </c>
      <c r="L78" s="22">
        <f>IF($E78=1,ROUND($J78*(L$96+L$97),0),0)</f>
        <v>0</v>
      </c>
      <c r="M78" s="22">
        <f>(IFERROR(VLOOKUP($A78,'[1]CAH 101% of cost'!$A$3:$BJ$44,48,FALSE),0))</f>
        <v>16898</v>
      </c>
      <c r="N78" s="22">
        <f t="shared" si="42"/>
        <v>16898</v>
      </c>
      <c r="O78" s="22">
        <v>4515.5</v>
      </c>
      <c r="P78" s="22">
        <f t="shared" si="34"/>
        <v>4224.5</v>
      </c>
      <c r="Q78" s="22">
        <f t="shared" si="35"/>
        <v>3933.5</v>
      </c>
      <c r="R78" s="22">
        <f t="shared" si="36"/>
        <v>4224.5</v>
      </c>
      <c r="S78" s="22">
        <f t="shared" si="36"/>
        <v>4224.5</v>
      </c>
      <c r="T78" s="22">
        <v>0</v>
      </c>
      <c r="U78" s="22">
        <f t="shared" si="37"/>
        <v>8514.6000623023283</v>
      </c>
      <c r="V78" s="22"/>
      <c r="W78" s="22">
        <f>IFERROR(VLOOKUP($A78,'[1]Cost UPL SFY21 Combine'!$B:$AG,31,FALSE),0)+IFERROR(VLOOKUP($A78,'[1]Cost UPL SFY21 Combine'!$B:$AG,32,FALSE),0)</f>
        <v>227541.1827930969</v>
      </c>
      <c r="X78" s="23">
        <f>IF($E78=1,W78/$W$93,0)</f>
        <v>0</v>
      </c>
      <c r="Y78" s="22">
        <f>IFERROR(VLOOKUP($A78,'[1]SHOPP UPL SFY2021 Combined OUT'!$A:$AH,33,FALSE),0)</f>
        <v>276941.55385592545</v>
      </c>
      <c r="Z78" s="24">
        <f>IF($E78=1,ROUND($X78*(Z$96+Z$97),0),0)</f>
        <v>0</v>
      </c>
      <c r="AA78" s="22">
        <f>(IFERROR(VLOOKUP(A78,'[1]CAH 101% of cost'!$A$3:$BP$44,64,FALSE),0))</f>
        <v>238803</v>
      </c>
      <c r="AB78" s="22">
        <f t="shared" si="38"/>
        <v>238803</v>
      </c>
      <c r="AC78" s="22">
        <f>VLOOKUP(A78,'[2]2022 CAH Payments'!$B$2:$G$40,6,FALSE)</f>
        <v>48939.75</v>
      </c>
      <c r="AD78" s="22">
        <f t="shared" si="39"/>
        <v>59700.75</v>
      </c>
      <c r="AE78" s="22">
        <f t="shared" si="40"/>
        <v>70461.75</v>
      </c>
      <c r="AF78" s="22">
        <f t="shared" si="39"/>
        <v>59700.75</v>
      </c>
      <c r="AG78" s="22">
        <f t="shared" si="39"/>
        <v>59700.75</v>
      </c>
      <c r="AH78" s="22">
        <v>0</v>
      </c>
      <c r="AI78" s="22">
        <f t="shared" si="41"/>
        <v>38138.553855925449</v>
      </c>
      <c r="AJ78" s="26"/>
      <c r="AO78" s="26"/>
    </row>
    <row r="79" spans="1:41" x14ac:dyDescent="0.3">
      <c r="A79" s="109" t="s">
        <v>175</v>
      </c>
      <c r="B79" s="18" t="s">
        <v>176</v>
      </c>
      <c r="C79" s="19" t="str">
        <f>IFERROR(VLOOKUP(A79,'[1]SHOPP UPL SFY2021 Combined OUT'!$A:$F,6,FALSE),IFERROR(VLOOKUP(A79,'[1]SHOPP UPL SFY2021 Combined INP'!$A:$F,6,FALSE),VLOOKUP(A79,'[1]DRG UPL SFY21 Combined'!$A:$J,10,FALSE)))</f>
        <v>No</v>
      </c>
      <c r="D79" s="18">
        <v>1</v>
      </c>
      <c r="E79" s="20">
        <v>0</v>
      </c>
      <c r="F79" s="21">
        <f t="shared" si="31"/>
        <v>4085475.7300000004</v>
      </c>
      <c r="G79" s="22">
        <f>IF(C79="No",(VLOOKUP($A79,'[1]Cost UPL SFY21 Combine'!$B:$AS,17,FALSE)+VLOOKUP($A79,'[1]Cost UPL SFY21 Combine'!$B:$AS,18,FALSE)+VLOOKUP($A79,'[1]Cost UPL SFY21 Combine'!$B:$AS,19,FALSE)),(VLOOKUP($A79,'[1]DRG UPL SFY21 Combined'!$A:$AZ,18,FALSE)+VLOOKUP($A79,'[1]DRG UPL SFY21 Combined'!$A:$AZ,19,FALSE)+VLOOKUP($A79,'[1]DRG UPL SFY21 Combined'!$A:$AZ,22,FALSE)))</f>
        <v>2206786.2000000002</v>
      </c>
      <c r="H79" s="22"/>
      <c r="I79" s="22">
        <f t="shared" si="32"/>
        <v>2206786.2000000002</v>
      </c>
      <c r="J79" s="23">
        <f>IF($E79=1,I79/$I$93,0)</f>
        <v>0</v>
      </c>
      <c r="K79" s="22">
        <f>IFERROR(IF(C79="No",(VLOOKUP($A79,'[1]SHOPP UPL SFY2021 Combined INP'!$A:$AL,36,FALSE)),VLOOKUP($A79,'[1]DRG UPL SFY21 Combined'!$A:$AW,48,FALSE)),0)</f>
        <v>639633.49164724466</v>
      </c>
      <c r="L79" s="22">
        <f>IF($E79=1,ROUND($J79*(L$96+L$97),0),0)</f>
        <v>0</v>
      </c>
      <c r="M79" s="22">
        <f>(IFERROR(VLOOKUP($A79,'[1]CAH 101% of cost'!$A$3:$BJ$44,48,FALSE),0))</f>
        <v>981082</v>
      </c>
      <c r="N79" s="22">
        <f t="shared" si="42"/>
        <v>981082</v>
      </c>
      <c r="O79" s="22">
        <v>90636.75</v>
      </c>
      <c r="P79" s="22">
        <f t="shared" si="34"/>
        <v>245270.5</v>
      </c>
      <c r="Q79" s="22">
        <f t="shared" si="35"/>
        <v>399904.25</v>
      </c>
      <c r="R79" s="22">
        <f t="shared" si="36"/>
        <v>245270.5</v>
      </c>
      <c r="S79" s="22">
        <f t="shared" si="36"/>
        <v>245270.5</v>
      </c>
      <c r="T79" s="22">
        <v>0</v>
      </c>
      <c r="U79" s="22">
        <f t="shared" si="37"/>
        <v>-341448.50835275534</v>
      </c>
      <c r="V79" s="22"/>
      <c r="W79" s="22">
        <f>IFERROR(VLOOKUP($A79,'[1]Cost UPL SFY21 Combine'!$B:$AG,31,FALSE),0)+IFERROR(VLOOKUP($A79,'[1]Cost UPL SFY21 Combine'!$B:$AG,32,FALSE),0)</f>
        <v>1878689.53</v>
      </c>
      <c r="X79" s="23">
        <f>IF($E79=1,W79/$W$93,0)</f>
        <v>0</v>
      </c>
      <c r="Y79" s="22">
        <f>IFERROR(VLOOKUP($A79,'[1]SHOPP UPL SFY2021 Combined OUT'!$A:$AH,33,FALSE),0)</f>
        <v>240952.45177906472</v>
      </c>
      <c r="Z79" s="24">
        <f>IF($E79=1,ROUND($X79*(Z$96+Z$97),0),0)</f>
        <v>0</v>
      </c>
      <c r="AA79" s="22">
        <f>(IFERROR(VLOOKUP(A79,'[1]CAH 101% of cost'!$A$3:$BP$44,64,FALSE),0))</f>
        <v>57733</v>
      </c>
      <c r="AB79" s="22">
        <f t="shared" si="38"/>
        <v>57733</v>
      </c>
      <c r="AC79" s="22">
        <f>VLOOKUP(A79,'[2]2022 CAH Payments'!$B$2:$G$40,6,FALSE)</f>
        <v>14292</v>
      </c>
      <c r="AD79" s="22">
        <f t="shared" si="39"/>
        <v>14433.25</v>
      </c>
      <c r="AE79" s="22">
        <f t="shared" si="40"/>
        <v>14574.5</v>
      </c>
      <c r="AF79" s="22">
        <f t="shared" si="39"/>
        <v>14433.25</v>
      </c>
      <c r="AG79" s="22">
        <f t="shared" si="39"/>
        <v>14433.25</v>
      </c>
      <c r="AH79" s="22">
        <v>0</v>
      </c>
      <c r="AI79" s="22">
        <f t="shared" si="41"/>
        <v>183219.45177906472</v>
      </c>
      <c r="AJ79" s="26"/>
      <c r="AO79" s="26"/>
    </row>
    <row r="80" spans="1:41" x14ac:dyDescent="0.3">
      <c r="A80" s="109" t="s">
        <v>177</v>
      </c>
      <c r="B80" s="18" t="s">
        <v>178</v>
      </c>
      <c r="C80" s="19" t="str">
        <f>IFERROR(VLOOKUP(A80,'[1]SHOPP UPL SFY2021 Combined OUT'!$A:$F,6,FALSE),IFERROR(VLOOKUP(A80,'[1]SHOPP UPL SFY2021 Combined INP'!$A:$F,6,FALSE),VLOOKUP(A80,'[1]DRG UPL SFY21 Combined'!$A:$J,10,FALSE)))</f>
        <v>No</v>
      </c>
      <c r="D80" s="18">
        <v>1</v>
      </c>
      <c r="E80" s="50">
        <v>0</v>
      </c>
      <c r="F80" s="21">
        <f t="shared" si="31"/>
        <v>424574.29</v>
      </c>
      <c r="G80" s="22">
        <f>IF(C80="No",(VLOOKUP($A80,'[1]Cost UPL SFY21 Combine'!$B:$AS,17,FALSE)+VLOOKUP($A80,'[1]Cost UPL SFY21 Combine'!$B:$AS,18,FALSE)+VLOOKUP($A80,'[1]Cost UPL SFY21 Combine'!$B:$AS,19,FALSE)),(VLOOKUP($A80,'[1]DRG UPL SFY21 Combined'!$A:$AZ,18,FALSE)+VLOOKUP($A80,'[1]DRG UPL SFY21 Combined'!$A:$AZ,19,FALSE)+VLOOKUP($A80,'[1]DRG UPL SFY21 Combined'!$A:$AZ,22,FALSE)))</f>
        <v>64689.619999999995</v>
      </c>
      <c r="H80" s="22"/>
      <c r="I80" s="22">
        <f t="shared" si="32"/>
        <v>64689.619999999995</v>
      </c>
      <c r="J80" s="23">
        <f>IF($E80=1,I80/$I$93,0)</f>
        <v>0</v>
      </c>
      <c r="K80" s="22">
        <f>IFERROR(IF(C80="No",(VLOOKUP($A80,'[1]SHOPP UPL SFY2021 Combined INP'!$A:$AL,36,FALSE)),VLOOKUP($A80,'[1]DRG UPL SFY21 Combined'!$A:$AW,48,FALSE)),0)</f>
        <v>19046.316738987553</v>
      </c>
      <c r="L80" s="22">
        <f>IF($E80=1,ROUND($J80*(L$96+L$97),0),0)</f>
        <v>0</v>
      </c>
      <c r="M80" s="22">
        <f>(IFERROR(VLOOKUP($A80,'[1]CAH 101% of cost'!$A$3:$BJ$44,48,FALSE),0))</f>
        <v>59813</v>
      </c>
      <c r="N80" s="22">
        <f t="shared" si="42"/>
        <v>59813</v>
      </c>
      <c r="O80" s="22">
        <v>5908.5</v>
      </c>
      <c r="P80" s="22">
        <f t="shared" si="34"/>
        <v>14953.25</v>
      </c>
      <c r="Q80" s="22">
        <f t="shared" si="35"/>
        <v>23998</v>
      </c>
      <c r="R80" s="22">
        <f t="shared" si="36"/>
        <v>14953.25</v>
      </c>
      <c r="S80" s="22">
        <f t="shared" si="36"/>
        <v>14953.25</v>
      </c>
      <c r="T80" s="22">
        <v>0</v>
      </c>
      <c r="U80" s="22">
        <f t="shared" si="37"/>
        <v>-40766.683261012447</v>
      </c>
      <c r="V80" s="22"/>
      <c r="W80" s="22">
        <f>IFERROR(VLOOKUP($A80,'[1]Cost UPL SFY21 Combine'!$B:$AG,31,FALSE),0)+IFERROR(VLOOKUP($A80,'[1]Cost UPL SFY21 Combine'!$B:$AG,32,FALSE),0)</f>
        <v>359884.67</v>
      </c>
      <c r="X80" s="23">
        <f>IF($E80=1,W80/$W$93,0)</f>
        <v>0</v>
      </c>
      <c r="Y80" s="22">
        <f>IFERROR(VLOOKUP($A80,'[1]SHOPP UPL SFY2021 Combined OUT'!$A:$AH,33,FALSE),0)</f>
        <v>499886.24858150171</v>
      </c>
      <c r="Z80" s="24">
        <f>IF($E80=1,ROUND($X80*(Z$96+Z$97),0),0)</f>
        <v>0</v>
      </c>
      <c r="AA80" s="22">
        <f>(IFERROR(VLOOKUP(A80,'[1]CAH 101% of cost'!$A$3:$BP$44,64,FALSE),0))</f>
        <v>484175</v>
      </c>
      <c r="AB80" s="22">
        <f t="shared" si="38"/>
        <v>484175</v>
      </c>
      <c r="AC80" s="22">
        <f>VLOOKUP(A80,'[2]2022 CAH Payments'!$B$2:$G$40,6,FALSE)</f>
        <v>92608</v>
      </c>
      <c r="AD80" s="22">
        <f t="shared" si="39"/>
        <v>121043.75</v>
      </c>
      <c r="AE80" s="22">
        <f t="shared" si="40"/>
        <v>149479.5</v>
      </c>
      <c r="AF80" s="22">
        <f t="shared" si="39"/>
        <v>121043.75</v>
      </c>
      <c r="AG80" s="22">
        <f t="shared" si="39"/>
        <v>121043.75</v>
      </c>
      <c r="AH80" s="22">
        <v>0</v>
      </c>
      <c r="AI80" s="22">
        <f t="shared" si="41"/>
        <v>15711.248581501713</v>
      </c>
      <c r="AJ80" s="26"/>
      <c r="AO80" s="26"/>
    </row>
    <row r="81" spans="1:41" x14ac:dyDescent="0.3">
      <c r="A81" s="109" t="s">
        <v>179</v>
      </c>
      <c r="B81" s="18" t="s">
        <v>180</v>
      </c>
      <c r="C81" s="19" t="str">
        <f>IFERROR(VLOOKUP(A81,'[1]SHOPP UPL SFY2021 Combined OUT'!$A:$F,6,FALSE),IFERROR(VLOOKUP(A81,'[1]SHOPP UPL SFY2021 Combined INP'!$A:$F,6,FALSE),VLOOKUP(A81,'[1]DRG UPL SFY21 Combined'!$A:$J,10,FALSE)))</f>
        <v>No</v>
      </c>
      <c r="D81" s="18">
        <v>1</v>
      </c>
      <c r="E81" s="50">
        <v>0</v>
      </c>
      <c r="F81" s="21">
        <f t="shared" si="31"/>
        <v>500011.0147182818</v>
      </c>
      <c r="G81" s="22">
        <f>IF(C81="No",(VLOOKUP($A81,'[1]Cost UPL SFY21 Combine'!$B:$AS,17,FALSE)+VLOOKUP($A81,'[1]Cost UPL SFY21 Combine'!$B:$AS,18,FALSE)+VLOOKUP($A81,'[1]Cost UPL SFY21 Combine'!$B:$AS,19,FALSE)),(VLOOKUP($A81,'[1]DRG UPL SFY21 Combined'!$A:$AZ,18,FALSE)+VLOOKUP($A81,'[1]DRG UPL SFY21 Combined'!$A:$AZ,19,FALSE)+VLOOKUP($A81,'[1]DRG UPL SFY21 Combined'!$A:$AZ,22,FALSE)))</f>
        <v>138599.59</v>
      </c>
      <c r="H81" s="22"/>
      <c r="I81" s="22">
        <f t="shared" si="32"/>
        <v>138599.59</v>
      </c>
      <c r="J81" s="23">
        <f>IF($E81=1,I81/$I$93,0)</f>
        <v>0</v>
      </c>
      <c r="K81" s="22">
        <f>IFERROR(IF(C81="No",(VLOOKUP($A81,'[1]SHOPP UPL SFY2021 Combined INP'!$A:$AL,36,FALSE)),VLOOKUP($A81,'[1]DRG UPL SFY21 Combined'!$A:$AW,48,FALSE)),0)</f>
        <v>22888.625108171123</v>
      </c>
      <c r="L81" s="22">
        <f>IF($E81=1,ROUND($J81*(L$96+L$97),0),0)</f>
        <v>0</v>
      </c>
      <c r="M81" s="22">
        <f>(IFERROR(VLOOKUP($A81,'[1]CAH 101% of cost'!$A$3:$BJ$44,48,FALSE),0))</f>
        <v>168145</v>
      </c>
      <c r="N81" s="22">
        <f t="shared" si="42"/>
        <v>168145</v>
      </c>
      <c r="O81" s="22">
        <v>22410</v>
      </c>
      <c r="P81" s="22">
        <f t="shared" si="34"/>
        <v>42036.25</v>
      </c>
      <c r="Q81" s="22">
        <f t="shared" si="35"/>
        <v>61662.5</v>
      </c>
      <c r="R81" s="22">
        <f t="shared" si="36"/>
        <v>42036.25</v>
      </c>
      <c r="S81" s="22">
        <f t="shared" si="36"/>
        <v>42036.25</v>
      </c>
      <c r="T81" s="22">
        <v>0</v>
      </c>
      <c r="U81" s="22">
        <f t="shared" si="37"/>
        <v>-145256.37489182886</v>
      </c>
      <c r="V81" s="22"/>
      <c r="W81" s="22">
        <f>IFERROR(VLOOKUP($A81,'[1]Cost UPL SFY21 Combine'!$B:$AG,31,FALSE),0)+IFERROR(VLOOKUP($A81,'[1]Cost UPL SFY21 Combine'!$B:$AG,32,FALSE),0)</f>
        <v>361411.42471828178</v>
      </c>
      <c r="X81" s="23">
        <f>IF($E81=1,W81/$W$93,0)</f>
        <v>0</v>
      </c>
      <c r="Y81" s="22">
        <f>IFERROR(VLOOKUP($A81,'[1]SHOPP UPL SFY2021 Combined OUT'!$A:$AH,33,FALSE),0)</f>
        <v>439581.92823057587</v>
      </c>
      <c r="Z81" s="24">
        <f>IF($E81=1,ROUND($X81*(Z$96+Z$97),0),0)</f>
        <v>0</v>
      </c>
      <c r="AA81" s="22">
        <f>(IFERROR(VLOOKUP(A81,'[1]CAH 101% of cost'!$A$3:$BP$44,64,FALSE),0))</f>
        <v>442908</v>
      </c>
      <c r="AB81" s="22">
        <f t="shared" si="38"/>
        <v>442908</v>
      </c>
      <c r="AC81" s="22">
        <f>VLOOKUP(A81,'[2]2022 CAH Payments'!$B$2:$G$40,6,FALSE)</f>
        <v>100812.5</v>
      </c>
      <c r="AD81" s="22">
        <f t="shared" si="39"/>
        <v>110727</v>
      </c>
      <c r="AE81" s="22">
        <f t="shared" si="40"/>
        <v>120641.5</v>
      </c>
      <c r="AF81" s="22">
        <f t="shared" si="39"/>
        <v>110727</v>
      </c>
      <c r="AG81" s="22">
        <f t="shared" si="39"/>
        <v>110727</v>
      </c>
      <c r="AH81" s="22">
        <v>0</v>
      </c>
      <c r="AI81" s="22">
        <f t="shared" si="41"/>
        <v>-3326.0717694241321</v>
      </c>
      <c r="AJ81" s="26"/>
      <c r="AO81" s="26"/>
    </row>
    <row r="82" spans="1:41" x14ac:dyDescent="0.3">
      <c r="A82" s="110" t="s">
        <v>181</v>
      </c>
      <c r="B82" s="51" t="s">
        <v>182</v>
      </c>
      <c r="C82" s="19" t="str">
        <f>IFERROR(VLOOKUP(A82,'[1]SHOPP UPL SFY2021 Combined OUT'!$A:$F,6,FALSE),IFERROR(VLOOKUP(A82,'[1]SHOPP UPL SFY2021 Combined INP'!$A:$F,6,FALSE),VLOOKUP(A82,'[1]DRG UPL SFY21 Combined'!$A:$J,10,FALSE)))</f>
        <v>No</v>
      </c>
      <c r="D82" s="18">
        <v>1</v>
      </c>
      <c r="E82" s="50">
        <v>0</v>
      </c>
      <c r="F82" s="21">
        <f t="shared" si="31"/>
        <v>1465675.4281250024</v>
      </c>
      <c r="G82" s="22">
        <f>IF(C82="No",(VLOOKUP($A82,'[1]Cost UPL SFY21 Combine'!$B:$AS,17,FALSE)+VLOOKUP($A82,'[1]Cost UPL SFY21 Combine'!$B:$AS,18,FALSE)+VLOOKUP($A82,'[1]Cost UPL SFY21 Combine'!$B:$AS,19,FALSE)),(VLOOKUP($A82,'[1]DRG UPL SFY21 Combined'!$A:$AZ,18,FALSE)+VLOOKUP($A82,'[1]DRG UPL SFY21 Combined'!$A:$AZ,19,FALSE)+VLOOKUP($A82,'[1]DRG UPL SFY21 Combined'!$A:$AZ,22,FALSE)))</f>
        <v>467009.8</v>
      </c>
      <c r="H82" s="22"/>
      <c r="I82" s="22">
        <f t="shared" si="32"/>
        <v>467009.8</v>
      </c>
      <c r="J82" s="23">
        <f>IF($E82=1,I82/$I$93,0)</f>
        <v>0</v>
      </c>
      <c r="K82" s="22">
        <f>IFERROR(IF(C82="No",(VLOOKUP($A82,'[1]SHOPP UPL SFY2021 Combined INP'!$A:$AL,36,FALSE)),VLOOKUP($A82,'[1]DRG UPL SFY21 Combined'!$A:$AW,48,FALSE)),0)</f>
        <v>236553.89521494898</v>
      </c>
      <c r="L82" s="22">
        <f>IF($E82=1,ROUND($J82*(L$96+L$97),0),0)</f>
        <v>0</v>
      </c>
      <c r="M82" s="22">
        <f>(IFERROR(VLOOKUP($A82,'[1]CAH 101% of cost'!$A$3:$BJ$44,48,FALSE),0))</f>
        <v>368562</v>
      </c>
      <c r="N82" s="22">
        <f t="shared" si="42"/>
        <v>368562</v>
      </c>
      <c r="O82" s="22">
        <v>8019</v>
      </c>
      <c r="P82" s="22">
        <f t="shared" si="34"/>
        <v>92140.5</v>
      </c>
      <c r="Q82" s="22">
        <f t="shared" si="35"/>
        <v>176262</v>
      </c>
      <c r="R82" s="22">
        <f t="shared" si="36"/>
        <v>92140.5</v>
      </c>
      <c r="S82" s="22">
        <f t="shared" si="36"/>
        <v>92140.5</v>
      </c>
      <c r="T82" s="22">
        <v>0</v>
      </c>
      <c r="U82" s="22">
        <f t="shared" si="37"/>
        <v>-132008.10478505102</v>
      </c>
      <c r="V82" s="21"/>
      <c r="W82" s="22">
        <f>IFERROR(VLOOKUP($A82,'[1]Cost UPL SFY21 Combine'!$B:$AG,31,FALSE),0)+IFERROR(VLOOKUP($A82,'[1]Cost UPL SFY21 Combine'!$B:$AG,32,FALSE),0)</f>
        <v>998665.62812500249</v>
      </c>
      <c r="X82" s="23">
        <f>IF($E82=1,W82/$W$93,0)</f>
        <v>0</v>
      </c>
      <c r="Y82" s="22">
        <f>IFERROR(VLOOKUP($A82,'[1]SHOPP UPL SFY2021 Combined OUT'!$A:$AH,33,FALSE),0)</f>
        <v>1334550.3985755108</v>
      </c>
      <c r="Z82" s="24">
        <f>IF($E82=1,ROUND($X82*(Z$96+Z$97),0),0)</f>
        <v>0</v>
      </c>
      <c r="AA82" s="22">
        <f>(IFERROR(VLOOKUP(A82,'[1]CAH 101% of cost'!$A$3:$BP$44,64,FALSE),0))</f>
        <v>1248989</v>
      </c>
      <c r="AB82" s="22">
        <f t="shared" si="38"/>
        <v>1248989</v>
      </c>
      <c r="AC82" s="22">
        <f>VLOOKUP(A82,'[2]2022 CAH Payments'!$B$2:$G$40,6,FALSE)</f>
        <v>194156.25</v>
      </c>
      <c r="AD82" s="22">
        <f t="shared" si="39"/>
        <v>312247.25</v>
      </c>
      <c r="AE82" s="22">
        <f t="shared" si="40"/>
        <v>430338.25</v>
      </c>
      <c r="AF82" s="22">
        <f t="shared" si="39"/>
        <v>312247.25</v>
      </c>
      <c r="AG82" s="22">
        <f t="shared" si="39"/>
        <v>312247.25</v>
      </c>
      <c r="AH82" s="22">
        <v>0</v>
      </c>
      <c r="AI82" s="22">
        <f t="shared" si="41"/>
        <v>85561.39857551083</v>
      </c>
      <c r="AJ82" s="26"/>
      <c r="AO82" s="26"/>
    </row>
    <row r="83" spans="1:41" x14ac:dyDescent="0.3">
      <c r="A83" s="109" t="s">
        <v>183</v>
      </c>
      <c r="B83" s="52" t="s">
        <v>184</v>
      </c>
      <c r="C83" s="19" t="str">
        <f>IFERROR(VLOOKUP(A83,'[1]SHOPP UPL SFY2021 Combined OUT'!$A:$F,6,FALSE),IFERROR(VLOOKUP(A83,'[1]SHOPP UPL SFY2021 Combined INP'!$A:$F,6,FALSE),VLOOKUP(A83,'[1]DRG UPL SFY21 Combined'!$A:$J,10,FALSE)))</f>
        <v>No</v>
      </c>
      <c r="D83" s="18">
        <v>1</v>
      </c>
      <c r="E83" s="50">
        <v>0</v>
      </c>
      <c r="F83" s="21">
        <f t="shared" si="31"/>
        <v>855176.14999999793</v>
      </c>
      <c r="G83" s="22">
        <f>IF(C83="No",(VLOOKUP($A83,'[1]Cost UPL SFY21 Combine'!$B:$AS,17,FALSE)+VLOOKUP($A83,'[1]Cost UPL SFY21 Combine'!$B:$AS,18,FALSE)+VLOOKUP($A83,'[1]Cost UPL SFY21 Combine'!$B:$AS,19,FALSE)),(VLOOKUP($A83,'[1]DRG UPL SFY21 Combined'!$A:$AZ,18,FALSE)+VLOOKUP($A83,'[1]DRG UPL SFY21 Combined'!$A:$AZ,19,FALSE)+VLOOKUP($A83,'[1]DRG UPL SFY21 Combined'!$A:$AZ,22,FALSE)))</f>
        <v>139828.85</v>
      </c>
      <c r="H83" s="22"/>
      <c r="I83" s="22">
        <f t="shared" si="32"/>
        <v>139828.85</v>
      </c>
      <c r="J83" s="23">
        <f>IF($E83=1,I83/$I$93,0)</f>
        <v>0</v>
      </c>
      <c r="K83" s="22">
        <f>IFERROR(IF(C83="No",(VLOOKUP($A83,'[1]SHOPP UPL SFY2021 Combined INP'!$A:$AL,36,FALSE)),VLOOKUP($A83,'[1]DRG UPL SFY21 Combined'!$A:$AW,48,FALSE)),0)</f>
        <v>155840.44704017404</v>
      </c>
      <c r="L83" s="22">
        <f>IF($E83=1,ROUND($J83*(L$96+L$97),0),0)</f>
        <v>0</v>
      </c>
      <c r="M83" s="22">
        <f>(IFERROR(VLOOKUP($A83,'[1]CAH 101% of cost'!$A$3:$BJ$44,48,FALSE),0))</f>
        <v>122974</v>
      </c>
      <c r="N83" s="22">
        <f t="shared" si="42"/>
        <v>122974</v>
      </c>
      <c r="O83" s="22">
        <v>21455.5</v>
      </c>
      <c r="P83" s="22">
        <f t="shared" si="34"/>
        <v>30743.5</v>
      </c>
      <c r="Q83" s="22">
        <f t="shared" si="35"/>
        <v>40031.5</v>
      </c>
      <c r="R83" s="22">
        <f t="shared" si="36"/>
        <v>30743.5</v>
      </c>
      <c r="S83" s="22">
        <f t="shared" si="36"/>
        <v>30743.5</v>
      </c>
      <c r="T83" s="22">
        <v>0</v>
      </c>
      <c r="U83" s="22">
        <f t="shared" si="37"/>
        <v>32866.44704017404</v>
      </c>
      <c r="V83" s="21"/>
      <c r="W83" s="22">
        <f>IFERROR(VLOOKUP($A83,'[1]Cost UPL SFY21 Combine'!$B:$AG,31,FALSE),0)+IFERROR(VLOOKUP($A83,'[1]Cost UPL SFY21 Combine'!$B:$AG,32,FALSE),0)</f>
        <v>715347.29999999795</v>
      </c>
      <c r="X83" s="23">
        <f>IF($E83=1,W83/$W$93,0)</f>
        <v>0</v>
      </c>
      <c r="Y83" s="22">
        <f>IFERROR(VLOOKUP($A83,'[1]SHOPP UPL SFY2021 Combined OUT'!$A:$AH,33,FALSE),0)</f>
        <v>823980.43529378646</v>
      </c>
      <c r="Z83" s="24">
        <f>IF($E83=1,ROUND($X83*(Z$96+Z$97),0),0)</f>
        <v>0</v>
      </c>
      <c r="AA83" s="22">
        <f>(IFERROR(VLOOKUP(A83,'[1]CAH 101% of cost'!$A$3:$BP$44,64,FALSE),0))</f>
        <v>817867</v>
      </c>
      <c r="AB83" s="22">
        <f t="shared" si="38"/>
        <v>817867</v>
      </c>
      <c r="AC83" s="22">
        <f>VLOOKUP(A83,'[2]2022 CAH Payments'!$B$2:$G$40,6,FALSE)</f>
        <v>142272.25</v>
      </c>
      <c r="AD83" s="22">
        <f t="shared" si="39"/>
        <v>204466.75</v>
      </c>
      <c r="AE83" s="22">
        <f t="shared" si="40"/>
        <v>266661.25</v>
      </c>
      <c r="AF83" s="22">
        <f t="shared" si="39"/>
        <v>204466.75</v>
      </c>
      <c r="AG83" s="22">
        <f t="shared" si="39"/>
        <v>204466.75</v>
      </c>
      <c r="AH83" s="22">
        <v>0</v>
      </c>
      <c r="AI83" s="22">
        <f t="shared" si="41"/>
        <v>6113.4352937864605</v>
      </c>
      <c r="AJ83" s="26"/>
      <c r="AO83" s="26"/>
    </row>
    <row r="84" spans="1:41" x14ac:dyDescent="0.3">
      <c r="A84" s="127" t="s">
        <v>185</v>
      </c>
      <c r="B84" s="38" t="s">
        <v>186</v>
      </c>
      <c r="C84" s="19" t="str">
        <f>IFERROR(VLOOKUP(A84,'[1]SHOPP UPL SFY2021 Combined OUT'!$A:$F,6,FALSE),IFERROR(VLOOKUP(A84,'[1]SHOPP UPL SFY2021 Combined INP'!$A:$F,6,FALSE),VLOOKUP(A84,'[1]DRG UPL SFY21 Combined'!$A:$J,10,FALSE)))</f>
        <v>No</v>
      </c>
      <c r="D84" s="38">
        <v>1</v>
      </c>
      <c r="E84" s="50">
        <v>0</v>
      </c>
      <c r="F84" s="21">
        <f t="shared" si="31"/>
        <v>520178.05000000005</v>
      </c>
      <c r="G84" s="22">
        <f>IF(C84="No",(VLOOKUP($A84,'[1]Cost UPL SFY21 Combine'!$B:$AS,17,FALSE)+VLOOKUP($A84,'[1]Cost UPL SFY21 Combine'!$B:$AS,18,FALSE)+VLOOKUP($A84,'[1]Cost UPL SFY21 Combine'!$B:$AS,19,FALSE)),(VLOOKUP($A84,'[1]DRG UPL SFY21 Combined'!$A:$AZ,18,FALSE)+VLOOKUP($A84,'[1]DRG UPL SFY21 Combined'!$A:$AZ,19,FALSE)+VLOOKUP($A84,'[1]DRG UPL SFY21 Combined'!$A:$AZ,22,FALSE)))</f>
        <v>117904.63</v>
      </c>
      <c r="H84" s="22"/>
      <c r="I84" s="22">
        <f t="shared" si="32"/>
        <v>117904.63</v>
      </c>
      <c r="J84" s="23">
        <f>IF($E84=1,I84/$I$93,0)</f>
        <v>0</v>
      </c>
      <c r="K84" s="22">
        <f>IFERROR(IF(C84="No",(VLOOKUP($A84,'[1]SHOPP UPL SFY2021 Combined INP'!$A:$AL,36,FALSE)),VLOOKUP($A84,'[1]DRG UPL SFY21 Combined'!$A:$AW,48,FALSE)),0)</f>
        <v>335296.53835888335</v>
      </c>
      <c r="L84" s="22">
        <f>IF($E84=1,ROUND($J84*(L$96+L$97),0),0)</f>
        <v>0</v>
      </c>
      <c r="M84" s="22">
        <f>(IFERROR(VLOOKUP($A84,'[1]CAH 101% of cost'!$A$3:$BJ$44,48,FALSE),0))</f>
        <v>227714</v>
      </c>
      <c r="N84" s="22">
        <f t="shared" si="42"/>
        <v>227714</v>
      </c>
      <c r="O84" s="22">
        <v>21945.5</v>
      </c>
      <c r="P84" s="22">
        <f t="shared" si="34"/>
        <v>56928.5</v>
      </c>
      <c r="Q84" s="22">
        <f t="shared" si="35"/>
        <v>91911.5</v>
      </c>
      <c r="R84" s="22">
        <f t="shared" si="36"/>
        <v>56928.5</v>
      </c>
      <c r="S84" s="22">
        <f t="shared" si="36"/>
        <v>56928.5</v>
      </c>
      <c r="T84" s="22">
        <v>0</v>
      </c>
      <c r="U84" s="22">
        <f t="shared" si="37"/>
        <v>107582.53835888335</v>
      </c>
      <c r="V84" s="22"/>
      <c r="W84" s="22">
        <f>IFERROR(VLOOKUP($A84,'[1]Cost UPL SFY21 Combine'!$B:$AG,31,FALSE),0)+IFERROR(VLOOKUP($A84,'[1]Cost UPL SFY21 Combine'!$B:$AG,32,FALSE),0)</f>
        <v>402273.42000000004</v>
      </c>
      <c r="X84" s="23">
        <f>IF($E84=1,W84/$W$93,0)</f>
        <v>0</v>
      </c>
      <c r="Y84" s="22">
        <f>IFERROR(VLOOKUP($A84,'[1]SHOPP UPL SFY2021 Combined OUT'!$A:$AH,33,FALSE),0)</f>
        <v>338964.25159224856</v>
      </c>
      <c r="Z84" s="24">
        <f>IF($E84=1,ROUND($X84*(Z$96+Z$97),0),0)</f>
        <v>0</v>
      </c>
      <c r="AA84" s="22">
        <f>(IFERROR(VLOOKUP(A84,'[1]CAH 101% of cost'!$A$3:$BP$44,64,FALSE),0))</f>
        <v>303731</v>
      </c>
      <c r="AB84" s="22">
        <f t="shared" si="38"/>
        <v>303731</v>
      </c>
      <c r="AC84" s="22">
        <f>VLOOKUP(A84,'[2]2022 CAH Payments'!$B$2:$G$40,6,FALSE)</f>
        <v>63911.5</v>
      </c>
      <c r="AD84" s="22">
        <f t="shared" si="39"/>
        <v>75932.75</v>
      </c>
      <c r="AE84" s="22">
        <f t="shared" si="40"/>
        <v>87954</v>
      </c>
      <c r="AF84" s="22">
        <f t="shared" si="39"/>
        <v>75932.75</v>
      </c>
      <c r="AG84" s="22">
        <f t="shared" si="39"/>
        <v>75932.75</v>
      </c>
      <c r="AH84" s="22">
        <v>0</v>
      </c>
      <c r="AI84" s="22">
        <f t="shared" si="41"/>
        <v>35233.251592248562</v>
      </c>
      <c r="AJ84" s="26"/>
      <c r="AO84" s="26"/>
    </row>
    <row r="85" spans="1:41" x14ac:dyDescent="0.3">
      <c r="A85" s="112" t="s">
        <v>187</v>
      </c>
      <c r="B85" s="18" t="s">
        <v>188</v>
      </c>
      <c r="C85" s="19" t="str">
        <f>IFERROR(VLOOKUP(A85,'[1]SHOPP UPL SFY2021 Combined OUT'!$A:$F,6,FALSE),IFERROR(VLOOKUP(A85,'[1]SHOPP UPL SFY2021 Combined INP'!$A:$F,6,FALSE),VLOOKUP(A85,'[1]DRG UPL SFY21 Combined'!$A:$J,10,FALSE)))</f>
        <v>No</v>
      </c>
      <c r="D85" s="18">
        <v>1</v>
      </c>
      <c r="E85" s="50">
        <v>0</v>
      </c>
      <c r="F85" s="21">
        <f t="shared" si="31"/>
        <v>175372.59000000008</v>
      </c>
      <c r="G85" s="22">
        <f>IF(C85="No",(VLOOKUP($A85,'[1]Cost UPL SFY21 Combine'!$B:$AS,17,FALSE)+VLOOKUP($A85,'[1]Cost UPL SFY21 Combine'!$B:$AS,18,FALSE)+VLOOKUP($A85,'[1]Cost UPL SFY21 Combine'!$B:$AS,19,FALSE)),(VLOOKUP($A85,'[1]DRG UPL SFY21 Combined'!$A:$AZ,18,FALSE)+VLOOKUP($A85,'[1]DRG UPL SFY21 Combined'!$A:$AZ,19,FALSE)+VLOOKUP($A85,'[1]DRG UPL SFY21 Combined'!$A:$AZ,22,FALSE)))</f>
        <v>55574.630000000005</v>
      </c>
      <c r="H85" s="22"/>
      <c r="I85" s="22">
        <f t="shared" si="32"/>
        <v>55574.630000000005</v>
      </c>
      <c r="J85" s="23">
        <f>IF($E85=1,I85/$I$93,0)</f>
        <v>0</v>
      </c>
      <c r="K85" s="22">
        <f>IFERROR(IF(C85="No",(VLOOKUP($A85,'[1]SHOPP UPL SFY2021 Combined INP'!$A:$AL,36,FALSE)),VLOOKUP($A85,'[1]DRG UPL SFY21 Combined'!$A:$AW,48,FALSE)),0)</f>
        <v>53516.126102026348</v>
      </c>
      <c r="L85" s="22">
        <f>IF($E85=1,ROUND($J85*(L$96+L$97),0),0)</f>
        <v>0</v>
      </c>
      <c r="M85" s="22">
        <f>(IFERROR(VLOOKUP($A85,'[1]CAH 101% of cost'!$A$3:$BJ$44,48,FALSE),0))</f>
        <v>27847</v>
      </c>
      <c r="N85" s="22">
        <f t="shared" si="42"/>
        <v>27847</v>
      </c>
      <c r="O85" s="22">
        <v>2650.5</v>
      </c>
      <c r="P85" s="22">
        <f t="shared" si="34"/>
        <v>6961.75</v>
      </c>
      <c r="Q85" s="22">
        <f t="shared" si="35"/>
        <v>11273</v>
      </c>
      <c r="R85" s="22">
        <f t="shared" si="36"/>
        <v>6961.75</v>
      </c>
      <c r="S85" s="22">
        <f t="shared" si="36"/>
        <v>6961.75</v>
      </c>
      <c r="T85" s="22">
        <v>0</v>
      </c>
      <c r="U85" s="22">
        <f t="shared" si="37"/>
        <v>25669.126102026348</v>
      </c>
      <c r="V85" s="22"/>
      <c r="W85" s="22">
        <f>IFERROR(VLOOKUP($A85,'[1]Cost UPL SFY21 Combine'!$B:$AG,31,FALSE),0)+IFERROR(VLOOKUP($A85,'[1]Cost UPL SFY21 Combine'!$B:$AG,32,FALSE),0)</f>
        <v>119797.96000000009</v>
      </c>
      <c r="X85" s="23">
        <f>IF($E85=1,W85/$W$93,0)</f>
        <v>0</v>
      </c>
      <c r="Y85" s="22">
        <f>IFERROR(VLOOKUP($A85,'[1]SHOPP UPL SFY2021 Combined OUT'!$A:$AH,33,FALSE),0)</f>
        <v>264147.1763596331</v>
      </c>
      <c r="Z85" s="24">
        <f>IF($E85=1,ROUND($X85*(Z$96+Z$97),0),0)</f>
        <v>0</v>
      </c>
      <c r="AA85" s="22">
        <f>(IFERROR(VLOOKUP(A85,'[1]CAH 101% of cost'!$A$3:$BP$44,64,FALSE),0))</f>
        <v>258759</v>
      </c>
      <c r="AB85" s="22">
        <f t="shared" si="38"/>
        <v>258759</v>
      </c>
      <c r="AC85" s="22">
        <f>VLOOKUP(A85,'[2]2022 CAH Payments'!$B$2:$G$40,6,FALSE)</f>
        <v>50714</v>
      </c>
      <c r="AD85" s="22">
        <f t="shared" si="39"/>
        <v>64689.75</v>
      </c>
      <c r="AE85" s="22">
        <f t="shared" si="40"/>
        <v>78665.5</v>
      </c>
      <c r="AF85" s="22">
        <f t="shared" si="39"/>
        <v>64689.75</v>
      </c>
      <c r="AG85" s="22">
        <f t="shared" si="39"/>
        <v>64689.75</v>
      </c>
      <c r="AH85" s="22">
        <v>0</v>
      </c>
      <c r="AI85" s="22">
        <f t="shared" si="41"/>
        <v>5388.1763596331002</v>
      </c>
      <c r="AJ85" s="26"/>
      <c r="AO85" s="26"/>
    </row>
    <row r="86" spans="1:41" x14ac:dyDescent="0.3">
      <c r="A86" s="109" t="s">
        <v>189</v>
      </c>
      <c r="B86" s="18" t="s">
        <v>190</v>
      </c>
      <c r="C86" s="19" t="str">
        <f>IFERROR(VLOOKUP(A86,'[1]SHOPP UPL SFY2021 Combined OUT'!$A:$F,6,FALSE),IFERROR(VLOOKUP(A86,'[1]SHOPP UPL SFY2021 Combined INP'!$A:$F,6,FALSE),VLOOKUP(A86,'[1]DRG UPL SFY21 Combined'!$A:$J,10,FALSE)))</f>
        <v>No</v>
      </c>
      <c r="D86" s="18">
        <v>1</v>
      </c>
      <c r="E86" s="50">
        <v>0</v>
      </c>
      <c r="F86" s="21">
        <f t="shared" si="31"/>
        <v>235685.38740610314</v>
      </c>
      <c r="G86" s="22">
        <f>IF(C86="No",(VLOOKUP($A86,'[1]Cost UPL SFY21 Combine'!$B:$AS,17,FALSE)+VLOOKUP($A86,'[1]Cost UPL SFY21 Combine'!$B:$AS,18,FALSE)+VLOOKUP($A86,'[1]Cost UPL SFY21 Combine'!$B:$AS,19,FALSE)),(VLOOKUP($A86,'[1]DRG UPL SFY21 Combined'!$A:$AZ,18,FALSE)+VLOOKUP($A86,'[1]DRG UPL SFY21 Combined'!$A:$AZ,19,FALSE)+VLOOKUP($A86,'[1]DRG UPL SFY21 Combined'!$A:$AZ,22,FALSE)))</f>
        <v>10419.36</v>
      </c>
      <c r="H86" s="22"/>
      <c r="I86" s="22">
        <f t="shared" si="32"/>
        <v>10419.36</v>
      </c>
      <c r="J86" s="23">
        <f>IF($E86=1,I86/$I$93,0)</f>
        <v>0</v>
      </c>
      <c r="K86" s="22">
        <f>IFERROR(IF(C86="No",(VLOOKUP($A86,'[1]SHOPP UPL SFY2021 Combined INP'!$A:$AL,36,FALSE)),VLOOKUP($A86,'[1]DRG UPL SFY21 Combined'!$A:$AW,48,FALSE)),0)</f>
        <v>130503.76976695895</v>
      </c>
      <c r="L86" s="22">
        <f>IF($E86=1,ROUND($J86*(L$96+L$97),0),0)</f>
        <v>0</v>
      </c>
      <c r="M86" s="22">
        <f>(IFERROR(VLOOKUP($A86,'[1]CAH 101% of cost'!$A$3:$BJ$44,48,FALSE),0))</f>
        <v>49426</v>
      </c>
      <c r="N86" s="22">
        <f t="shared" si="42"/>
        <v>49426</v>
      </c>
      <c r="O86" s="22">
        <v>1841</v>
      </c>
      <c r="P86" s="22">
        <f t="shared" si="34"/>
        <v>12356.5</v>
      </c>
      <c r="Q86" s="22">
        <f t="shared" si="35"/>
        <v>22872</v>
      </c>
      <c r="R86" s="22">
        <f t="shared" si="36"/>
        <v>12356.5</v>
      </c>
      <c r="S86" s="22">
        <f t="shared" si="36"/>
        <v>12356.5</v>
      </c>
      <c r="T86" s="22">
        <v>0</v>
      </c>
      <c r="U86" s="22">
        <f t="shared" si="37"/>
        <v>81077.769766958954</v>
      </c>
      <c r="V86" s="22"/>
      <c r="W86" s="22">
        <f>IFERROR(VLOOKUP($A86,'[1]Cost UPL SFY21 Combine'!$B:$AG,31,FALSE),0)+IFERROR(VLOOKUP($A86,'[1]Cost UPL SFY21 Combine'!$B:$AG,32,FALSE),0)</f>
        <v>225266.02740610312</v>
      </c>
      <c r="X86" s="23">
        <f>IF($E86=1,W86/$W$93,0)</f>
        <v>0</v>
      </c>
      <c r="Y86" s="22">
        <f>IFERROR(VLOOKUP($A86,'[1]SHOPP UPL SFY2021 Combined OUT'!$A:$AH,33,FALSE),0)</f>
        <v>330576.29740490136</v>
      </c>
      <c r="Z86" s="24">
        <f>IF($E86=1,ROUND($X86*(Z$96+Z$97),0),0)</f>
        <v>0</v>
      </c>
      <c r="AA86" s="22">
        <f>(IFERROR(VLOOKUP(A86,'[1]CAH 101% of cost'!$A$3:$BP$44,64,FALSE),0))</f>
        <v>379781</v>
      </c>
      <c r="AB86" s="22">
        <f t="shared" si="38"/>
        <v>379781</v>
      </c>
      <c r="AC86" s="22">
        <f>VLOOKUP(A86,'[2]2022 CAH Payments'!$B$2:$G$40,6,FALSE)</f>
        <v>92879.75</v>
      </c>
      <c r="AD86" s="22">
        <f t="shared" si="39"/>
        <v>94945.25</v>
      </c>
      <c r="AE86" s="22">
        <f t="shared" si="40"/>
        <v>97010.75</v>
      </c>
      <c r="AF86" s="22">
        <f t="shared" si="39"/>
        <v>94945.25</v>
      </c>
      <c r="AG86" s="22">
        <f t="shared" si="39"/>
        <v>94945.25</v>
      </c>
      <c r="AH86" s="22">
        <v>0</v>
      </c>
      <c r="AI86" s="22">
        <f t="shared" si="41"/>
        <v>-49204.702595098643</v>
      </c>
      <c r="AJ86" s="26"/>
      <c r="AO86" s="26"/>
    </row>
    <row r="87" spans="1:41" x14ac:dyDescent="0.3">
      <c r="A87" s="113" t="s">
        <v>191</v>
      </c>
      <c r="B87" s="18" t="s">
        <v>192</v>
      </c>
      <c r="C87" s="19" t="str">
        <f>IFERROR(VLOOKUP(A87,'[1]SHOPP UPL SFY2021 Combined OUT'!$A:$F,6,FALSE),IFERROR(VLOOKUP(A87,'[1]SHOPP UPL SFY2021 Combined INP'!$A:$F,6,FALSE),VLOOKUP(A87,'[1]DRG UPL SFY21 Combined'!$A:$J,10,FALSE)))</f>
        <v>No</v>
      </c>
      <c r="D87" s="18">
        <v>1</v>
      </c>
      <c r="E87" s="50">
        <v>0</v>
      </c>
      <c r="F87" s="21">
        <f t="shared" si="31"/>
        <v>319727.19982749468</v>
      </c>
      <c r="G87" s="22">
        <f>IF(C87="No",(VLOOKUP($A87,'[1]Cost UPL SFY21 Combine'!$B:$AS,17,FALSE)+VLOOKUP($A87,'[1]Cost UPL SFY21 Combine'!$B:$AS,18,FALSE)+VLOOKUP($A87,'[1]Cost UPL SFY21 Combine'!$B:$AS,19,FALSE)),(VLOOKUP($A87,'[1]DRG UPL SFY21 Combined'!$A:$AZ,18,FALSE)+VLOOKUP($A87,'[1]DRG UPL SFY21 Combined'!$A:$AZ,19,FALSE)+VLOOKUP($A87,'[1]DRG UPL SFY21 Combined'!$A:$AZ,22,FALSE)))</f>
        <v>148096.94</v>
      </c>
      <c r="H87" s="22"/>
      <c r="I87" s="22">
        <f t="shared" si="32"/>
        <v>148096.94</v>
      </c>
      <c r="J87" s="23">
        <f>IF($E87=1,I87/$I$93,0)</f>
        <v>0</v>
      </c>
      <c r="K87" s="22">
        <f>IFERROR(IF(C87="No",(VLOOKUP($A87,'[1]SHOPP UPL SFY2021 Combined INP'!$A:$AL,36,FALSE)),VLOOKUP($A87,'[1]DRG UPL SFY21 Combined'!$A:$AW,48,FALSE)),0)</f>
        <v>191765.65385701042</v>
      </c>
      <c r="L87" s="22">
        <f>IF($E87=1,ROUND($J87*(L$96+L$97),0),0)</f>
        <v>0</v>
      </c>
      <c r="M87" s="22">
        <f>(IFERROR(VLOOKUP($A87,'[1]CAH 101% of cost'!$A$3:$BJ$44,48,FALSE),0))</f>
        <v>223169</v>
      </c>
      <c r="N87" s="22">
        <f t="shared" si="42"/>
        <v>223169</v>
      </c>
      <c r="O87" s="22">
        <v>68957.25</v>
      </c>
      <c r="P87" s="22">
        <f t="shared" si="34"/>
        <v>55792.25</v>
      </c>
      <c r="Q87" s="22">
        <f t="shared" si="35"/>
        <v>42627.25</v>
      </c>
      <c r="R87" s="22">
        <f t="shared" si="36"/>
        <v>55792.25</v>
      </c>
      <c r="S87" s="22">
        <f t="shared" si="36"/>
        <v>55792.25</v>
      </c>
      <c r="T87" s="22">
        <v>0</v>
      </c>
      <c r="U87" s="22">
        <f t="shared" si="37"/>
        <v>-31403.346142989583</v>
      </c>
      <c r="V87" s="22"/>
      <c r="W87" s="22">
        <f>IFERROR(VLOOKUP($A87,'[1]Cost UPL SFY21 Combine'!$B:$AG,31,FALSE),0)+IFERROR(VLOOKUP($A87,'[1]Cost UPL SFY21 Combine'!$B:$AG,32,FALSE),0)</f>
        <v>171630.25982749468</v>
      </c>
      <c r="X87" s="23">
        <f>IF($E87=1,W87/$W$93,0)</f>
        <v>0</v>
      </c>
      <c r="Y87" s="22">
        <f>IFERROR(VLOOKUP($A87,'[1]SHOPP UPL SFY2021 Combined OUT'!$A:$AH,33,FALSE),0)</f>
        <v>340125.10575253522</v>
      </c>
      <c r="Z87" s="24">
        <f>IF($E87=1,ROUND($X87*(Z$96+Z$97),0),0)</f>
        <v>0</v>
      </c>
      <c r="AA87" s="22">
        <f>(IFERROR(VLOOKUP(A87,'[1]CAH 101% of cost'!$A$3:$BP$44,64,FALSE),0))</f>
        <v>436212</v>
      </c>
      <c r="AB87" s="22">
        <f t="shared" si="38"/>
        <v>436212</v>
      </c>
      <c r="AC87" s="22">
        <f>VLOOKUP(A87,'[2]2022 CAH Payments'!$B$2:$G$40,6,FALSE)</f>
        <v>98761.5</v>
      </c>
      <c r="AD87" s="22">
        <f t="shared" si="39"/>
        <v>109053</v>
      </c>
      <c r="AE87" s="22">
        <f t="shared" si="40"/>
        <v>119344.5</v>
      </c>
      <c r="AF87" s="22">
        <f t="shared" si="39"/>
        <v>109053</v>
      </c>
      <c r="AG87" s="22">
        <f t="shared" si="39"/>
        <v>109053</v>
      </c>
      <c r="AH87" s="22">
        <v>0</v>
      </c>
      <c r="AI87" s="22">
        <f t="shared" si="41"/>
        <v>-96086.894247464777</v>
      </c>
      <c r="AJ87" s="26"/>
      <c r="AO87" s="26"/>
    </row>
    <row r="88" spans="1:41" x14ac:dyDescent="0.3">
      <c r="A88" s="109" t="s">
        <v>193</v>
      </c>
      <c r="B88" s="18" t="s">
        <v>194</v>
      </c>
      <c r="C88" s="19" t="str">
        <f>IFERROR(VLOOKUP(A88,'[1]SHOPP UPL SFY2021 Combined OUT'!$A:$F,6,FALSE),IFERROR(VLOOKUP(A88,'[1]SHOPP UPL SFY2021 Combined INP'!$A:$F,6,FALSE),VLOOKUP(A88,'[1]DRG UPL SFY21 Combined'!$A:$J,10,FALSE)))</f>
        <v>No</v>
      </c>
      <c r="D88" s="18">
        <v>1</v>
      </c>
      <c r="E88" s="50">
        <v>0</v>
      </c>
      <c r="F88" s="21">
        <f t="shared" si="31"/>
        <v>3279852.1057315613</v>
      </c>
      <c r="G88" s="22">
        <f>IF(C88="No",(VLOOKUP($A88,'[1]Cost UPL SFY21 Combine'!$B:$AS,17,FALSE)+VLOOKUP($A88,'[1]Cost UPL SFY21 Combine'!$B:$AS,18,FALSE)+VLOOKUP($A88,'[1]Cost UPL SFY21 Combine'!$B:$AS,19,FALSE)),(VLOOKUP($A88,'[1]DRG UPL SFY21 Combined'!$A:$AZ,18,FALSE)+VLOOKUP($A88,'[1]DRG UPL SFY21 Combined'!$A:$AZ,19,FALSE)+VLOOKUP($A88,'[1]DRG UPL SFY21 Combined'!$A:$AZ,22,FALSE)))</f>
        <v>489038.34</v>
      </c>
      <c r="H88" s="22"/>
      <c r="I88" s="22">
        <f t="shared" si="32"/>
        <v>489038.34</v>
      </c>
      <c r="J88" s="23">
        <f>IF($E88=1,I88/$I$93,0)</f>
        <v>0</v>
      </c>
      <c r="K88" s="22">
        <f>IFERROR(IF(C88="No",(VLOOKUP($A88,'[1]SHOPP UPL SFY2021 Combined INP'!$A:$AL,36,FALSE)),VLOOKUP($A88,'[1]DRG UPL SFY21 Combined'!$A:$AW,48,FALSE)),0)</f>
        <v>26845.272699686524</v>
      </c>
      <c r="L88" s="22">
        <f>IF($E88=1,ROUND($J88*(L$96+L$97),0),0)</f>
        <v>0</v>
      </c>
      <c r="M88" s="22">
        <f>(IFERROR(VLOOKUP($A88,'[1]CAH 101% of cost'!$A$3:$BJ$44,48,FALSE),0))</f>
        <v>51736</v>
      </c>
      <c r="N88" s="22">
        <f t="shared" si="42"/>
        <v>51736</v>
      </c>
      <c r="O88" s="22">
        <v>0</v>
      </c>
      <c r="P88" s="22">
        <f t="shared" si="34"/>
        <v>12934</v>
      </c>
      <c r="Q88" s="22">
        <f t="shared" si="35"/>
        <v>25868</v>
      </c>
      <c r="R88" s="22">
        <f t="shared" si="36"/>
        <v>12934</v>
      </c>
      <c r="S88" s="22">
        <f t="shared" si="36"/>
        <v>12934</v>
      </c>
      <c r="T88" s="22">
        <v>0</v>
      </c>
      <c r="U88" s="22">
        <f t="shared" si="37"/>
        <v>-24890.727300313476</v>
      </c>
      <c r="V88" s="22"/>
      <c r="W88" s="22">
        <f>IFERROR(VLOOKUP($A88,'[1]Cost UPL SFY21 Combine'!$B:$AG,31,FALSE),0)+IFERROR(VLOOKUP($A88,'[1]Cost UPL SFY21 Combine'!$B:$AG,32,FALSE),0)</f>
        <v>2790813.7657315615</v>
      </c>
      <c r="X88" s="23">
        <f>IF($E88=1,W88/$W$93,0)</f>
        <v>0</v>
      </c>
      <c r="Y88" s="22">
        <f>IFERROR(VLOOKUP($A88,'[1]SHOPP UPL SFY2021 Combined OUT'!$A:$AH,33,FALSE),0)</f>
        <v>2016212.7524917228</v>
      </c>
      <c r="Z88" s="24">
        <f>IF($E88=1,ROUND($X88*(Z$96+Z$97),0),0)</f>
        <v>0</v>
      </c>
      <c r="AA88" s="22">
        <f>(IFERROR(VLOOKUP(A88,'[1]CAH 101% of cost'!$A$3:$BP$44,64,FALSE),0))</f>
        <v>1948528</v>
      </c>
      <c r="AB88" s="22">
        <f t="shared" si="38"/>
        <v>1948528</v>
      </c>
      <c r="AC88" s="22">
        <f>VLOOKUP(A88,'[2]2022 CAH Payments'!$B$2:$G$40,6,FALSE)</f>
        <v>250155.5</v>
      </c>
      <c r="AD88" s="22">
        <f t="shared" si="39"/>
        <v>487132</v>
      </c>
      <c r="AE88" s="22">
        <f t="shared" si="40"/>
        <v>724108.5</v>
      </c>
      <c r="AF88" s="22">
        <f t="shared" si="39"/>
        <v>487132</v>
      </c>
      <c r="AG88" s="22">
        <f t="shared" si="39"/>
        <v>487132</v>
      </c>
      <c r="AH88" s="22">
        <v>0</v>
      </c>
      <c r="AI88" s="22">
        <f t="shared" si="41"/>
        <v>67684.752491722815</v>
      </c>
      <c r="AJ88" s="26"/>
      <c r="AO88" s="26"/>
    </row>
    <row r="89" spans="1:41" ht="13.5" customHeight="1" x14ac:dyDescent="0.3">
      <c r="A89" s="109" t="s">
        <v>195</v>
      </c>
      <c r="B89" s="18" t="s">
        <v>196</v>
      </c>
      <c r="C89" s="19" t="str">
        <f>IFERROR(VLOOKUP(A89,'[1]SHOPP UPL SFY2021 Combined OUT'!$A:$F,6,FALSE),IFERROR(VLOOKUP(A89,'[1]SHOPP UPL SFY2021 Combined INP'!$A:$F,6,FALSE),VLOOKUP(A89,'[1]DRG UPL SFY21 Combined'!$A:$J,10,FALSE)))</f>
        <v>No</v>
      </c>
      <c r="D89" s="18">
        <v>1</v>
      </c>
      <c r="E89" s="50">
        <v>0</v>
      </c>
      <c r="F89" s="21">
        <f t="shared" si="31"/>
        <v>384233.3485459683</v>
      </c>
      <c r="G89" s="22">
        <f>IF(C89="No",(VLOOKUP($A89,'[1]Cost UPL SFY21 Combine'!$B:$AS,17,FALSE)+VLOOKUP($A89,'[1]Cost UPL SFY21 Combine'!$B:$AS,18,FALSE)+VLOOKUP($A89,'[1]Cost UPL SFY21 Combine'!$B:$AS,19,FALSE)),(VLOOKUP($A89,'[1]DRG UPL SFY21 Combined'!$A:$AZ,18,FALSE)+VLOOKUP($A89,'[1]DRG UPL SFY21 Combined'!$A:$AZ,19,FALSE)+VLOOKUP($A89,'[1]DRG UPL SFY21 Combined'!$A:$AZ,22,FALSE)))</f>
        <v>2640.09</v>
      </c>
      <c r="H89" s="22"/>
      <c r="I89" s="22">
        <f t="shared" si="32"/>
        <v>2640.09</v>
      </c>
      <c r="J89" s="23">
        <f>IF($E89=1,I89/$I$93,0)</f>
        <v>0</v>
      </c>
      <c r="K89" s="22">
        <f>IFERROR(IF(C89="No",(VLOOKUP($A89,'[1]SHOPP UPL SFY2021 Combined INP'!$A:$AL,36,FALSE)),VLOOKUP($A89,'[1]DRG UPL SFY21 Combined'!$A:$AW,48,FALSE)),0)</f>
        <v>96097.433712344107</v>
      </c>
      <c r="L89" s="22">
        <f>IF($E89=1,ROUND($J89*(L$96+L$97),0),0)</f>
        <v>0</v>
      </c>
      <c r="M89" s="22">
        <f>(IFERROR(VLOOKUP($A89,'[1]CAH 101% of cost'!$A$3:$BJ$44,48,FALSE),0))</f>
        <v>13385</v>
      </c>
      <c r="N89" s="22">
        <f t="shared" si="42"/>
        <v>13385</v>
      </c>
      <c r="O89" s="22">
        <v>4305</v>
      </c>
      <c r="P89" s="22">
        <f t="shared" si="34"/>
        <v>3346.25</v>
      </c>
      <c r="Q89" s="22">
        <f t="shared" si="35"/>
        <v>2387.5</v>
      </c>
      <c r="R89" s="22">
        <f t="shared" si="36"/>
        <v>3346.25</v>
      </c>
      <c r="S89" s="22">
        <f t="shared" si="36"/>
        <v>3346.25</v>
      </c>
      <c r="T89" s="22">
        <v>0</v>
      </c>
      <c r="U89" s="22">
        <f t="shared" si="37"/>
        <v>82712.433712344107</v>
      </c>
      <c r="V89" s="22"/>
      <c r="W89" s="22">
        <f>IFERROR(VLOOKUP($A89,'[1]Cost UPL SFY21 Combine'!$B:$AG,31,FALSE),0)+IFERROR(VLOOKUP($A89,'[1]Cost UPL SFY21 Combine'!$B:$AG,32,FALSE),0)</f>
        <v>381593.25854596827</v>
      </c>
      <c r="X89" s="23">
        <f>IF($E89=1,W89/$W$93,0)</f>
        <v>0</v>
      </c>
      <c r="Y89" s="22">
        <f>IFERROR(VLOOKUP($A89,'[1]SHOPP UPL SFY2021 Combined OUT'!$A:$AH,33,FALSE),0)</f>
        <v>1457916.7894031506</v>
      </c>
      <c r="Z89" s="24">
        <f>IF($E89=1,ROUND($X89*(Z$96+Z$97),0),0)</f>
        <v>0</v>
      </c>
      <c r="AA89" s="22">
        <f>(IFERROR(VLOOKUP(A89,'[1]CAH 101% of cost'!$A$3:$BP$44,64,FALSE),0))</f>
        <v>1559322</v>
      </c>
      <c r="AB89" s="22">
        <f t="shared" si="38"/>
        <v>1559322</v>
      </c>
      <c r="AC89" s="22">
        <f>VLOOKUP(A89,'[2]2022 CAH Payments'!$B$2:$G$40,6,FALSE)</f>
        <v>363836.5</v>
      </c>
      <c r="AD89" s="22">
        <f t="shared" ref="AD89:AG90" si="43">ROUND($AB89*25%,2)</f>
        <v>389830.5</v>
      </c>
      <c r="AE89" s="22">
        <f t="shared" si="40"/>
        <v>415824.5</v>
      </c>
      <c r="AF89" s="22">
        <f t="shared" si="43"/>
        <v>389830.5</v>
      </c>
      <c r="AG89" s="22">
        <f t="shared" si="43"/>
        <v>389830.5</v>
      </c>
      <c r="AH89" s="22">
        <v>0</v>
      </c>
      <c r="AI89" s="22">
        <f t="shared" si="41"/>
        <v>-101405.21059684944</v>
      </c>
      <c r="AJ89" s="26"/>
      <c r="AO89" s="26"/>
    </row>
    <row r="90" spans="1:41" x14ac:dyDescent="0.3">
      <c r="A90" s="109" t="s">
        <v>197</v>
      </c>
      <c r="B90" s="18" t="s">
        <v>198</v>
      </c>
      <c r="C90" s="19" t="str">
        <f>IFERROR(VLOOKUP(A90,'[1]SHOPP UPL SFY2021 Combined OUT'!$A:$F,6,FALSE),IFERROR(VLOOKUP(A90,'[1]SHOPP UPL SFY2021 Combined INP'!$A:$F,6,FALSE),VLOOKUP(A90,'[1]DRG UPL SFY21 Combined'!$A:$J,10,FALSE)))</f>
        <v>No</v>
      </c>
      <c r="D90" s="18">
        <v>1</v>
      </c>
      <c r="E90" s="50">
        <v>0</v>
      </c>
      <c r="F90" s="21">
        <f t="shared" si="31"/>
        <v>788359.25999999896</v>
      </c>
      <c r="G90" s="22">
        <f>IF(C90="No",(VLOOKUP($A90,'[1]Cost UPL SFY21 Combine'!$B:$AS,17,FALSE)+VLOOKUP($A90,'[1]Cost UPL SFY21 Combine'!$B:$AS,18,FALSE)+VLOOKUP($A90,'[1]Cost UPL SFY21 Combine'!$B:$AS,19,FALSE)),(VLOOKUP($A90,'[1]DRG UPL SFY21 Combined'!$A:$AZ,18,FALSE)+VLOOKUP($A90,'[1]DRG UPL SFY21 Combined'!$A:$AZ,19,FALSE)+VLOOKUP($A90,'[1]DRG UPL SFY21 Combined'!$A:$AZ,22,FALSE)))</f>
        <v>348333.05</v>
      </c>
      <c r="H90" s="22"/>
      <c r="I90" s="22">
        <f t="shared" si="32"/>
        <v>348333.05</v>
      </c>
      <c r="J90" s="23">
        <f>IF($E90=1,I90/$I$93,0)</f>
        <v>0</v>
      </c>
      <c r="K90" s="22">
        <f>IFERROR(IF(C90="No",(VLOOKUP($A90,'[1]SHOPP UPL SFY2021 Combined INP'!$A:$AL,36,FALSE)),VLOOKUP($A90,'[1]DRG UPL SFY21 Combined'!$A:$AW,48,FALSE)),0)</f>
        <v>415733.47978554649</v>
      </c>
      <c r="L90" s="22">
        <f>IF($E90=1,ROUND($J90*(L$96+L$97),0),0)</f>
        <v>0</v>
      </c>
      <c r="M90" s="22">
        <f>(IFERROR(VLOOKUP($A90,'[1]CAH 101% of cost'!$A$3:$BJ$44,48,FALSE),0))</f>
        <v>571918</v>
      </c>
      <c r="N90" s="22">
        <f t="shared" si="42"/>
        <v>571918</v>
      </c>
      <c r="O90" s="22">
        <v>68632.75</v>
      </c>
      <c r="P90" s="22">
        <f t="shared" si="34"/>
        <v>142979.5</v>
      </c>
      <c r="Q90" s="22">
        <f t="shared" si="35"/>
        <v>217326.25</v>
      </c>
      <c r="R90" s="22">
        <f t="shared" si="36"/>
        <v>142979.5</v>
      </c>
      <c r="S90" s="22">
        <f t="shared" si="36"/>
        <v>142979.5</v>
      </c>
      <c r="T90" s="22">
        <v>0</v>
      </c>
      <c r="U90" s="22">
        <f t="shared" si="37"/>
        <v>-156184.52021445351</v>
      </c>
      <c r="V90" s="22"/>
      <c r="W90" s="22">
        <f>IFERROR(VLOOKUP($A90,'[1]Cost UPL SFY21 Combine'!$B:$AG,31,FALSE),0)+IFERROR(VLOOKUP($A90,'[1]Cost UPL SFY21 Combine'!$B:$AG,32,FALSE),0)</f>
        <v>440026.20999999897</v>
      </c>
      <c r="X90" s="23">
        <f>IF($E90=1,W90/$W$93,0)</f>
        <v>0</v>
      </c>
      <c r="Y90" s="22">
        <f>IFERROR(VLOOKUP($A90,'[1]SHOPP UPL SFY2021 Combined OUT'!$A:$AH,33,FALSE),0)</f>
        <v>1786525.3791971295</v>
      </c>
      <c r="Z90" s="24">
        <f>IF($E90=1,ROUND($X90*(Z$96+Z$97),0),0)</f>
        <v>0</v>
      </c>
      <c r="AA90" s="22">
        <f>(IFERROR(VLOOKUP(A90,'[1]CAH 101% of cost'!$A$3:$BP$44,64,FALSE),0))</f>
        <v>1752802</v>
      </c>
      <c r="AB90" s="22">
        <f t="shared" si="38"/>
        <v>1752802</v>
      </c>
      <c r="AC90" s="22">
        <f>VLOOKUP(A90,'[2]2022 CAH Payments'!$B$2:$G$40,6,FALSE)</f>
        <v>369541.25</v>
      </c>
      <c r="AD90" s="22">
        <f t="shared" si="43"/>
        <v>438200.5</v>
      </c>
      <c r="AE90" s="22">
        <f t="shared" si="40"/>
        <v>506859.75</v>
      </c>
      <c r="AF90" s="22">
        <f t="shared" si="43"/>
        <v>438200.5</v>
      </c>
      <c r="AG90" s="22">
        <f t="shared" si="43"/>
        <v>438200.5</v>
      </c>
      <c r="AH90" s="22">
        <v>0</v>
      </c>
      <c r="AI90" s="22">
        <f t="shared" si="41"/>
        <v>33723.379197129514</v>
      </c>
      <c r="AJ90" s="26"/>
      <c r="AO90" s="26"/>
    </row>
    <row r="91" spans="1:41" x14ac:dyDescent="0.3">
      <c r="A91" s="53"/>
      <c r="B91" s="38"/>
      <c r="C91" s="19"/>
      <c r="D91" s="38"/>
      <c r="E91" s="50"/>
      <c r="F91" s="21"/>
      <c r="G91" s="22"/>
      <c r="H91" s="22"/>
      <c r="I91" s="22"/>
      <c r="J91" s="23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3"/>
      <c r="Y91" s="22"/>
      <c r="Z91" s="24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41" x14ac:dyDescent="0.3">
      <c r="A92" s="54"/>
      <c r="B92" s="54"/>
      <c r="E92" s="50"/>
      <c r="F92" s="21"/>
      <c r="G92" s="22"/>
      <c r="H92" s="22"/>
      <c r="I92" s="22"/>
      <c r="J92" s="23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3"/>
      <c r="Y92" s="22"/>
      <c r="Z92" s="24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41" hidden="1" x14ac:dyDescent="0.3">
      <c r="A93" s="17"/>
      <c r="E93" s="20"/>
      <c r="F93" s="21"/>
      <c r="G93" s="21">
        <f>SUM(G5:G70)</f>
        <v>536175096.40999979</v>
      </c>
      <c r="H93" s="21">
        <f>SUM(H5:H70)</f>
        <v>0</v>
      </c>
      <c r="I93" s="21">
        <f>SUM(I5:I70)</f>
        <v>536203443.52999979</v>
      </c>
      <c r="J93" s="55">
        <f>SUM(J5:J91)</f>
        <v>1.0000000000000007</v>
      </c>
      <c r="K93" s="22">
        <f>SUM(K5:K91)</f>
        <v>455866061.09958255</v>
      </c>
      <c r="L93" s="22">
        <f>SUM(L5:L91)</f>
        <v>455287614</v>
      </c>
      <c r="M93" s="22">
        <f>SUM(M5:M91)</f>
        <v>3207848</v>
      </c>
      <c r="N93" s="22">
        <f>SUM(N5:N91)</f>
        <v>458495462</v>
      </c>
      <c r="O93" s="22">
        <v>107806488.35999998</v>
      </c>
      <c r="P93" s="22">
        <f>SUM(P5:P91)</f>
        <v>108249838.92999998</v>
      </c>
      <c r="Q93" s="22">
        <f>SUM(Q5:Q91)</f>
        <v>115067216.07000002</v>
      </c>
      <c r="R93" s="22">
        <f>SUM(R5:R91)</f>
        <v>114623865.5</v>
      </c>
      <c r="S93" s="22">
        <f>SUM(S5:S91)</f>
        <v>114623865.5</v>
      </c>
      <c r="T93" s="22">
        <f>SUM(T5:T91)</f>
        <v>6374026.5700000003</v>
      </c>
      <c r="U93" s="56">
        <f>SUM(U5:U91)</f>
        <v>-2629400.9004174205</v>
      </c>
      <c r="V93" s="22"/>
      <c r="W93" s="21">
        <f>SUM(W5:W70)</f>
        <v>318219912.97899193</v>
      </c>
      <c r="X93" s="55">
        <f>SUM(X5:X91)</f>
        <v>0.99999999999999956</v>
      </c>
      <c r="Y93" s="22">
        <f>SUM(Y5:Y91)</f>
        <v>114324987.58855268</v>
      </c>
      <c r="Z93" s="22">
        <f>SUM(Z5:Z91)</f>
        <v>75016338</v>
      </c>
      <c r="AA93" s="22">
        <f>SUM(AA5:AA91)</f>
        <v>16335832</v>
      </c>
      <c r="AB93" s="22">
        <f>SUM(AB5:AB91)</f>
        <v>91352170</v>
      </c>
      <c r="AC93" s="22">
        <f>SUM(AC5:AC91)</f>
        <v>20737863.030000001</v>
      </c>
      <c r="AD93" s="22">
        <f>SUM(AD5:AD91)</f>
        <v>21787813.779999997</v>
      </c>
      <c r="AE93" s="22">
        <f>SUM(AE5:AE91)</f>
        <v>23890842.239999998</v>
      </c>
      <c r="AF93" s="22">
        <f>SUM(AF5:AF91)</f>
        <v>22838042.5</v>
      </c>
      <c r="AG93" s="22">
        <f>SUM(AG5:AG91)</f>
        <v>22838042.5</v>
      </c>
      <c r="AH93" s="22">
        <f>SUM(AH5:AH91)</f>
        <v>1050228.72</v>
      </c>
      <c r="AI93" s="56">
        <f>SUM(AI5:AI91)</f>
        <v>22972817.588552661</v>
      </c>
    </row>
    <row r="94" spans="1:41" hidden="1" x14ac:dyDescent="0.3">
      <c r="A94" s="17"/>
      <c r="E94" s="20"/>
      <c r="F94" s="43"/>
      <c r="G94" s="21">
        <f>SUM(G5:G91)</f>
        <v>540727911.2299999</v>
      </c>
      <c r="H94" s="21">
        <f>SUM(H5:H91)</f>
        <v>0</v>
      </c>
      <c r="I94" s="21">
        <f>SUM(I5:I91)</f>
        <v>540756258.3499999</v>
      </c>
      <c r="J94" s="21"/>
      <c r="K94" s="43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>
        <f>SUM(W5:W91)</f>
        <v>329245247.47751695</v>
      </c>
      <c r="Y94" s="43"/>
      <c r="Z94" s="24">
        <f>Z96-Z93</f>
        <v>0</v>
      </c>
      <c r="AI94" s="21"/>
    </row>
    <row r="95" spans="1:41" x14ac:dyDescent="0.3">
      <c r="A95" s="17"/>
      <c r="E95" s="20"/>
      <c r="F95" s="20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2"/>
      <c r="Y95" s="22"/>
      <c r="AI95" s="21"/>
    </row>
    <row r="96" spans="1:41" x14ac:dyDescent="0.3">
      <c r="A96" s="17"/>
      <c r="E96" s="20"/>
      <c r="F96" s="21"/>
      <c r="G96" s="21"/>
      <c r="H96" s="21"/>
      <c r="I96" s="21"/>
      <c r="J96" s="57" t="s">
        <v>199</v>
      </c>
      <c r="K96" s="57"/>
      <c r="L96" s="57">
        <f>ROUND(L1*'[1]UPL Gap Summary'!$E$20,0)</f>
        <v>455287614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58"/>
      <c r="X96" s="57" t="s">
        <v>200</v>
      </c>
      <c r="Y96" s="57"/>
      <c r="Z96" s="59">
        <f>ROUND(Z1*'[1]UPL Gap Summary'!$G$20,0)</f>
        <v>75016338</v>
      </c>
      <c r="AA96" s="24"/>
      <c r="AB96" s="24"/>
      <c r="AC96" s="24"/>
      <c r="AD96" s="24"/>
      <c r="AE96" s="24"/>
      <c r="AF96" s="24"/>
      <c r="AG96" s="24"/>
      <c r="AH96" s="24"/>
      <c r="AI96" s="21"/>
    </row>
    <row r="97" spans="1:41" x14ac:dyDescent="0.3">
      <c r="A97" s="17"/>
      <c r="E97" s="20"/>
      <c r="F97" s="20"/>
      <c r="G97" s="21"/>
      <c r="H97" s="21"/>
      <c r="I97" s="21"/>
      <c r="J97" s="57" t="s">
        <v>201</v>
      </c>
      <c r="K97" s="57"/>
      <c r="L97" s="60">
        <v>1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2"/>
      <c r="X97" s="57" t="s">
        <v>201</v>
      </c>
      <c r="Y97" s="57"/>
      <c r="Z97" s="60">
        <v>1</v>
      </c>
      <c r="AI97" s="21"/>
    </row>
    <row r="98" spans="1:41" x14ac:dyDescent="0.3">
      <c r="A98" s="17"/>
      <c r="E98" s="20"/>
      <c r="F98" s="20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2"/>
      <c r="Y98" s="22"/>
      <c r="AI98" s="21"/>
    </row>
    <row r="99" spans="1:41" s="35" customFormat="1" x14ac:dyDescent="0.3">
      <c r="A99" s="27"/>
      <c r="B99" s="28" t="s">
        <v>202</v>
      </c>
      <c r="C99" s="29"/>
      <c r="D99" s="30"/>
      <c r="E99" s="31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3"/>
      <c r="Y99" s="32"/>
      <c r="Z99" s="34"/>
      <c r="AA99" s="32"/>
      <c r="AB99" s="32"/>
      <c r="AC99" s="32"/>
      <c r="AD99" s="32"/>
      <c r="AE99" s="32"/>
      <c r="AF99" s="32"/>
      <c r="AG99" s="32"/>
      <c r="AH99" s="32"/>
      <c r="AI99" s="32"/>
      <c r="AK99" s="36"/>
      <c r="AL99" s="36"/>
    </row>
    <row r="100" spans="1:41" x14ac:dyDescent="0.3">
      <c r="A100" s="109" t="s">
        <v>203</v>
      </c>
      <c r="B100" s="18" t="s">
        <v>204</v>
      </c>
      <c r="C100" s="19" t="str">
        <f>IFERROR(VLOOKUP(A100,'[1]SHOPP UPL SFY2021 Combined OUT'!$A:$F,6,FALSE),IFERROR(VLOOKUP(A100,'[1]SHOPP UPL SFY2021 Combined INP'!$A:$F,6,FALSE),VLOOKUP(A100,'[1]DRG UPL SFY21 Combined'!$A:$J,10,FALSE)))</f>
        <v>Yes</v>
      </c>
      <c r="D100" s="18">
        <v>2</v>
      </c>
      <c r="E100" s="20">
        <v>1</v>
      </c>
      <c r="F100" s="21">
        <f t="shared" ref="F100:F114" si="44">G100+W100</f>
        <v>816120.60582877498</v>
      </c>
      <c r="G100" s="22">
        <f>IF(C100="No",(VLOOKUP($A100,'[1]Cost UPL SFY21 Combine'!$B:$AS,17,FALSE)+VLOOKUP($A100,'[1]Cost UPL SFY21 Combine'!$B:$AS,18,FALSE)+VLOOKUP($A100,'[1]Cost UPL SFY21 Combine'!$B:$AS,19,FALSE)),(VLOOKUP($A100,'[1]DRG UPL SFY21 Combined'!$A:$AZ,18,FALSE)+VLOOKUP($A100,'[1]DRG UPL SFY21 Combined'!$A:$AZ,19,FALSE)+VLOOKUP($A100,'[1]DRG UPL SFY21 Combined'!$A:$AZ,22,FALSE)))</f>
        <v>96050.959999999992</v>
      </c>
      <c r="H100" s="22"/>
      <c r="I100" s="22">
        <f t="shared" ref="I100:I114" si="45">G100+H100</f>
        <v>96050.959999999992</v>
      </c>
      <c r="J100" s="23">
        <f>IF($E100=1,I100/$I$141,0)</f>
        <v>1.5274617004618356E-3</v>
      </c>
      <c r="K100" s="22">
        <f>IFERROR(IF(C100="No",(VLOOKUP($A100,'[1]SHOPP UPL SFY2021 Combined INP'!$A:$AL,36,FALSE)),VLOOKUP($A100,'[1]DRG UPL SFY21 Combined'!$A:$AW,48,FALSE)),0)</f>
        <v>45631.448635461566</v>
      </c>
      <c r="L100" s="22">
        <f>IF($E100=1,ROUND($J100*(L$144+L$145),0),0)</f>
        <v>115419</v>
      </c>
      <c r="M100" s="22">
        <f>(IFERROR(VLOOKUP($A100,'[1]CAH 101% of cost'!$A$3:$BJ$44,48,FALSE),0))</f>
        <v>0</v>
      </c>
      <c r="N100" s="22">
        <f t="shared" ref="N100:N114" si="46">L100+M100</f>
        <v>115419</v>
      </c>
      <c r="O100" s="22">
        <v>27761.62</v>
      </c>
      <c r="P100" s="22">
        <f t="shared" ref="P100:P114" si="47">ROUND($N100*23.6%,2)</f>
        <v>27238.880000000001</v>
      </c>
      <c r="Q100" s="22">
        <f t="shared" ref="Q100:Q114" si="48">P100-O100+ROUND($N100*25%,2)</f>
        <v>28332.010000000002</v>
      </c>
      <c r="R100" s="22">
        <f t="shared" ref="R100:S114" si="49">ROUND($N100*25%,2)</f>
        <v>28854.75</v>
      </c>
      <c r="S100" s="22">
        <f t="shared" si="49"/>
        <v>28854.75</v>
      </c>
      <c r="T100" s="22">
        <f t="shared" ref="T100:T114" si="50">ROUND($N100*1.4%,2)</f>
        <v>1615.87</v>
      </c>
      <c r="U100" s="22">
        <f t="shared" ref="U100:U114" si="51">+K100-(L100+M100)</f>
        <v>-69787.551364538434</v>
      </c>
      <c r="V100" s="22"/>
      <c r="W100" s="22">
        <f>IFERROR(VLOOKUP($A100,'[1]Cost UPL SFY21 Combine'!$B:$AG,31,FALSE),0)+IFERROR(VLOOKUP($A100,'[1]Cost UPL SFY21 Combine'!$B:$AG,32,FALSE),0)</f>
        <v>720069.64582877501</v>
      </c>
      <c r="X100" s="23">
        <f>IF($E100=1,W100/$W$141,0)</f>
        <v>1.0866959985515011E-2</v>
      </c>
      <c r="Y100" s="22">
        <f>IFERROR(VLOOKUP($A100,'[1]SHOPP UPL SFY2021 Combined OUT'!$A:$AH,33,FALSE),0)</f>
        <v>368782.08649186592</v>
      </c>
      <c r="Z100" s="24">
        <f>IF($E100=1,ROUND($X100*(Z$144+Z$145),0),0)</f>
        <v>216078</v>
      </c>
      <c r="AA100" s="22">
        <f>(IFERROR(VLOOKUP(A100,'[1]CAH 101% of cost'!$A$3:$BP$44,64,FALSE),0))</f>
        <v>0</v>
      </c>
      <c r="AB100" s="22">
        <f t="shared" ref="AB100:AB114" si="52">Z100+AA100</f>
        <v>216078</v>
      </c>
      <c r="AC100" s="22">
        <f>VLOOKUP(A100,'[2]2022 Hospital Access Payments'!$B$2:$H$70,6,FALSE)</f>
        <v>52709.42</v>
      </c>
      <c r="AD100" s="22">
        <f t="shared" ref="AD100:AD114" si="53">ROUND($AB100*23.6%,2)</f>
        <v>50994.41</v>
      </c>
      <c r="AE100" s="22">
        <f t="shared" ref="AE100:AE114" si="54">AD100-AC100+ROUND($AB100*25%,2)</f>
        <v>52304.490000000005</v>
      </c>
      <c r="AF100" s="22">
        <f t="shared" ref="AF100:AG114" si="55">ROUND($AB100*25%,2)</f>
        <v>54019.5</v>
      </c>
      <c r="AG100" s="22">
        <f t="shared" si="55"/>
        <v>54019.5</v>
      </c>
      <c r="AH100" s="22">
        <f t="shared" ref="AH100:AH114" si="56">ROUND($AB100*1.4%,2)</f>
        <v>3025.09</v>
      </c>
      <c r="AI100" s="22">
        <f t="shared" ref="AI100:AI114" si="57">+Y100-(Z100+AA100)</f>
        <v>152704.08649186592</v>
      </c>
      <c r="AJ100" s="44"/>
      <c r="AO100" s="26"/>
    </row>
    <row r="101" spans="1:41" x14ac:dyDescent="0.3">
      <c r="A101" s="109" t="s">
        <v>205</v>
      </c>
      <c r="B101" s="18" t="s">
        <v>206</v>
      </c>
      <c r="C101" s="19" t="str">
        <f>IFERROR(VLOOKUP(A101,'[1]SHOPP UPL SFY2021 Combined OUT'!$A:$F,6,FALSE),IFERROR(VLOOKUP(A101,'[1]SHOPP UPL SFY2021 Combined INP'!$A:$F,6,FALSE),VLOOKUP(A101,'[1]DRG UPL SFY21 Combined'!$A:$J,10,FALSE)))</f>
        <v>Yes</v>
      </c>
      <c r="D101" s="18">
        <v>2</v>
      </c>
      <c r="E101" s="20">
        <v>1</v>
      </c>
      <c r="F101" s="21">
        <f t="shared" si="44"/>
        <v>1235800.8433588608</v>
      </c>
      <c r="G101" s="22">
        <f>IF(C101="No",(VLOOKUP($A101,'[1]Cost UPL SFY21 Combine'!$B:$AS,17,FALSE)+VLOOKUP($A101,'[1]Cost UPL SFY21 Combine'!$B:$AS,18,FALSE)+VLOOKUP($A101,'[1]Cost UPL SFY21 Combine'!$B:$AS,19,FALSE)),(VLOOKUP($A101,'[1]DRG UPL SFY21 Combined'!$A:$AZ,18,FALSE)+VLOOKUP($A101,'[1]DRG UPL SFY21 Combined'!$A:$AZ,19,FALSE)+VLOOKUP($A101,'[1]DRG UPL SFY21 Combined'!$A:$AZ,22,FALSE)))</f>
        <v>396664.98000000004</v>
      </c>
      <c r="H101" s="22"/>
      <c r="I101" s="22">
        <f t="shared" si="45"/>
        <v>396664.98000000004</v>
      </c>
      <c r="J101" s="23">
        <f>IF($E101=1,I101/$I$141,0)</f>
        <v>6.3080115478747955E-3</v>
      </c>
      <c r="K101" s="22">
        <f>IFERROR(IF(C101="No",(VLOOKUP($A101,'[1]SHOPP UPL SFY2021 Combined INP'!$A:$AL,36,FALSE)),VLOOKUP($A101,'[1]DRG UPL SFY21 Combined'!$A:$AW,48,FALSE)),0)</f>
        <v>379791.61013692414</v>
      </c>
      <c r="L101" s="22">
        <f>IF($E101=1,ROUND($J101*(L$144+L$145),0),0)</f>
        <v>476650</v>
      </c>
      <c r="M101" s="22">
        <f>(IFERROR(VLOOKUP($A101,'[1]CAH 101% of cost'!$A$3:$BJ$44,48,FALSE),0))</f>
        <v>0</v>
      </c>
      <c r="N101" s="22">
        <f t="shared" si="46"/>
        <v>476650</v>
      </c>
      <c r="O101" s="22">
        <v>105869.6</v>
      </c>
      <c r="P101" s="22">
        <f t="shared" si="47"/>
        <v>112489.4</v>
      </c>
      <c r="Q101" s="22">
        <f t="shared" si="48"/>
        <v>125782.29999999999</v>
      </c>
      <c r="R101" s="22">
        <f t="shared" si="49"/>
        <v>119162.5</v>
      </c>
      <c r="S101" s="22">
        <f t="shared" si="49"/>
        <v>119162.5</v>
      </c>
      <c r="T101" s="22">
        <f t="shared" si="50"/>
        <v>6673.1</v>
      </c>
      <c r="U101" s="22">
        <f t="shared" si="51"/>
        <v>-96858.389863075863</v>
      </c>
      <c r="V101" s="22"/>
      <c r="W101" s="22">
        <f>IFERROR(VLOOKUP($A101,'[1]Cost UPL SFY21 Combine'!$B:$AG,31,FALSE),0)+IFERROR(VLOOKUP($A101,'[1]Cost UPL SFY21 Combine'!$B:$AG,32,FALSE),0)</f>
        <v>839135.86335886072</v>
      </c>
      <c r="X101" s="23">
        <f>IF($E101=1,W101/$W$141,0)</f>
        <v>1.2663852590308602E-2</v>
      </c>
      <c r="Y101" s="22">
        <f>IFERROR(VLOOKUP($A101,'[1]SHOPP UPL SFY2021 Combined OUT'!$A:$AH,33,FALSE),0)</f>
        <v>424504.71846724243</v>
      </c>
      <c r="Z101" s="24">
        <f>IF($E101=1,ROUND($X101*(Z$144+Z$145),0),0)</f>
        <v>251807</v>
      </c>
      <c r="AA101" s="22">
        <f>(IFERROR(VLOOKUP(A101,'[1]CAH 101% of cost'!$A$3:$BP$44,64,FALSE),0))</f>
        <v>0</v>
      </c>
      <c r="AB101" s="22">
        <f t="shared" si="52"/>
        <v>251807</v>
      </c>
      <c r="AC101" s="22">
        <f>VLOOKUP(A101,'[2]2022 Hospital Access Payments'!$B$2:$H$70,6,FALSE)</f>
        <v>60242.07</v>
      </c>
      <c r="AD101" s="22">
        <f t="shared" si="53"/>
        <v>59426.45</v>
      </c>
      <c r="AE101" s="22">
        <f t="shared" si="54"/>
        <v>62136.13</v>
      </c>
      <c r="AF101" s="22">
        <f t="shared" si="55"/>
        <v>62951.75</v>
      </c>
      <c r="AG101" s="22">
        <f t="shared" si="55"/>
        <v>62951.75</v>
      </c>
      <c r="AH101" s="22">
        <f t="shared" si="56"/>
        <v>3525.3</v>
      </c>
      <c r="AI101" s="22">
        <f t="shared" si="57"/>
        <v>172697.71846724243</v>
      </c>
      <c r="AJ101" s="26"/>
      <c r="AO101" s="26"/>
    </row>
    <row r="102" spans="1:41" x14ac:dyDescent="0.3">
      <c r="A102" s="109" t="s">
        <v>207</v>
      </c>
      <c r="B102" s="25" t="s">
        <v>208</v>
      </c>
      <c r="C102" s="19" t="str">
        <f>IFERROR(VLOOKUP(A102,'[1]SHOPP UPL SFY2021 Combined OUT'!$A:$F,6,FALSE),IFERROR(VLOOKUP(A102,'[1]SHOPP UPL SFY2021 Combined INP'!$A:$F,6,FALSE),VLOOKUP(A102,'[1]DRG UPL SFY21 Combined'!$A:$J,10,FALSE)))</f>
        <v>Yes</v>
      </c>
      <c r="D102" s="18">
        <v>2</v>
      </c>
      <c r="E102" s="20">
        <v>1</v>
      </c>
      <c r="F102" s="21">
        <f t="shared" si="44"/>
        <v>28397360.244074844</v>
      </c>
      <c r="G102" s="22">
        <f>IF(C102="No",(VLOOKUP($A102,'[1]Cost UPL SFY21 Combine'!$B:$AS,17,FALSE)+VLOOKUP($A102,'[1]Cost UPL SFY21 Combine'!$B:$AS,18,FALSE)+VLOOKUP($A102,'[1]Cost UPL SFY21 Combine'!$B:$AS,19,FALSE)),(VLOOKUP($A102,'[1]DRG UPL SFY21 Combined'!$A:$AZ,18,FALSE)+VLOOKUP($A102,'[1]DRG UPL SFY21 Combined'!$A:$AZ,19,FALSE)+VLOOKUP($A102,'[1]DRG UPL SFY21 Combined'!$A:$AZ,22,FALSE)))</f>
        <v>15519942.300000001</v>
      </c>
      <c r="H102" s="22"/>
      <c r="I102" s="22">
        <f t="shared" si="45"/>
        <v>15519942.300000001</v>
      </c>
      <c r="J102" s="23">
        <f>IF($E102=1,I102/$I$141,0)</f>
        <v>0.24680770974727972</v>
      </c>
      <c r="K102" s="22">
        <f>IFERROR(IF(C102="No",(VLOOKUP($A102,'[1]SHOPP UPL SFY2021 Combined INP'!$A:$AL,36,FALSE)),VLOOKUP($A102,'[1]DRG UPL SFY21 Combined'!$A:$AW,48,FALSE)),0)</f>
        <v>14537536.045953266</v>
      </c>
      <c r="L102" s="22">
        <f>IF($E102=1,ROUND($J102*(L$144+L$145),0),0)</f>
        <v>18649424</v>
      </c>
      <c r="M102" s="22">
        <f>(IFERROR(VLOOKUP($A102,'[1]CAH 101% of cost'!$A$3:$BJ$44,48,FALSE),0))</f>
        <v>0</v>
      </c>
      <c r="N102" s="22">
        <f t="shared" si="46"/>
        <v>18649424</v>
      </c>
      <c r="O102" s="22">
        <v>4430810.32</v>
      </c>
      <c r="P102" s="22">
        <f t="shared" si="47"/>
        <v>4401264.0599999996</v>
      </c>
      <c r="Q102" s="22">
        <f t="shared" si="48"/>
        <v>4632809.7399999993</v>
      </c>
      <c r="R102" s="22">
        <f t="shared" si="49"/>
        <v>4662356</v>
      </c>
      <c r="S102" s="22">
        <f t="shared" si="49"/>
        <v>4662356</v>
      </c>
      <c r="T102" s="22">
        <f t="shared" si="50"/>
        <v>261091.94</v>
      </c>
      <c r="U102" s="22">
        <f t="shared" si="51"/>
        <v>-4111887.9540467337</v>
      </c>
      <c r="V102" s="22"/>
      <c r="W102" s="22">
        <f>IFERROR(VLOOKUP($A102,'[1]Cost UPL SFY21 Combine'!$B:$AG,31,FALSE),0)+IFERROR(VLOOKUP($A102,'[1]Cost UPL SFY21 Combine'!$B:$AG,32,FALSE),0)</f>
        <v>12877417.944074843</v>
      </c>
      <c r="X102" s="23">
        <f>IF($E102=1,W102/$W$141,0)</f>
        <v>0.19434007019411309</v>
      </c>
      <c r="Y102" s="22">
        <f>IFERROR(VLOOKUP($A102,'[1]SHOPP UPL SFY2021 Combined OUT'!$A:$AH,33,FALSE),0)</f>
        <v>517282.55526837148</v>
      </c>
      <c r="Z102" s="24">
        <f>IF($E102=1,ROUND($X102*(Z$144+Z$145),0),0)</f>
        <v>3864246</v>
      </c>
      <c r="AA102" s="22">
        <f>(IFERROR(VLOOKUP(A102,'[1]CAH 101% of cost'!$A$3:$BP$44,64,FALSE),0))</f>
        <v>0</v>
      </c>
      <c r="AB102" s="22">
        <f t="shared" si="52"/>
        <v>3864246</v>
      </c>
      <c r="AC102" s="22">
        <f>VLOOKUP(A102,'[2]2022 Hospital Access Payments'!$B$2:$H$70,6,FALSE)</f>
        <v>927600.6</v>
      </c>
      <c r="AD102" s="22">
        <f t="shared" si="53"/>
        <v>911962.06</v>
      </c>
      <c r="AE102" s="22">
        <f t="shared" si="54"/>
        <v>950422.96000000008</v>
      </c>
      <c r="AF102" s="22">
        <f t="shared" si="55"/>
        <v>966061.5</v>
      </c>
      <c r="AG102" s="22">
        <f t="shared" si="55"/>
        <v>966061.5</v>
      </c>
      <c r="AH102" s="22">
        <f t="shared" si="56"/>
        <v>54099.44</v>
      </c>
      <c r="AI102" s="22">
        <f t="shared" si="57"/>
        <v>-3346963.4447316285</v>
      </c>
      <c r="AJ102" s="26"/>
      <c r="AO102" s="26"/>
    </row>
    <row r="103" spans="1:41" x14ac:dyDescent="0.3">
      <c r="A103" s="109" t="s">
        <v>209</v>
      </c>
      <c r="B103" s="18" t="s">
        <v>210</v>
      </c>
      <c r="C103" s="19" t="str">
        <f>IFERROR(VLOOKUP(A103,'[1]SHOPP UPL SFY2021 Combined OUT'!$A:$F,6,FALSE),IFERROR(VLOOKUP(A103,'[1]SHOPP UPL SFY2021 Combined INP'!$A:$F,6,FALSE),VLOOKUP(A103,'[1]DRG UPL SFY21 Combined'!$A:$J,10,FALSE)))</f>
        <v>Yes</v>
      </c>
      <c r="D103" s="18">
        <v>2</v>
      </c>
      <c r="E103" s="20">
        <v>1</v>
      </c>
      <c r="F103" s="21">
        <f t="shared" si="44"/>
        <v>998015.71816370403</v>
      </c>
      <c r="G103" s="22">
        <f>IF(C103="No",(VLOOKUP($A103,'[1]Cost UPL SFY21 Combine'!$B:$AS,17,FALSE)+VLOOKUP($A103,'[1]Cost UPL SFY21 Combine'!$B:$AS,18,FALSE)+VLOOKUP($A103,'[1]Cost UPL SFY21 Combine'!$B:$AS,19,FALSE)),(VLOOKUP($A103,'[1]DRG UPL SFY21 Combined'!$A:$AZ,18,FALSE)+VLOOKUP($A103,'[1]DRG UPL SFY21 Combined'!$A:$AZ,19,FALSE)+VLOOKUP($A103,'[1]DRG UPL SFY21 Combined'!$A:$AZ,22,FALSE)))</f>
        <v>456278.64</v>
      </c>
      <c r="H103" s="22"/>
      <c r="I103" s="22">
        <f t="shared" si="45"/>
        <v>456278.64</v>
      </c>
      <c r="J103" s="23">
        <f>IF($E103=1,I103/$I$141,0)</f>
        <v>7.2560247949506572E-3</v>
      </c>
      <c r="K103" s="22">
        <f>IFERROR(IF(C103="No",(VLOOKUP($A103,'[1]SHOPP UPL SFY2021 Combined INP'!$A:$AL,36,FALSE)),VLOOKUP($A103,'[1]DRG UPL SFY21 Combined'!$A:$AW,48,FALSE)),0)</f>
        <v>440727.87131950806</v>
      </c>
      <c r="L103" s="22">
        <f>IF($E103=1,ROUND($J103*(L$144+L$145),0),0)</f>
        <v>548284</v>
      </c>
      <c r="M103" s="22">
        <f>(IFERROR(VLOOKUP($A103,'[1]CAH 101% of cost'!$A$3:$BJ$44,48,FALSE),0))</f>
        <v>0</v>
      </c>
      <c r="N103" s="22">
        <f t="shared" si="46"/>
        <v>548284</v>
      </c>
      <c r="O103" s="22">
        <v>131877.98000000001</v>
      </c>
      <c r="P103" s="22">
        <f t="shared" si="47"/>
        <v>129395.02</v>
      </c>
      <c r="Q103" s="22">
        <f t="shared" si="48"/>
        <v>134588.03999999998</v>
      </c>
      <c r="R103" s="22">
        <f t="shared" si="49"/>
        <v>137071</v>
      </c>
      <c r="S103" s="22">
        <f t="shared" si="49"/>
        <v>137071</v>
      </c>
      <c r="T103" s="22">
        <f t="shared" si="50"/>
        <v>7675.98</v>
      </c>
      <c r="U103" s="22">
        <f t="shared" si="51"/>
        <v>-107556.12868049194</v>
      </c>
      <c r="V103" s="22"/>
      <c r="W103" s="22">
        <f>IFERROR(VLOOKUP($A103,'[1]Cost UPL SFY21 Combine'!$B:$AG,31,FALSE),0)+IFERROR(VLOOKUP($A103,'[1]Cost UPL SFY21 Combine'!$B:$AG,32,FALSE),0)</f>
        <v>541737.07816370402</v>
      </c>
      <c r="X103" s="23">
        <f>IF($E103=1,W103/$W$141,0)</f>
        <v>8.1756468769059367E-3</v>
      </c>
      <c r="Y103" s="22">
        <f>IFERROR(VLOOKUP($A103,'[1]SHOPP UPL SFY2021 Combined OUT'!$A:$AH,33,FALSE),0)</f>
        <v>175999.75034522731</v>
      </c>
      <c r="Z103" s="24">
        <f>IF($E103=1,ROUND($X103*(Z$144+Z$145),0),0)</f>
        <v>162564</v>
      </c>
      <c r="AA103" s="22">
        <f>(IFERROR(VLOOKUP(A103,'[1]CAH 101% of cost'!$A$3:$BP$44,64,FALSE),0))</f>
        <v>0</v>
      </c>
      <c r="AB103" s="22">
        <f t="shared" si="52"/>
        <v>162564</v>
      </c>
      <c r="AC103" s="22">
        <f>VLOOKUP(A103,'[2]2022 Hospital Access Payments'!$B$2:$H$70,6,FALSE)</f>
        <v>40102.06</v>
      </c>
      <c r="AD103" s="22">
        <f t="shared" si="53"/>
        <v>38365.1</v>
      </c>
      <c r="AE103" s="22">
        <f t="shared" si="54"/>
        <v>38904.04</v>
      </c>
      <c r="AF103" s="22">
        <f t="shared" si="55"/>
        <v>40641</v>
      </c>
      <c r="AG103" s="22">
        <f t="shared" si="55"/>
        <v>40641</v>
      </c>
      <c r="AH103" s="22">
        <f t="shared" si="56"/>
        <v>2275.9</v>
      </c>
      <c r="AI103" s="22">
        <f t="shared" si="57"/>
        <v>13435.750345227309</v>
      </c>
      <c r="AJ103" s="26"/>
      <c r="AO103" s="26"/>
    </row>
    <row r="104" spans="1:41" x14ac:dyDescent="0.3">
      <c r="A104" s="109" t="s">
        <v>211</v>
      </c>
      <c r="B104" s="18" t="s">
        <v>212</v>
      </c>
      <c r="C104" s="19" t="str">
        <f>IFERROR(VLOOKUP(A104,'[1]SHOPP UPL SFY2021 Combined OUT'!$A:$F,6,FALSE),IFERROR(VLOOKUP(A104,'[1]SHOPP UPL SFY2021 Combined INP'!$A:$F,6,FALSE),VLOOKUP(A104,'[1]DRG UPL SFY21 Combined'!$A:$J,10,FALSE)))</f>
        <v>Yes</v>
      </c>
      <c r="D104" s="18">
        <v>2</v>
      </c>
      <c r="E104" s="20">
        <v>1</v>
      </c>
      <c r="F104" s="21">
        <f t="shared" si="44"/>
        <v>3083448.8292258196</v>
      </c>
      <c r="G104" s="22">
        <f>IF(C104="No",(VLOOKUP($A104,'[1]Cost UPL SFY21 Combine'!$B:$AS,17,FALSE)+VLOOKUP($A104,'[1]Cost UPL SFY21 Combine'!$B:$AS,18,FALSE)+VLOOKUP($A104,'[1]Cost UPL SFY21 Combine'!$B:$AS,19,FALSE)),(VLOOKUP($A104,'[1]DRG UPL SFY21 Combined'!$A:$AZ,18,FALSE)+VLOOKUP($A104,'[1]DRG UPL SFY21 Combined'!$A:$AZ,19,FALSE)+VLOOKUP($A104,'[1]DRG UPL SFY21 Combined'!$A:$AZ,22,FALSE)))</f>
        <v>585159.63</v>
      </c>
      <c r="H104" s="22"/>
      <c r="I104" s="22">
        <f t="shared" si="45"/>
        <v>585159.63</v>
      </c>
      <c r="J104" s="23">
        <f>IF($E104=1,I104/$I$141,0)</f>
        <v>9.3055699129026784E-3</v>
      </c>
      <c r="K104" s="22">
        <f>IFERROR(IF(C104="No",(VLOOKUP($A104,'[1]SHOPP UPL SFY2021 Combined INP'!$A:$AL,36,FALSE)),VLOOKUP($A104,'[1]DRG UPL SFY21 Combined'!$A:$AW,48,FALSE)),0)</f>
        <v>389912.47968600353</v>
      </c>
      <c r="L104" s="22">
        <f>IF($E104=1,ROUND($J104*(L$144+L$145),0),0)</f>
        <v>703153</v>
      </c>
      <c r="M104" s="22">
        <f>(IFERROR(VLOOKUP($A104,'[1]CAH 101% of cost'!$A$3:$BJ$44,48,FALSE),0))</f>
        <v>0</v>
      </c>
      <c r="N104" s="22">
        <f t="shared" si="46"/>
        <v>703153</v>
      </c>
      <c r="O104" s="22">
        <v>169128.22</v>
      </c>
      <c r="P104" s="22">
        <f t="shared" si="47"/>
        <v>165944.10999999999</v>
      </c>
      <c r="Q104" s="22">
        <f t="shared" si="48"/>
        <v>172604.13999999998</v>
      </c>
      <c r="R104" s="22">
        <f t="shared" si="49"/>
        <v>175788.25</v>
      </c>
      <c r="S104" s="22">
        <f t="shared" si="49"/>
        <v>175788.25</v>
      </c>
      <c r="T104" s="22">
        <f t="shared" si="50"/>
        <v>9844.14</v>
      </c>
      <c r="U104" s="22">
        <f t="shared" si="51"/>
        <v>-313240.52031399647</v>
      </c>
      <c r="V104" s="22"/>
      <c r="W104" s="22">
        <f>IFERROR(VLOOKUP($A104,'[1]Cost UPL SFY21 Combine'!$B:$AG,31,FALSE),0)+IFERROR(VLOOKUP($A104,'[1]Cost UPL SFY21 Combine'!$B:$AG,32,FALSE),0)</f>
        <v>2498289.1992258197</v>
      </c>
      <c r="X104" s="23">
        <f>IF($E104=1,W104/$W$141,0)</f>
        <v>3.7703031807408E-2</v>
      </c>
      <c r="Y104" s="22">
        <f>IFERROR(VLOOKUP($A104,'[1]SHOPP UPL SFY2021 Combined OUT'!$A:$AH,33,FALSE),0)</f>
        <v>1815244.1442130175</v>
      </c>
      <c r="Z104" s="24">
        <f>IF($E104=1,ROUND($X104*(Z$144+Z$145),0),0)</f>
        <v>749685</v>
      </c>
      <c r="AA104" s="22">
        <f>(IFERROR(VLOOKUP(A104,'[1]CAH 101% of cost'!$A$3:$BP$44,64,FALSE),0))</f>
        <v>0</v>
      </c>
      <c r="AB104" s="22">
        <f t="shared" si="52"/>
        <v>749685</v>
      </c>
      <c r="AC104" s="22">
        <f>VLOOKUP(A104,'[2]2022 Hospital Access Payments'!$B$2:$H$70,6,FALSE)</f>
        <v>180580.59</v>
      </c>
      <c r="AD104" s="22">
        <f t="shared" si="53"/>
        <v>176925.66</v>
      </c>
      <c r="AE104" s="22">
        <f t="shared" si="54"/>
        <v>183766.32</v>
      </c>
      <c r="AF104" s="22">
        <f t="shared" si="55"/>
        <v>187421.25</v>
      </c>
      <c r="AG104" s="22">
        <f t="shared" si="55"/>
        <v>187421.25</v>
      </c>
      <c r="AH104" s="22">
        <f t="shared" si="56"/>
        <v>10495.59</v>
      </c>
      <c r="AI104" s="22">
        <f t="shared" si="57"/>
        <v>1065559.1442130175</v>
      </c>
      <c r="AJ104" s="26"/>
      <c r="AO104" s="26"/>
    </row>
    <row r="105" spans="1:41" x14ac:dyDescent="0.3">
      <c r="A105" s="109" t="s">
        <v>213</v>
      </c>
      <c r="B105" s="18" t="s">
        <v>214</v>
      </c>
      <c r="C105" s="19" t="str">
        <f>IFERROR(VLOOKUP(A105,'[1]SHOPP UPL SFY2021 Combined OUT'!$A:$F,6,FALSE),IFERROR(VLOOKUP(A105,'[1]SHOPP UPL SFY2021 Combined INP'!$A:$F,6,FALSE),VLOOKUP(A105,'[1]DRG UPL SFY21 Combined'!$A:$J,10,FALSE)))</f>
        <v>Yes</v>
      </c>
      <c r="D105" s="18">
        <v>2</v>
      </c>
      <c r="E105" s="20">
        <v>1</v>
      </c>
      <c r="F105" s="21">
        <f t="shared" si="44"/>
        <v>4625521.3999999901</v>
      </c>
      <c r="G105" s="22">
        <f>IF(C105="No",(VLOOKUP($A105,'[1]Cost UPL SFY21 Combine'!$B:$AS,17,FALSE)+VLOOKUP($A105,'[1]Cost UPL SFY21 Combine'!$B:$AS,18,FALSE)+VLOOKUP($A105,'[1]Cost UPL SFY21 Combine'!$B:$AS,19,FALSE)),(VLOOKUP($A105,'[1]DRG UPL SFY21 Combined'!$A:$AZ,18,FALSE)+VLOOKUP($A105,'[1]DRG UPL SFY21 Combined'!$A:$AZ,19,FALSE)+VLOOKUP($A105,'[1]DRG UPL SFY21 Combined'!$A:$AZ,22,FALSE)))</f>
        <v>1908514.1600000001</v>
      </c>
      <c r="H105" s="22"/>
      <c r="I105" s="22">
        <f t="shared" si="45"/>
        <v>1908514.1600000001</v>
      </c>
      <c r="J105" s="23">
        <f>IF($E105=1,I105/$I$141,0)</f>
        <v>3.0350371138290467E-2</v>
      </c>
      <c r="K105" s="22">
        <f>IFERROR(IF(C105="No",(VLOOKUP($A105,'[1]SHOPP UPL SFY2021 Combined INP'!$A:$AL,36,FALSE)),VLOOKUP($A105,'[1]DRG UPL SFY21 Combined'!$A:$AW,48,FALSE)),0)</f>
        <v>2920617.2568937698</v>
      </c>
      <c r="L105" s="22">
        <f>IF($E105=1,ROUND($J105*(L$144+L$145),0),0)</f>
        <v>2293352</v>
      </c>
      <c r="M105" s="22">
        <f>(IFERROR(VLOOKUP($A105,'[1]CAH 101% of cost'!$A$3:$BJ$44,48,FALSE),0))</f>
        <v>0</v>
      </c>
      <c r="N105" s="22">
        <f t="shared" si="46"/>
        <v>2293352</v>
      </c>
      <c r="O105" s="22">
        <v>551616.72</v>
      </c>
      <c r="P105" s="22">
        <f t="shared" si="47"/>
        <v>541231.06999999995</v>
      </c>
      <c r="Q105" s="22">
        <f t="shared" si="48"/>
        <v>562952.35</v>
      </c>
      <c r="R105" s="22">
        <f t="shared" si="49"/>
        <v>573338</v>
      </c>
      <c r="S105" s="22">
        <f t="shared" si="49"/>
        <v>573338</v>
      </c>
      <c r="T105" s="22">
        <f t="shared" si="50"/>
        <v>32106.93</v>
      </c>
      <c r="U105" s="22">
        <f t="shared" si="51"/>
        <v>627265.25689376984</v>
      </c>
      <c r="V105" s="22"/>
      <c r="W105" s="22">
        <f>IFERROR(VLOOKUP($A105,'[1]Cost UPL SFY21 Combine'!$B:$AG,31,FALSE),0)+IFERROR(VLOOKUP($A105,'[1]Cost UPL SFY21 Combine'!$B:$AG,32,FALSE),0)</f>
        <v>2717007.23999999</v>
      </c>
      <c r="X105" s="23">
        <f>IF($E105=1,W105/$W$141,0)</f>
        <v>4.1003823905743898E-2</v>
      </c>
      <c r="Y105" s="22">
        <f>IFERROR(VLOOKUP($A105,'[1]SHOPP UPL SFY2021 Combined OUT'!$A:$AH,33,FALSE),0)</f>
        <v>1908192.5767890145</v>
      </c>
      <c r="Z105" s="24">
        <f>IF($E105=1,ROUND($X105*(Z$144+Z$145),0),0)</f>
        <v>815317</v>
      </c>
      <c r="AA105" s="22">
        <f>(IFERROR(VLOOKUP(A105,'[1]CAH 101% of cost'!$A$3:$BP$44,64,FALSE),0))</f>
        <v>0</v>
      </c>
      <c r="AB105" s="22">
        <f t="shared" si="52"/>
        <v>815317</v>
      </c>
      <c r="AC105" s="22">
        <f>VLOOKUP(A105,'[2]2022 Hospital Access Payments'!$B$2:$H$70,6,FALSE)</f>
        <v>195248.23</v>
      </c>
      <c r="AD105" s="22">
        <f t="shared" si="53"/>
        <v>192414.81</v>
      </c>
      <c r="AE105" s="22">
        <f t="shared" si="54"/>
        <v>200995.83</v>
      </c>
      <c r="AF105" s="22">
        <f t="shared" si="55"/>
        <v>203829.25</v>
      </c>
      <c r="AG105" s="22">
        <f t="shared" si="55"/>
        <v>203829.25</v>
      </c>
      <c r="AH105" s="22">
        <f t="shared" si="56"/>
        <v>11414.44</v>
      </c>
      <c r="AI105" s="22">
        <f t="shared" si="57"/>
        <v>1092875.5767890145</v>
      </c>
      <c r="AJ105" s="26"/>
      <c r="AO105" s="26"/>
    </row>
    <row r="106" spans="1:41" x14ac:dyDescent="0.3">
      <c r="A106" s="109" t="s">
        <v>215</v>
      </c>
      <c r="B106" s="18" t="s">
        <v>216</v>
      </c>
      <c r="C106" s="19" t="str">
        <f>IFERROR(VLOOKUP(A106,'[1]SHOPP UPL SFY2021 Combined OUT'!$A:$F,6,FALSE),IFERROR(VLOOKUP(A106,'[1]SHOPP UPL SFY2021 Combined INP'!$A:$F,6,FALSE),VLOOKUP(A106,'[1]DRG UPL SFY21 Combined'!$A:$J,10,FALSE)))</f>
        <v>Yes</v>
      </c>
      <c r="D106" s="18">
        <v>2</v>
      </c>
      <c r="E106" s="20">
        <v>1</v>
      </c>
      <c r="F106" s="21">
        <f t="shared" si="44"/>
        <v>11045445.394936711</v>
      </c>
      <c r="G106" s="22">
        <f>IF(C106="No",(VLOOKUP($A106,'[1]Cost UPL SFY21 Combine'!$B:$AS,17,FALSE)+VLOOKUP($A106,'[1]Cost UPL SFY21 Combine'!$B:$AS,18,FALSE)+VLOOKUP($A106,'[1]Cost UPL SFY21 Combine'!$B:$AS,19,FALSE)),(VLOOKUP($A106,'[1]DRG UPL SFY21 Combined'!$A:$AZ,18,FALSE)+VLOOKUP($A106,'[1]DRG UPL SFY21 Combined'!$A:$AZ,19,FALSE)+VLOOKUP($A106,'[1]DRG UPL SFY21 Combined'!$A:$AZ,22,FALSE)))</f>
        <v>5814942.0599999996</v>
      </c>
      <c r="H106" s="22"/>
      <c r="I106" s="22">
        <f t="shared" si="45"/>
        <v>5814942.0599999996</v>
      </c>
      <c r="J106" s="23">
        <f>IF($E106=1,I106/$I$141,0)</f>
        <v>9.2472800761748228E-2</v>
      </c>
      <c r="K106" s="22">
        <f>IFERROR(IF(C106="No",(VLOOKUP($A106,'[1]SHOPP UPL SFY2021 Combined INP'!$A:$AL,36,FALSE)),VLOOKUP($A106,'[1]DRG UPL SFY21 Combined'!$A:$AW,48,FALSE)),0)</f>
        <v>5406770.2781114662</v>
      </c>
      <c r="L106" s="22">
        <f>IF($E106=1,ROUND($J106*(L$144+L$145),0),0)</f>
        <v>6987482</v>
      </c>
      <c r="M106" s="22">
        <f>(IFERROR(VLOOKUP($A106,'[1]CAH 101% of cost'!$A$3:$BJ$44,48,FALSE),0))</f>
        <v>0</v>
      </c>
      <c r="N106" s="22">
        <f t="shared" si="46"/>
        <v>6987482</v>
      </c>
      <c r="O106" s="22">
        <v>1571266.05</v>
      </c>
      <c r="P106" s="22">
        <f t="shared" si="47"/>
        <v>1649045.75</v>
      </c>
      <c r="Q106" s="22">
        <f t="shared" si="48"/>
        <v>1824650.2</v>
      </c>
      <c r="R106" s="22">
        <f t="shared" si="49"/>
        <v>1746870.5</v>
      </c>
      <c r="S106" s="22">
        <f t="shared" si="49"/>
        <v>1746870.5</v>
      </c>
      <c r="T106" s="22">
        <f t="shared" si="50"/>
        <v>97824.75</v>
      </c>
      <c r="U106" s="22">
        <f t="shared" si="51"/>
        <v>-1580711.7218885338</v>
      </c>
      <c r="V106" s="22"/>
      <c r="W106" s="22">
        <f>IFERROR(VLOOKUP($A106,'[1]Cost UPL SFY21 Combine'!$B:$AG,31,FALSE),0)+IFERROR(VLOOKUP($A106,'[1]Cost UPL SFY21 Combine'!$B:$AG,32,FALSE),0)</f>
        <v>5230503.3349367119</v>
      </c>
      <c r="X106" s="23">
        <f>IF($E106=1,W106/$W$141,0)</f>
        <v>7.8936351190640158E-2</v>
      </c>
      <c r="Y106" s="22">
        <f>IFERROR(VLOOKUP($A106,'[1]SHOPP UPL SFY2021 Combined OUT'!$A:$AH,33,FALSE),0)</f>
        <v>464822.66135709919</v>
      </c>
      <c r="Z106" s="24">
        <f>IF($E106=1,ROUND($X106*(Z$144+Z$145),0),0)</f>
        <v>1569566</v>
      </c>
      <c r="AA106" s="22">
        <f>(IFERROR(VLOOKUP(A106,'[1]CAH 101% of cost'!$A$3:$BP$44,64,FALSE),0))</f>
        <v>0</v>
      </c>
      <c r="AB106" s="22">
        <f t="shared" si="52"/>
        <v>1569566</v>
      </c>
      <c r="AC106" s="22">
        <f>VLOOKUP(A106,'[2]2022 Hospital Access Payments'!$B$2:$H$70,6,FALSE)</f>
        <v>379606</v>
      </c>
      <c r="AD106" s="22">
        <f t="shared" si="53"/>
        <v>370417.58</v>
      </c>
      <c r="AE106" s="22">
        <f t="shared" si="54"/>
        <v>383203.08</v>
      </c>
      <c r="AF106" s="22">
        <f t="shared" si="55"/>
        <v>392391.5</v>
      </c>
      <c r="AG106" s="22">
        <f t="shared" si="55"/>
        <v>392391.5</v>
      </c>
      <c r="AH106" s="22">
        <f t="shared" si="56"/>
        <v>21973.919999999998</v>
      </c>
      <c r="AI106" s="22">
        <f t="shared" si="57"/>
        <v>-1104743.3386429008</v>
      </c>
      <c r="AJ106" s="26"/>
      <c r="AO106" s="26"/>
    </row>
    <row r="107" spans="1:41" x14ac:dyDescent="0.3">
      <c r="A107" s="109" t="s">
        <v>217</v>
      </c>
      <c r="B107" s="18" t="s">
        <v>218</v>
      </c>
      <c r="C107" s="19" t="str">
        <f>IFERROR(VLOOKUP(A107,'[1]SHOPP UPL SFY2021 Combined OUT'!$A:$F,6,FALSE),IFERROR(VLOOKUP(A107,'[1]SHOPP UPL SFY2021 Combined INP'!$A:$F,6,FALSE),VLOOKUP(A107,'[1]DRG UPL SFY21 Combined'!$A:$J,10,FALSE)))</f>
        <v>Yes</v>
      </c>
      <c r="D107" s="18">
        <v>2</v>
      </c>
      <c r="E107" s="20">
        <v>1</v>
      </c>
      <c r="F107" s="21">
        <f t="shared" si="44"/>
        <v>39853395.099999964</v>
      </c>
      <c r="G107" s="22">
        <f>IF(C107="No",(VLOOKUP($A107,'[1]Cost UPL SFY21 Combine'!$B:$AS,17,FALSE)+VLOOKUP($A107,'[1]Cost UPL SFY21 Combine'!$B:$AS,18,FALSE)+VLOOKUP($A107,'[1]Cost UPL SFY21 Combine'!$B:$AS,19,FALSE)),(VLOOKUP($A107,'[1]DRG UPL SFY21 Combined'!$A:$AZ,18,FALSE)+VLOOKUP($A107,'[1]DRG UPL SFY21 Combined'!$A:$AZ,19,FALSE)+VLOOKUP($A107,'[1]DRG UPL SFY21 Combined'!$A:$AZ,22,FALSE)))</f>
        <v>21714019.409999996</v>
      </c>
      <c r="H107" s="22"/>
      <c r="I107" s="22">
        <f t="shared" si="45"/>
        <v>21714019.409999996</v>
      </c>
      <c r="J107" s="23">
        <f>IF($E107=1,I107/$I$141,0)</f>
        <v>0.34530975028109973</v>
      </c>
      <c r="K107" s="22">
        <f>IFERROR(IF(C107="No",(VLOOKUP($A107,'[1]SHOPP UPL SFY2021 Combined INP'!$A:$AL,36,FALSE)),VLOOKUP($A107,'[1]DRG UPL SFY21 Combined'!$A:$AW,48,FALSE)),0)</f>
        <v>23627947.555313423</v>
      </c>
      <c r="L107" s="22">
        <f>IF($E107=1,ROUND($J107*(L$144+L$145),0),0)</f>
        <v>26092491</v>
      </c>
      <c r="M107" s="22">
        <f>(IFERROR(VLOOKUP($A107,'[1]CAH 101% of cost'!$A$3:$BJ$44,48,FALSE),0))</f>
        <v>0</v>
      </c>
      <c r="N107" s="22">
        <f t="shared" si="46"/>
        <v>26092491</v>
      </c>
      <c r="O107" s="22">
        <v>6154645.8899999997</v>
      </c>
      <c r="P107" s="22">
        <f t="shared" si="47"/>
        <v>6157827.8799999999</v>
      </c>
      <c r="Q107" s="22">
        <f t="shared" si="48"/>
        <v>6526304.7400000002</v>
      </c>
      <c r="R107" s="22">
        <f t="shared" si="49"/>
        <v>6523122.75</v>
      </c>
      <c r="S107" s="22">
        <f t="shared" si="49"/>
        <v>6523122.75</v>
      </c>
      <c r="T107" s="22">
        <f t="shared" si="50"/>
        <v>365294.87</v>
      </c>
      <c r="U107" s="22">
        <f t="shared" si="51"/>
        <v>-2464543.4446865767</v>
      </c>
      <c r="V107" s="22"/>
      <c r="W107" s="22">
        <f>IFERROR(VLOOKUP($A107,'[1]Cost UPL SFY21 Combine'!$B:$AG,31,FALSE),0)+IFERROR(VLOOKUP($A107,'[1]Cost UPL SFY21 Combine'!$B:$AG,32,FALSE),0)</f>
        <v>18139375.689999972</v>
      </c>
      <c r="X107" s="23">
        <f>IF($E107=1,W107/$W$141,0)</f>
        <v>0.27375111689172138</v>
      </c>
      <c r="Y107" s="22">
        <f>IFERROR(VLOOKUP($A107,'[1]SHOPP UPL SFY2021 Combined OUT'!$A:$AH,33,FALSE),0)</f>
        <v>6135811.1616284084</v>
      </c>
      <c r="Z107" s="24">
        <f>IF($E107=1,ROUND($X107*(Z$144+Z$145),0),0)</f>
        <v>5443250</v>
      </c>
      <c r="AA107" s="22">
        <f>(IFERROR(VLOOKUP(A107,'[1]CAH 101% of cost'!$A$3:$BP$44,64,FALSE),0))</f>
        <v>0</v>
      </c>
      <c r="AB107" s="22">
        <f t="shared" si="52"/>
        <v>5443250</v>
      </c>
      <c r="AC107" s="22">
        <f>VLOOKUP(A107,'[2]2022 Hospital Access Payments'!$B$2:$H$70,6,FALSE)</f>
        <v>1258773.26</v>
      </c>
      <c r="AD107" s="22">
        <f t="shared" si="53"/>
        <v>1284607</v>
      </c>
      <c r="AE107" s="22">
        <f t="shared" si="54"/>
        <v>1386646.24</v>
      </c>
      <c r="AF107" s="22">
        <f t="shared" si="55"/>
        <v>1360812.5</v>
      </c>
      <c r="AG107" s="22">
        <f t="shared" si="55"/>
        <v>1360812.5</v>
      </c>
      <c r="AH107" s="22">
        <f t="shared" si="56"/>
        <v>76205.5</v>
      </c>
      <c r="AI107" s="22">
        <f t="shared" si="57"/>
        <v>692561.16162840836</v>
      </c>
      <c r="AJ107" s="26"/>
      <c r="AO107" s="26"/>
    </row>
    <row r="108" spans="1:41" x14ac:dyDescent="0.3">
      <c r="A108" s="109" t="s">
        <v>219</v>
      </c>
      <c r="B108" s="18" t="s">
        <v>220</v>
      </c>
      <c r="C108" s="19" t="str">
        <f>IFERROR(VLOOKUP(A108,'[1]SHOPP UPL SFY2021 Combined OUT'!$A:$F,6,FALSE),IFERROR(VLOOKUP(A108,'[1]SHOPP UPL SFY2021 Combined INP'!$A:$F,6,FALSE),VLOOKUP(A108,'[1]DRG UPL SFY21 Combined'!$A:$J,10,FALSE)))</f>
        <v>Yes</v>
      </c>
      <c r="D108" s="18">
        <v>2</v>
      </c>
      <c r="E108" s="20">
        <v>1</v>
      </c>
      <c r="F108" s="21">
        <f t="shared" si="44"/>
        <v>14587806.090000022</v>
      </c>
      <c r="G108" s="22">
        <f>IF(C108="No",(VLOOKUP($A108,'[1]Cost UPL SFY21 Combine'!$B:$AS,17,FALSE)+VLOOKUP($A108,'[1]Cost UPL SFY21 Combine'!$B:$AS,18,FALSE)+VLOOKUP($A108,'[1]Cost UPL SFY21 Combine'!$B:$AS,19,FALSE)),(VLOOKUP($A108,'[1]DRG UPL SFY21 Combined'!$A:$AZ,18,FALSE)+VLOOKUP($A108,'[1]DRG UPL SFY21 Combined'!$A:$AZ,19,FALSE)+VLOOKUP($A108,'[1]DRG UPL SFY21 Combined'!$A:$AZ,22,FALSE)))</f>
        <v>7086509.3700000001</v>
      </c>
      <c r="H108" s="22"/>
      <c r="I108" s="22">
        <f t="shared" si="45"/>
        <v>7086509.3700000001</v>
      </c>
      <c r="J108" s="23">
        <f>IF($E108=1,I108/$I$141,0)</f>
        <v>0.11269404962364699</v>
      </c>
      <c r="K108" s="22">
        <f>IFERROR(IF(C108="No",(VLOOKUP($A108,'[1]SHOPP UPL SFY2021 Combined INP'!$A:$AL,36,FALSE)),VLOOKUP($A108,'[1]DRG UPL SFY21 Combined'!$A:$AW,48,FALSE)),0)</f>
        <v>4316351.322267809</v>
      </c>
      <c r="L108" s="22">
        <f>IF($E108=1,ROUND($J108*(L$144+L$145),0),0)</f>
        <v>8515452</v>
      </c>
      <c r="M108" s="22">
        <f>(IFERROR(VLOOKUP($A108,'[1]CAH 101% of cost'!$A$3:$BJ$44,48,FALSE),0))</f>
        <v>0</v>
      </c>
      <c r="N108" s="22">
        <f t="shared" si="46"/>
        <v>8515452</v>
      </c>
      <c r="O108" s="22">
        <v>2018485.58</v>
      </c>
      <c r="P108" s="22">
        <f t="shared" si="47"/>
        <v>2009646.67</v>
      </c>
      <c r="Q108" s="22">
        <f t="shared" si="48"/>
        <v>2120024.09</v>
      </c>
      <c r="R108" s="22">
        <f t="shared" si="49"/>
        <v>2128863</v>
      </c>
      <c r="S108" s="22">
        <f t="shared" si="49"/>
        <v>2128863</v>
      </c>
      <c r="T108" s="22">
        <f t="shared" si="50"/>
        <v>119216.33</v>
      </c>
      <c r="U108" s="22">
        <f t="shared" si="51"/>
        <v>-4199100.677732191</v>
      </c>
      <c r="V108" s="22"/>
      <c r="W108" s="22">
        <f>IFERROR(VLOOKUP($A108,'[1]Cost UPL SFY21 Combine'!$B:$AG,31,FALSE),0)+IFERROR(VLOOKUP($A108,'[1]Cost UPL SFY21 Combine'!$B:$AG,32,FALSE),0)</f>
        <v>7501296.7200000221</v>
      </c>
      <c r="X108" s="23">
        <f>IF($E108=1,W108/$W$141,0)</f>
        <v>0.11320612078001542</v>
      </c>
      <c r="Y108" s="22">
        <f>IFERROR(VLOOKUP($A108,'[1]SHOPP UPL SFY2021 Combined OUT'!$A:$AH,33,FALSE),0)</f>
        <v>5090532.0856655771</v>
      </c>
      <c r="Z108" s="24">
        <f>IF($E108=1,ROUND($X108*(Z$144+Z$145),0),0)</f>
        <v>2250983</v>
      </c>
      <c r="AA108" s="22">
        <f>(IFERROR(VLOOKUP(A108,'[1]CAH 101% of cost'!$A$3:$BP$44,64,FALSE),0))</f>
        <v>0</v>
      </c>
      <c r="AB108" s="22">
        <f t="shared" si="52"/>
        <v>2250983</v>
      </c>
      <c r="AC108" s="22">
        <f>VLOOKUP(A108,'[2]2022 Hospital Access Payments'!$B$2:$H$70,6,FALSE)</f>
        <v>535113.01</v>
      </c>
      <c r="AD108" s="22">
        <f t="shared" si="53"/>
        <v>531231.99</v>
      </c>
      <c r="AE108" s="22">
        <f t="shared" si="54"/>
        <v>558864.73</v>
      </c>
      <c r="AF108" s="22">
        <f t="shared" si="55"/>
        <v>562745.75</v>
      </c>
      <c r="AG108" s="22">
        <f t="shared" si="55"/>
        <v>562745.75</v>
      </c>
      <c r="AH108" s="22">
        <f t="shared" si="56"/>
        <v>31513.759999999998</v>
      </c>
      <c r="AI108" s="22">
        <f t="shared" si="57"/>
        <v>2839549.0856655771</v>
      </c>
      <c r="AJ108" s="26"/>
      <c r="AO108" s="26"/>
    </row>
    <row r="109" spans="1:41" x14ac:dyDescent="0.3">
      <c r="A109" s="109" t="s">
        <v>221</v>
      </c>
      <c r="B109" s="18" t="s">
        <v>222</v>
      </c>
      <c r="C109" s="19" t="str">
        <f>IFERROR(VLOOKUP(A109,'[1]SHOPP UPL SFY2021 Combined OUT'!$A:$F,6,FALSE),IFERROR(VLOOKUP(A109,'[1]SHOPP UPL SFY2021 Combined INP'!$A:$F,6,FALSE),VLOOKUP(A109,'[1]DRG UPL SFY21 Combined'!$A:$J,10,FALSE)))</f>
        <v>Yes</v>
      </c>
      <c r="D109" s="18">
        <v>2</v>
      </c>
      <c r="E109" s="20">
        <v>1</v>
      </c>
      <c r="F109" s="21">
        <f t="shared" si="44"/>
        <v>472114.03073655965</v>
      </c>
      <c r="G109" s="22">
        <f>IF(C109="No",(VLOOKUP($A109,'[1]Cost UPL SFY21 Combine'!$B:$AS,17,FALSE)+VLOOKUP($A109,'[1]Cost UPL SFY21 Combine'!$B:$AS,18,FALSE)+VLOOKUP($A109,'[1]Cost UPL SFY21 Combine'!$B:$AS,19,FALSE)),(VLOOKUP($A109,'[1]DRG UPL SFY21 Combined'!$A:$AZ,18,FALSE)+VLOOKUP($A109,'[1]DRG UPL SFY21 Combined'!$A:$AZ,19,FALSE)+VLOOKUP($A109,'[1]DRG UPL SFY21 Combined'!$A:$AZ,22,FALSE)))</f>
        <v>130072.35999999999</v>
      </c>
      <c r="H109" s="22"/>
      <c r="I109" s="22">
        <f t="shared" si="45"/>
        <v>130072.35999999999</v>
      </c>
      <c r="J109" s="23">
        <f>IF($E109=1,I109/$I$141,0)</f>
        <v>2.068491019649195E-3</v>
      </c>
      <c r="K109" s="22">
        <f>IFERROR(IF(C109="No",(VLOOKUP($A109,'[1]SHOPP UPL SFY2021 Combined INP'!$A:$AL,36,FALSE)),VLOOKUP($A109,'[1]DRG UPL SFY21 Combined'!$A:$AW,48,FALSE)),0)</f>
        <v>98735.549231826735</v>
      </c>
      <c r="L109" s="22">
        <f>IF($E109=1,ROUND($J109*(L$144+L$145),0),0)</f>
        <v>156300</v>
      </c>
      <c r="M109" s="22">
        <f>(IFERROR(VLOOKUP($A109,'[1]CAH 101% of cost'!$A$3:$BJ$44,48,FALSE),0))</f>
        <v>0</v>
      </c>
      <c r="N109" s="22">
        <f t="shared" si="46"/>
        <v>156300</v>
      </c>
      <c r="O109" s="22">
        <v>37594.800000000003</v>
      </c>
      <c r="P109" s="22">
        <f t="shared" si="47"/>
        <v>36886.800000000003</v>
      </c>
      <c r="Q109" s="22">
        <f t="shared" si="48"/>
        <v>38367</v>
      </c>
      <c r="R109" s="22">
        <f t="shared" si="49"/>
        <v>39075</v>
      </c>
      <c r="S109" s="22">
        <f t="shared" si="49"/>
        <v>39075</v>
      </c>
      <c r="T109" s="22">
        <f t="shared" si="50"/>
        <v>2188.1999999999998</v>
      </c>
      <c r="U109" s="22">
        <f t="shared" si="51"/>
        <v>-57564.450768173265</v>
      </c>
      <c r="V109" s="22"/>
      <c r="W109" s="22">
        <f>IFERROR(VLOOKUP($A109,'[1]Cost UPL SFY21 Combine'!$B:$AG,31,FALSE),0)+IFERROR(VLOOKUP($A109,'[1]Cost UPL SFY21 Combine'!$B:$AG,32,FALSE),0)</f>
        <v>342041.67073655967</v>
      </c>
      <c r="X109" s="23">
        <f>IF($E109=1,W109/$W$141,0)</f>
        <v>5.1619356138735868E-3</v>
      </c>
      <c r="Y109" s="22">
        <f>IFERROR(VLOOKUP($A109,'[1]SHOPP UPL SFY2021 Combined OUT'!$A:$AH,33,FALSE),0)</f>
        <v>923821.90896047256</v>
      </c>
      <c r="Z109" s="24">
        <f>IF($E109=1,ROUND($X109*(Z$144+Z$145),0),0)</f>
        <v>102640</v>
      </c>
      <c r="AA109" s="22">
        <f>(IFERROR(VLOOKUP(A109,'[1]CAH 101% of cost'!$A$3:$BP$44,64,FALSE),0))</f>
        <v>0</v>
      </c>
      <c r="AB109" s="22">
        <f t="shared" si="52"/>
        <v>102640</v>
      </c>
      <c r="AC109" s="22">
        <f>VLOOKUP(A109,'[2]2022 Hospital Access Payments'!$B$2:$H$70,6,FALSE)</f>
        <v>25917.05</v>
      </c>
      <c r="AD109" s="22">
        <f t="shared" si="53"/>
        <v>24223.040000000001</v>
      </c>
      <c r="AE109" s="22">
        <f t="shared" si="54"/>
        <v>23965.99</v>
      </c>
      <c r="AF109" s="22">
        <f t="shared" si="55"/>
        <v>25660</v>
      </c>
      <c r="AG109" s="22">
        <f t="shared" si="55"/>
        <v>25660</v>
      </c>
      <c r="AH109" s="22">
        <f t="shared" si="56"/>
        <v>1436.96</v>
      </c>
      <c r="AI109" s="22">
        <f t="shared" si="57"/>
        <v>821181.90896047256</v>
      </c>
      <c r="AJ109" s="26"/>
      <c r="AO109" s="26"/>
    </row>
    <row r="110" spans="1:41" x14ac:dyDescent="0.3">
      <c r="A110" s="109" t="s">
        <v>223</v>
      </c>
      <c r="B110" s="18" t="s">
        <v>224</v>
      </c>
      <c r="C110" s="19" t="str">
        <f>IFERROR(VLOOKUP(A110,'[1]SHOPP UPL SFY2021 Combined OUT'!$A:$F,6,FALSE),IFERROR(VLOOKUP(A110,'[1]SHOPP UPL SFY2021 Combined INP'!$A:$F,6,FALSE),VLOOKUP(A110,'[1]DRG UPL SFY21 Combined'!$A:$J,10,FALSE)))</f>
        <v>Yes</v>
      </c>
      <c r="D110" s="18">
        <v>2</v>
      </c>
      <c r="E110" s="20">
        <v>1</v>
      </c>
      <c r="F110" s="21">
        <f t="shared" si="44"/>
        <v>938403.29999999504</v>
      </c>
      <c r="G110" s="22">
        <f>IF(C110="No",(VLOOKUP($A110,'[1]Cost UPL SFY21 Combine'!$B:$AS,17,FALSE)+VLOOKUP($A110,'[1]Cost UPL SFY21 Combine'!$B:$AS,18,FALSE)+VLOOKUP($A110,'[1]Cost UPL SFY21 Combine'!$B:$AS,19,FALSE)),(VLOOKUP($A110,'[1]DRG UPL SFY21 Combined'!$A:$AZ,18,FALSE)+VLOOKUP($A110,'[1]DRG UPL SFY21 Combined'!$A:$AZ,19,FALSE)+VLOOKUP($A110,'[1]DRG UPL SFY21 Combined'!$A:$AZ,22,FALSE)))</f>
        <v>84429.860000000015</v>
      </c>
      <c r="H110" s="22"/>
      <c r="I110" s="22">
        <f t="shared" si="45"/>
        <v>84429.860000000015</v>
      </c>
      <c r="J110" s="23">
        <f>IF($E110=1,I110/$I$141,0)</f>
        <v>1.3426557894408836E-3</v>
      </c>
      <c r="K110" s="22">
        <f>IFERROR(IF(C110="No",(VLOOKUP($A110,'[1]SHOPP UPL SFY2021 Combined INP'!$A:$AL,36,FALSE)),VLOOKUP($A110,'[1]DRG UPL SFY21 Combined'!$A:$AW,48,FALSE)),0)</f>
        <v>66513.309579233959</v>
      </c>
      <c r="L110" s="22">
        <f>IF($E110=1,ROUND($J110*(L$144+L$145),0),0)</f>
        <v>101455</v>
      </c>
      <c r="M110" s="22">
        <f>(IFERROR(VLOOKUP($A110,'[1]CAH 101% of cost'!$A$3:$BJ$44,48,FALSE),0))</f>
        <v>0</v>
      </c>
      <c r="N110" s="22">
        <f t="shared" si="46"/>
        <v>101455</v>
      </c>
      <c r="O110" s="22">
        <v>24402.639999999999</v>
      </c>
      <c r="P110" s="22">
        <f t="shared" si="47"/>
        <v>23943.38</v>
      </c>
      <c r="Q110" s="22">
        <f t="shared" si="48"/>
        <v>24904.49</v>
      </c>
      <c r="R110" s="22">
        <f t="shared" si="49"/>
        <v>25363.75</v>
      </c>
      <c r="S110" s="22">
        <f t="shared" si="49"/>
        <v>25363.75</v>
      </c>
      <c r="T110" s="22">
        <f t="shared" si="50"/>
        <v>1420.37</v>
      </c>
      <c r="U110" s="22">
        <f t="shared" si="51"/>
        <v>-34941.690420766041</v>
      </c>
      <c r="V110" s="22"/>
      <c r="W110" s="22">
        <f>IFERROR(VLOOKUP($A110,'[1]Cost UPL SFY21 Combine'!$B:$AG,31,FALSE),0)+IFERROR(VLOOKUP($A110,'[1]Cost UPL SFY21 Combine'!$B:$AG,32,FALSE),0)</f>
        <v>853973.43999999505</v>
      </c>
      <c r="X110" s="23">
        <f>IF($E110=1,W110/$W$141,0)</f>
        <v>1.288777447421976E-2</v>
      </c>
      <c r="Y110" s="22">
        <f>IFERROR(VLOOKUP($A110,'[1]SHOPP UPL SFY2021 Combined OUT'!$A:$AH,33,FALSE),0)</f>
        <v>124023.18940848939</v>
      </c>
      <c r="Z110" s="24">
        <f>IF($E110=1,ROUND($X110*(Z$144+Z$145),0),0)</f>
        <v>256260</v>
      </c>
      <c r="AA110" s="22">
        <f>(IFERROR(VLOOKUP(A110,'[1]CAH 101% of cost'!$A$3:$BP$44,64,FALSE),0))</f>
        <v>0</v>
      </c>
      <c r="AB110" s="22">
        <f t="shared" si="52"/>
        <v>256260</v>
      </c>
      <c r="AC110" s="22">
        <f>VLOOKUP(A110,'[2]2022 Hospital Access Payments'!$B$2:$H$70,6,FALSE)</f>
        <v>63475.5</v>
      </c>
      <c r="AD110" s="22">
        <f t="shared" si="53"/>
        <v>60477.36</v>
      </c>
      <c r="AE110" s="22">
        <f t="shared" si="54"/>
        <v>61066.86</v>
      </c>
      <c r="AF110" s="22">
        <f t="shared" si="55"/>
        <v>64065</v>
      </c>
      <c r="AG110" s="22">
        <f t="shared" si="55"/>
        <v>64065</v>
      </c>
      <c r="AH110" s="22">
        <f t="shared" si="56"/>
        <v>3587.64</v>
      </c>
      <c r="AI110" s="22">
        <f t="shared" si="57"/>
        <v>-132236.81059151061</v>
      </c>
      <c r="AJ110" s="26"/>
      <c r="AO110" s="26"/>
    </row>
    <row r="111" spans="1:41" x14ac:dyDescent="0.3">
      <c r="A111" s="109" t="s">
        <v>225</v>
      </c>
      <c r="B111" s="18" t="s">
        <v>226</v>
      </c>
      <c r="C111" s="19" t="str">
        <f>IFERROR(VLOOKUP(A111,'[1]SHOPP UPL SFY2021 Combined OUT'!$A:$F,6,FALSE),IFERROR(VLOOKUP(A111,'[1]SHOPP UPL SFY2021 Combined INP'!$A:$F,6,FALSE),VLOOKUP(A111,'[1]DRG UPL SFY21 Combined'!$A:$J,10,FALSE)))</f>
        <v>Yes</v>
      </c>
      <c r="D111" s="18">
        <v>2</v>
      </c>
      <c r="E111" s="20">
        <v>1</v>
      </c>
      <c r="F111" s="21">
        <f t="shared" si="44"/>
        <v>506643.24921828549</v>
      </c>
      <c r="G111" s="22">
        <f>IF(C111="No",(VLOOKUP($A111,'[1]Cost UPL SFY21 Combine'!$B:$AS,17,FALSE)+VLOOKUP($A111,'[1]Cost UPL SFY21 Combine'!$B:$AS,18,FALSE)+VLOOKUP($A111,'[1]Cost UPL SFY21 Combine'!$B:$AS,19,FALSE)),(VLOOKUP($A111,'[1]DRG UPL SFY21 Combined'!$A:$AZ,18,FALSE)+VLOOKUP($A111,'[1]DRG UPL SFY21 Combined'!$A:$AZ,19,FALSE)+VLOOKUP($A111,'[1]DRG UPL SFY21 Combined'!$A:$AZ,22,FALSE)))</f>
        <v>159850.5</v>
      </c>
      <c r="H111" s="22"/>
      <c r="I111" s="22">
        <f t="shared" si="45"/>
        <v>159850.5</v>
      </c>
      <c r="J111" s="23">
        <f>IF($E111=1,I111/$I$141,0)</f>
        <v>2.542041397084159E-3</v>
      </c>
      <c r="K111" s="22">
        <f>IFERROR(IF(C111="No",(VLOOKUP($A111,'[1]SHOPP UPL SFY2021 Combined INP'!$A:$AL,36,FALSE)),VLOOKUP($A111,'[1]DRG UPL SFY21 Combined'!$A:$AW,48,FALSE)),0)</f>
        <v>131814.3770779348</v>
      </c>
      <c r="L111" s="22">
        <f>IF($E111=1,ROUND($J111*(L$144+L$145),0),0)</f>
        <v>192083</v>
      </c>
      <c r="M111" s="22">
        <f>(IFERROR(VLOOKUP($A111,'[1]CAH 101% of cost'!$A$3:$BJ$44,48,FALSE),0))</f>
        <v>0</v>
      </c>
      <c r="N111" s="22">
        <f t="shared" si="46"/>
        <v>192083</v>
      </c>
      <c r="O111" s="22">
        <v>43285.94</v>
      </c>
      <c r="P111" s="22">
        <f t="shared" si="47"/>
        <v>45331.59</v>
      </c>
      <c r="Q111" s="22">
        <f t="shared" si="48"/>
        <v>50066.399999999994</v>
      </c>
      <c r="R111" s="22">
        <f t="shared" si="49"/>
        <v>48020.75</v>
      </c>
      <c r="S111" s="22">
        <f t="shared" si="49"/>
        <v>48020.75</v>
      </c>
      <c r="T111" s="22">
        <f t="shared" si="50"/>
        <v>2689.16</v>
      </c>
      <c r="U111" s="22">
        <f t="shared" si="51"/>
        <v>-60268.622922065202</v>
      </c>
      <c r="V111" s="22"/>
      <c r="W111" s="22">
        <f>IFERROR(VLOOKUP($A111,'[1]Cost UPL SFY21 Combine'!$B:$AG,31,FALSE),0)+IFERROR(VLOOKUP($A111,'[1]Cost UPL SFY21 Combine'!$B:$AG,32,FALSE),0)</f>
        <v>346792.74921828549</v>
      </c>
      <c r="X111" s="23">
        <f>IF($E111=1,W111/$W$141,0)</f>
        <v>5.2336367056333042E-3</v>
      </c>
      <c r="Y111" s="22">
        <f>IFERROR(VLOOKUP($A111,'[1]SHOPP UPL SFY2021 Combined OUT'!$A:$AH,33,FALSE),0)</f>
        <v>201880.11036311166</v>
      </c>
      <c r="Z111" s="24">
        <f>IF($E111=1,ROUND($X111*(Z$144+Z$145),0),0)</f>
        <v>104065</v>
      </c>
      <c r="AA111" s="22">
        <f>(IFERROR(VLOOKUP(A111,'[1]CAH 101% of cost'!$A$3:$BP$44,64,FALSE),0))</f>
        <v>0</v>
      </c>
      <c r="AB111" s="22">
        <f t="shared" si="52"/>
        <v>104065</v>
      </c>
      <c r="AC111" s="22">
        <f>VLOOKUP(A111,'[2]2022 Hospital Access Payments'!$B$2:$H$70,6,FALSE)</f>
        <v>24408.3</v>
      </c>
      <c r="AD111" s="22">
        <f t="shared" si="53"/>
        <v>24559.34</v>
      </c>
      <c r="AE111" s="22">
        <f t="shared" si="54"/>
        <v>26167.29</v>
      </c>
      <c r="AF111" s="22">
        <f t="shared" si="55"/>
        <v>26016.25</v>
      </c>
      <c r="AG111" s="22">
        <f t="shared" si="55"/>
        <v>26016.25</v>
      </c>
      <c r="AH111" s="22">
        <f t="shared" si="56"/>
        <v>1456.91</v>
      </c>
      <c r="AI111" s="22">
        <f t="shared" si="57"/>
        <v>97815.110363111657</v>
      </c>
      <c r="AJ111" s="26"/>
      <c r="AO111" s="26"/>
    </row>
    <row r="112" spans="1:41" ht="12" customHeight="1" x14ac:dyDescent="0.3">
      <c r="A112" s="109" t="s">
        <v>227</v>
      </c>
      <c r="B112" s="18" t="s">
        <v>228</v>
      </c>
      <c r="C112" s="19" t="str">
        <f>IFERROR(VLOOKUP(A112,'[1]SHOPP UPL SFY2021 Combined OUT'!$A:$F,6,FALSE),IFERROR(VLOOKUP(A112,'[1]SHOPP UPL SFY2021 Combined INP'!$A:$F,6,FALSE),VLOOKUP(A112,'[1]DRG UPL SFY21 Combined'!$A:$J,10,FALSE)))</f>
        <v>Yes</v>
      </c>
      <c r="D112" s="18">
        <v>2</v>
      </c>
      <c r="E112" s="20">
        <v>1</v>
      </c>
      <c r="F112" s="21">
        <f t="shared" si="44"/>
        <v>2051918.69</v>
      </c>
      <c r="G112" s="22">
        <f>IF(C112="No",(VLOOKUP($A112,'[1]Cost UPL SFY21 Combine'!$B:$AS,17,FALSE)+VLOOKUP($A112,'[1]Cost UPL SFY21 Combine'!$B:$AS,18,FALSE)+VLOOKUP($A112,'[1]Cost UPL SFY21 Combine'!$B:$AS,19,FALSE)),(VLOOKUP($A112,'[1]DRG UPL SFY21 Combined'!$A:$AZ,18,FALSE)+VLOOKUP($A112,'[1]DRG UPL SFY21 Combined'!$A:$AZ,19,FALSE)+VLOOKUP($A112,'[1]DRG UPL SFY21 Combined'!$A:$AZ,22,FALSE)))</f>
        <v>364538.45</v>
      </c>
      <c r="H112" s="22"/>
      <c r="I112" s="22">
        <f t="shared" si="45"/>
        <v>364538.45</v>
      </c>
      <c r="J112" s="23">
        <f>IF($E112=1,I112/$I$141,0)</f>
        <v>5.7971156219648601E-3</v>
      </c>
      <c r="K112" s="22">
        <f>IFERROR(IF(C112="No",(VLOOKUP($A112,'[1]SHOPP UPL SFY2021 Combined INP'!$A:$AL,36,FALSE)),VLOOKUP($A112,'[1]DRG UPL SFY21 Combined'!$A:$AW,48,FALSE)),0)</f>
        <v>373091.02634655166</v>
      </c>
      <c r="L112" s="22">
        <f>IF($E112=1,ROUND($J112*(L$144+L$145),0),0)</f>
        <v>438045</v>
      </c>
      <c r="M112" s="22">
        <f>(IFERROR(VLOOKUP($A112,'[1]CAH 101% of cost'!$A$3:$BJ$44,48,FALSE),0))</f>
        <v>0</v>
      </c>
      <c r="N112" s="22">
        <f t="shared" si="46"/>
        <v>438045</v>
      </c>
      <c r="O112" s="22">
        <v>100664.62</v>
      </c>
      <c r="P112" s="22">
        <f t="shared" si="47"/>
        <v>103378.62</v>
      </c>
      <c r="Q112" s="22">
        <f t="shared" si="48"/>
        <v>112225.25</v>
      </c>
      <c r="R112" s="22">
        <f t="shared" si="49"/>
        <v>109511.25</v>
      </c>
      <c r="S112" s="22">
        <f t="shared" si="49"/>
        <v>109511.25</v>
      </c>
      <c r="T112" s="22">
        <f t="shared" si="50"/>
        <v>6132.63</v>
      </c>
      <c r="U112" s="22">
        <f t="shared" si="51"/>
        <v>-64953.973653448338</v>
      </c>
      <c r="V112" s="22"/>
      <c r="W112" s="22">
        <f>IFERROR(VLOOKUP($A112,'[1]Cost UPL SFY21 Combine'!$B:$AG,31,FALSE),0)+IFERROR(VLOOKUP($A112,'[1]Cost UPL SFY21 Combine'!$B:$AG,32,FALSE),0)</f>
        <v>1687380.24</v>
      </c>
      <c r="X112" s="23">
        <f>IF($E112=1,W112/$W$141,0)</f>
        <v>2.546516667470939E-2</v>
      </c>
      <c r="Y112" s="22">
        <f>IFERROR(VLOOKUP($A112,'[1]SHOPP UPL SFY2021 Combined OUT'!$A:$AH,33,FALSE),0)</f>
        <v>622975.49036885006</v>
      </c>
      <c r="Z112" s="24">
        <f>IF($E112=1,ROUND($X112*(Z$144+Z$145),0),0)</f>
        <v>506348</v>
      </c>
      <c r="AA112" s="22">
        <f>(IFERROR(VLOOKUP(A112,'[1]CAH 101% of cost'!$A$3:$BP$44,64,FALSE),0))</f>
        <v>0</v>
      </c>
      <c r="AB112" s="22">
        <f t="shared" si="52"/>
        <v>506348</v>
      </c>
      <c r="AC112" s="22">
        <f>VLOOKUP(A112,'[2]2022 Hospital Access Payments'!$B$2:$H$70,6,FALSE)</f>
        <v>122361.28</v>
      </c>
      <c r="AD112" s="22">
        <f t="shared" si="53"/>
        <v>119498.13</v>
      </c>
      <c r="AE112" s="22">
        <f t="shared" si="54"/>
        <v>123723.85</v>
      </c>
      <c r="AF112" s="22">
        <f t="shared" si="55"/>
        <v>126587</v>
      </c>
      <c r="AG112" s="22">
        <f t="shared" si="55"/>
        <v>126587</v>
      </c>
      <c r="AH112" s="22">
        <f t="shared" si="56"/>
        <v>7088.87</v>
      </c>
      <c r="AI112" s="22">
        <f t="shared" si="57"/>
        <v>116627.49036885006</v>
      </c>
      <c r="AJ112" s="26"/>
      <c r="AO112" s="26"/>
    </row>
    <row r="113" spans="1:41" x14ac:dyDescent="0.3">
      <c r="A113" s="109" t="s">
        <v>229</v>
      </c>
      <c r="B113" s="18" t="s">
        <v>230</v>
      </c>
      <c r="C113" s="19" t="str">
        <f>IFERROR(VLOOKUP(A113,'[1]SHOPP UPL SFY2021 Combined OUT'!$A:$F,6,FALSE),IFERROR(VLOOKUP(A113,'[1]SHOPP UPL SFY2021 Combined INP'!$A:$F,6,FALSE),VLOOKUP(A113,'[1]DRG UPL SFY21 Combined'!$A:$J,10,FALSE)))</f>
        <v>Yes</v>
      </c>
      <c r="D113" s="18">
        <v>2</v>
      </c>
      <c r="E113" s="20">
        <v>1</v>
      </c>
      <c r="F113" s="21">
        <f t="shared" si="44"/>
        <v>15529855.959093969</v>
      </c>
      <c r="G113" s="22">
        <f>IF(C113="No",(VLOOKUP($A113,'[1]Cost UPL SFY21 Combine'!$B:$AS,17,FALSE)+VLOOKUP($A113,'[1]Cost UPL SFY21 Combine'!$B:$AS,18,FALSE)+VLOOKUP($A113,'[1]Cost UPL SFY21 Combine'!$B:$AS,19,FALSE)),(VLOOKUP($A113,'[1]DRG UPL SFY21 Combined'!$A:$AZ,18,FALSE)+VLOOKUP($A113,'[1]DRG UPL SFY21 Combined'!$A:$AZ,19,FALSE)+VLOOKUP($A113,'[1]DRG UPL SFY21 Combined'!$A:$AZ,22,FALSE)))</f>
        <v>4946952.04</v>
      </c>
      <c r="H113" s="22"/>
      <c r="I113" s="22">
        <f t="shared" si="45"/>
        <v>4946952.04</v>
      </c>
      <c r="J113" s="23">
        <f>IF($E113=1,I113/$I$141,0)</f>
        <v>7.8669487271356239E-2</v>
      </c>
      <c r="K113" s="22">
        <f>IFERROR(IF(C113="No",(VLOOKUP($A113,'[1]SHOPP UPL SFY2021 Combined INP'!$A:$AL,36,FALSE)),VLOOKUP($A113,'[1]DRG UPL SFY21 Combined'!$A:$AW,48,FALSE)),0)</f>
        <v>7032208.4516500616</v>
      </c>
      <c r="L113" s="22">
        <f>IF($E113=1,ROUND($J113*(L$144+L$145),0),0)</f>
        <v>5944468</v>
      </c>
      <c r="M113" s="22">
        <f>(IFERROR(VLOOKUP($A113,'[1]CAH 101% of cost'!$A$3:$BJ$44,48,FALSE),0))</f>
        <v>0</v>
      </c>
      <c r="N113" s="22">
        <f t="shared" si="46"/>
        <v>5944468</v>
      </c>
      <c r="O113" s="22">
        <v>1419415.16</v>
      </c>
      <c r="P113" s="22">
        <f t="shared" si="47"/>
        <v>1402894.45</v>
      </c>
      <c r="Q113" s="22">
        <f t="shared" si="48"/>
        <v>1469596.29</v>
      </c>
      <c r="R113" s="22">
        <f t="shared" si="49"/>
        <v>1486117</v>
      </c>
      <c r="S113" s="22">
        <f t="shared" si="49"/>
        <v>1486117</v>
      </c>
      <c r="T113" s="22">
        <f t="shared" si="50"/>
        <v>83222.55</v>
      </c>
      <c r="U113" s="22">
        <f t="shared" si="51"/>
        <v>1087740.4516500616</v>
      </c>
      <c r="V113" s="22"/>
      <c r="W113" s="22">
        <f>IFERROR(VLOOKUP($A113,'[1]Cost UPL SFY21 Combine'!$B:$AG,31,FALSE),0)+IFERROR(VLOOKUP($A113,'[1]Cost UPL SFY21 Combine'!$B:$AG,32,FALSE),0)</f>
        <v>10582903.919093968</v>
      </c>
      <c r="X113" s="23">
        <f>IF($E113=1,W113/$W$141,0)</f>
        <v>0.15971231961455415</v>
      </c>
      <c r="Y113" s="22">
        <f>IFERROR(VLOOKUP($A113,'[1]SHOPP UPL SFY2021 Combined OUT'!$A:$AH,33,FALSE),0)</f>
        <v>3436759.6275581475</v>
      </c>
      <c r="Z113" s="24">
        <f>IF($E113=1,ROUND($X113*(Z$144+Z$145),0),0)</f>
        <v>3175710</v>
      </c>
      <c r="AA113" s="22">
        <f>(IFERROR(VLOOKUP(A113,'[1]CAH 101% of cost'!$A$3:$BP$44,64,FALSE),0))</f>
        <v>0</v>
      </c>
      <c r="AB113" s="22">
        <f t="shared" si="52"/>
        <v>3175710</v>
      </c>
      <c r="AC113" s="22">
        <f>VLOOKUP(A113,'[2]2022 Hospital Access Payments'!$B$2:$H$70,6,FALSE)</f>
        <v>723795.48</v>
      </c>
      <c r="AD113" s="22">
        <f t="shared" si="53"/>
        <v>749467.56</v>
      </c>
      <c r="AE113" s="22">
        <f t="shared" si="54"/>
        <v>819599.58000000007</v>
      </c>
      <c r="AF113" s="22">
        <f t="shared" si="55"/>
        <v>793927.5</v>
      </c>
      <c r="AG113" s="22">
        <f t="shared" si="55"/>
        <v>793927.5</v>
      </c>
      <c r="AH113" s="22">
        <f t="shared" si="56"/>
        <v>44459.94</v>
      </c>
      <c r="AI113" s="22">
        <f t="shared" si="57"/>
        <v>261049.62755814753</v>
      </c>
      <c r="AJ113" s="26"/>
      <c r="AO113" s="26"/>
    </row>
    <row r="114" spans="1:41" x14ac:dyDescent="0.3">
      <c r="A114" s="109" t="s">
        <v>231</v>
      </c>
      <c r="B114" s="18" t="s">
        <v>232</v>
      </c>
      <c r="C114" s="19" t="str">
        <f>IFERROR(VLOOKUP(A114,'[1]SHOPP UPL SFY2021 Combined OUT'!$A:$F,6,FALSE),IFERROR(VLOOKUP(A114,'[1]SHOPP UPL SFY2021 Combined INP'!$A:$F,6,FALSE),VLOOKUP(A114,'[1]DRG UPL SFY21 Combined'!$A:$J,10,FALSE)))</f>
        <v>Yes</v>
      </c>
      <c r="D114" s="18">
        <v>2</v>
      </c>
      <c r="E114" s="20">
        <v>1</v>
      </c>
      <c r="F114" s="21">
        <f t="shared" si="44"/>
        <v>5003168.6853996329</v>
      </c>
      <c r="G114" s="22">
        <f>IF(C114="No",(VLOOKUP($A114,'[1]Cost UPL SFY21 Combine'!$B:$AS,17,FALSE)+VLOOKUP($A114,'[1]Cost UPL SFY21 Combine'!$B:$AS,18,FALSE)+VLOOKUP($A114,'[1]Cost UPL SFY21 Combine'!$B:$AS,19,FALSE)),(VLOOKUP($A114,'[1]DRG UPL SFY21 Combined'!$A:$AZ,18,FALSE)+VLOOKUP($A114,'[1]DRG UPL SFY21 Combined'!$A:$AZ,19,FALSE)+VLOOKUP($A114,'[1]DRG UPL SFY21 Combined'!$A:$AZ,22,FALSE)))</f>
        <v>3618804.17</v>
      </c>
      <c r="H114" s="22"/>
      <c r="I114" s="22">
        <f t="shared" si="45"/>
        <v>3618804.17</v>
      </c>
      <c r="J114" s="23">
        <f>IF($E114=1,I114/$I$141,0)</f>
        <v>5.7548459392249507E-2</v>
      </c>
      <c r="K114" s="22">
        <f>IFERROR(IF(C114="No",(VLOOKUP($A114,'[1]SHOPP UPL SFY2021 Combined INP'!$A:$AL,36,FALSE)),VLOOKUP($A114,'[1]DRG UPL SFY21 Combined'!$A:$AW,48,FALSE)),0)</f>
        <v>7211168.4471357539</v>
      </c>
      <c r="L114" s="22">
        <f>IF($E114=1,ROUND($J114*(L$144+L$145),0),0)</f>
        <v>4348509</v>
      </c>
      <c r="M114" s="22">
        <f>(IFERROR(VLOOKUP($A114,'[1]CAH 101% of cost'!$A$3:$BJ$44,48,FALSE),0))</f>
        <v>0</v>
      </c>
      <c r="N114" s="22">
        <f t="shared" si="46"/>
        <v>4348509</v>
      </c>
      <c r="O114" s="22">
        <v>1045940.67</v>
      </c>
      <c r="P114" s="22">
        <f t="shared" si="47"/>
        <v>1026248.12</v>
      </c>
      <c r="Q114" s="22">
        <f t="shared" si="48"/>
        <v>1067434.7</v>
      </c>
      <c r="R114" s="22">
        <f t="shared" si="49"/>
        <v>1087127.25</v>
      </c>
      <c r="S114" s="22">
        <f t="shared" si="49"/>
        <v>1087127.25</v>
      </c>
      <c r="T114" s="22">
        <f t="shared" si="50"/>
        <v>60879.13</v>
      </c>
      <c r="U114" s="22">
        <f t="shared" si="51"/>
        <v>2862659.4471357539</v>
      </c>
      <c r="V114" s="22"/>
      <c r="W114" s="22">
        <f>IFERROR(VLOOKUP($A114,'[1]Cost UPL SFY21 Combine'!$B:$AG,31,FALSE),0)+IFERROR(VLOOKUP($A114,'[1]Cost UPL SFY21 Combine'!$B:$AG,32,FALSE),0)</f>
        <v>1384364.5153996334</v>
      </c>
      <c r="X114" s="23">
        <f>IF($E114=1,W114/$W$141,0)</f>
        <v>2.0892192694638264E-2</v>
      </c>
      <c r="Y114" s="22">
        <f>IFERROR(VLOOKUP($A114,'[1]SHOPP UPL SFY2021 Combined OUT'!$A:$AH,33,FALSE),0)</f>
        <v>1020200.6277470281</v>
      </c>
      <c r="Z114" s="24">
        <f>IF($E114=1,ROUND($X114*(Z$144+Z$145),0),0)</f>
        <v>415419</v>
      </c>
      <c r="AA114" s="22">
        <f>(IFERROR(VLOOKUP(A114,'[1]CAH 101% of cost'!$A$3:$BP$44,64,FALSE),0))</f>
        <v>0</v>
      </c>
      <c r="AB114" s="22">
        <f t="shared" si="52"/>
        <v>415419</v>
      </c>
      <c r="AC114" s="22">
        <f>VLOOKUP(A114,'[2]2022 Hospital Access Payments'!$B$2:$H$70,6,FALSE)</f>
        <v>102676.05</v>
      </c>
      <c r="AD114" s="22">
        <f t="shared" si="53"/>
        <v>98038.88</v>
      </c>
      <c r="AE114" s="22">
        <f t="shared" si="54"/>
        <v>99217.58</v>
      </c>
      <c r="AF114" s="22">
        <f t="shared" si="55"/>
        <v>103854.75</v>
      </c>
      <c r="AG114" s="22">
        <f t="shared" si="55"/>
        <v>103854.75</v>
      </c>
      <c r="AH114" s="22">
        <f t="shared" si="56"/>
        <v>5815.87</v>
      </c>
      <c r="AI114" s="22">
        <f t="shared" si="57"/>
        <v>604781.62774702813</v>
      </c>
      <c r="AJ114" s="26"/>
      <c r="AO114" s="26"/>
    </row>
    <row r="115" spans="1:41" x14ac:dyDescent="0.3">
      <c r="A115" s="17"/>
      <c r="C115" s="19"/>
      <c r="E115" s="20"/>
      <c r="F115" s="21"/>
      <c r="G115" s="22"/>
      <c r="H115" s="22"/>
      <c r="I115" s="22"/>
      <c r="J115" s="23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3"/>
      <c r="Y115" s="22"/>
      <c r="Z115" s="24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41" s="35" customFormat="1" x14ac:dyDescent="0.3">
      <c r="A116" s="27"/>
      <c r="B116" s="28" t="s">
        <v>233</v>
      </c>
      <c r="C116" s="29"/>
      <c r="D116" s="30"/>
      <c r="E116" s="31"/>
      <c r="F116" s="32"/>
      <c r="G116" s="32"/>
      <c r="H116" s="32"/>
      <c r="I116" s="32"/>
      <c r="J116" s="3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3"/>
      <c r="Y116" s="32"/>
      <c r="Z116" s="34"/>
      <c r="AA116" s="32"/>
      <c r="AB116" s="32"/>
      <c r="AC116" s="32"/>
      <c r="AD116" s="32"/>
      <c r="AE116" s="32"/>
      <c r="AF116" s="32"/>
      <c r="AG116" s="32"/>
      <c r="AH116" s="32"/>
      <c r="AI116" s="32"/>
      <c r="AK116" s="36"/>
      <c r="AL116" s="36"/>
    </row>
    <row r="117" spans="1:41" x14ac:dyDescent="0.3">
      <c r="A117" s="109" t="s">
        <v>234</v>
      </c>
      <c r="B117" s="123" t="s">
        <v>235</v>
      </c>
      <c r="C117" s="128" t="str">
        <f>IFERROR(VLOOKUP(A117,'[1]SHOPP UPL SFY2021 Combined OUT'!$A:$F,6,FALSE),IFERROR(VLOOKUP(A117,'[1]SHOPP UPL SFY2021 Combined INP'!$A:$F,6,FALSE),VLOOKUP(A117,'[1]DRG UPL SFY21 Combined'!$A:$J,10,FALSE)))</f>
        <v>No</v>
      </c>
      <c r="D117" s="123">
        <v>2</v>
      </c>
      <c r="E117" s="50">
        <v>0</v>
      </c>
      <c r="F117" s="21">
        <f t="shared" ref="F117:F137" si="58">G117+W117</f>
        <v>1225340.1315868814</v>
      </c>
      <c r="G117" s="22">
        <f>IF(C117="No",(VLOOKUP($A117,'[1]Cost UPL SFY21 Combine'!$B:$AS,17,FALSE)+VLOOKUP($A117,'[1]Cost UPL SFY21 Combine'!$B:$AS,18,FALSE)+VLOOKUP($A117,'[1]Cost UPL SFY21 Combine'!$B:$AS,19,FALSE)),(VLOOKUP($A117,'[1]DRG UPL SFY21 Combined'!$A:$AZ,18,FALSE)+VLOOKUP($A117,'[1]DRG UPL SFY21 Combined'!$A:$AZ,19,FALSE)+VLOOKUP($A117,'[1]DRG UPL SFY21 Combined'!$A:$AZ,22,FALSE)))</f>
        <v>339269.77</v>
      </c>
      <c r="H117" s="22"/>
      <c r="I117" s="22">
        <f t="shared" ref="I117:I137" si="59">G117+H117</f>
        <v>339269.77</v>
      </c>
      <c r="J117" s="23">
        <f>IF($E117=1,I117/$I$141,0)</f>
        <v>0</v>
      </c>
      <c r="K117" s="22">
        <f>IFERROR(IF(C117="No",(VLOOKUP($A117,'[1]SHOPP UPL SFY2021 Combined INP'!$A:$AL,36,FALSE)),VLOOKUP($A117,'[1]DRG UPL SFY21 Combined'!$A:$AW,48,FALSE)),0)</f>
        <v>225410.12693000463</v>
      </c>
      <c r="L117" s="22">
        <f>IF($E117=1,ROUND($J117*(L$144+L$145),0),0)</f>
        <v>0</v>
      </c>
      <c r="M117" s="22">
        <f>(IFERROR(VLOOKUP($A117,'[1]CAH 101% of cost'!$A$3:$BJ$44,48,FALSE),0))</f>
        <v>206775</v>
      </c>
      <c r="N117" s="22">
        <f t="shared" ref="N117:N137" si="60">L117+M117</f>
        <v>206775</v>
      </c>
      <c r="O117" s="22">
        <v>68390.25</v>
      </c>
      <c r="P117" s="22">
        <f t="shared" ref="P117:P137" si="61">ROUND($N117*25%,2)</f>
        <v>51693.75</v>
      </c>
      <c r="Q117" s="22">
        <f t="shared" ref="Q117:Q137" si="62">P117-O117+ROUND($N117*25%,2)</f>
        <v>34997.25</v>
      </c>
      <c r="R117" s="22">
        <f t="shared" ref="R117:S137" si="63">ROUND($N117*25%,2)</f>
        <v>51693.75</v>
      </c>
      <c r="S117" s="22">
        <f t="shared" si="63"/>
        <v>51693.75</v>
      </c>
      <c r="T117" s="22">
        <v>0</v>
      </c>
      <c r="U117" s="22">
        <f t="shared" ref="U117:U137" si="64">+K117-(L117+M117)</f>
        <v>18635.126930004626</v>
      </c>
      <c r="V117" s="22"/>
      <c r="W117" s="22">
        <f>IFERROR(VLOOKUP($A117,'[1]Cost UPL SFY21 Combine'!$B:$AG,31,FALSE),0)+IFERROR(VLOOKUP($A117,'[1]Cost UPL SFY21 Combine'!$B:$AG,32,FALSE),0)</f>
        <v>886070.36158688122</v>
      </c>
      <c r="X117" s="23">
        <f>IF($E117=1,W117/$W$141,0)</f>
        <v>0</v>
      </c>
      <c r="Y117" s="22">
        <f>IFERROR(VLOOKUP($A117,'[1]SHOPP UPL SFY2021 Combined OUT'!$A:$AH,33,FALSE),0)</f>
        <v>687778.91673832061</v>
      </c>
      <c r="Z117" s="24">
        <f>IF($E117=1,ROUND($X117*(Z$144+Z$145),0),0)</f>
        <v>0</v>
      </c>
      <c r="AA117" s="22">
        <f>(IFERROR(VLOOKUP(A117,'[1]CAH 101% of cost'!$A$3:$BP$44,64,FALSE),0))</f>
        <v>700794</v>
      </c>
      <c r="AB117" s="22">
        <f t="shared" ref="AB117:AB137" si="65">Z117+AA117</f>
        <v>700794</v>
      </c>
      <c r="AC117" s="22">
        <f>VLOOKUP(A117,'[2]2022 CAH Payments'!$B$2:$G$40,6,FALSE)</f>
        <v>134800.5</v>
      </c>
      <c r="AD117" s="22">
        <f>ROUND($AB117*25%,2)</f>
        <v>175198.5</v>
      </c>
      <c r="AE117" s="22">
        <f t="shared" ref="AE117:AE137" si="66">AD117-AC117+ROUND($AB117*25%,2)</f>
        <v>215596.5</v>
      </c>
      <c r="AF117" s="22">
        <f t="shared" ref="AF117:AG137" si="67">ROUND($AB117*25%,2)</f>
        <v>175198.5</v>
      </c>
      <c r="AG117" s="22">
        <f t="shared" si="67"/>
        <v>175198.5</v>
      </c>
      <c r="AH117" s="22">
        <v>0</v>
      </c>
      <c r="AI117" s="22">
        <f t="shared" ref="AI117:AI137" si="68">+Y117-(Z117+AA117)</f>
        <v>-13015.083261679392</v>
      </c>
      <c r="AJ117" s="26"/>
      <c r="AO117" s="26"/>
    </row>
    <row r="118" spans="1:41" x14ac:dyDescent="0.3">
      <c r="A118" s="109" t="s">
        <v>236</v>
      </c>
      <c r="B118" s="123" t="s">
        <v>237</v>
      </c>
      <c r="C118" s="128" t="str">
        <f>IFERROR(VLOOKUP(A118,'[1]SHOPP UPL SFY2021 Combined OUT'!$A:$F,6,FALSE),IFERROR(VLOOKUP(A118,'[1]SHOPP UPL SFY2021 Combined INP'!$A:$F,6,FALSE),VLOOKUP(A118,'[1]DRG UPL SFY21 Combined'!$A:$J,10,FALSE)))</f>
        <v>No</v>
      </c>
      <c r="D118" s="123">
        <v>2</v>
      </c>
      <c r="E118" s="50">
        <v>0</v>
      </c>
      <c r="F118" s="21">
        <f t="shared" si="58"/>
        <v>602480.06999999902</v>
      </c>
      <c r="G118" s="22">
        <f>IF(C118="No",(VLOOKUP($A118,'[1]Cost UPL SFY21 Combine'!$B:$AS,17,FALSE)+VLOOKUP($A118,'[1]Cost UPL SFY21 Combine'!$B:$AS,18,FALSE)+VLOOKUP($A118,'[1]Cost UPL SFY21 Combine'!$B:$AS,19,FALSE)),(VLOOKUP($A118,'[1]DRG UPL SFY21 Combined'!$A:$AZ,18,FALSE)+VLOOKUP($A118,'[1]DRG UPL SFY21 Combined'!$A:$AZ,19,FALSE)+VLOOKUP($A118,'[1]DRG UPL SFY21 Combined'!$A:$AZ,22,FALSE)))</f>
        <v>240217.58000000002</v>
      </c>
      <c r="H118" s="22"/>
      <c r="I118" s="22">
        <f t="shared" si="59"/>
        <v>240217.58000000002</v>
      </c>
      <c r="J118" s="23">
        <f>IF($E118=1,I118/$I$141,0)</f>
        <v>0</v>
      </c>
      <c r="K118" s="22">
        <f>IFERROR(IF(C118="No",(VLOOKUP($A118,'[1]SHOPP UPL SFY2021 Combined INP'!$A:$AL,36,FALSE)),VLOOKUP($A118,'[1]DRG UPL SFY21 Combined'!$A:$AW,48,FALSE)),0)</f>
        <v>359956.71375563729</v>
      </c>
      <c r="L118" s="22">
        <f>IF($E118=1,ROUND($J118*(L$144+L$145),0),0)</f>
        <v>0</v>
      </c>
      <c r="M118" s="22">
        <f>(IFERROR(VLOOKUP($A118,'[1]CAH 101% of cost'!$A$3:$BJ$44,48,FALSE),0))</f>
        <v>372740</v>
      </c>
      <c r="N118" s="22">
        <f t="shared" si="60"/>
        <v>372740</v>
      </c>
      <c r="O118" s="22">
        <v>51608</v>
      </c>
      <c r="P118" s="22">
        <f t="shared" si="61"/>
        <v>93185</v>
      </c>
      <c r="Q118" s="22">
        <f t="shared" si="62"/>
        <v>134762</v>
      </c>
      <c r="R118" s="22">
        <f t="shared" si="63"/>
        <v>93185</v>
      </c>
      <c r="S118" s="22">
        <f t="shared" si="63"/>
        <v>93185</v>
      </c>
      <c r="T118" s="22">
        <v>0</v>
      </c>
      <c r="U118" s="22">
        <f t="shared" si="64"/>
        <v>-12783.286244362709</v>
      </c>
      <c r="V118" s="22"/>
      <c r="W118" s="22">
        <f>IFERROR(VLOOKUP($A118,'[1]Cost UPL SFY21 Combine'!$B:$AG,31,FALSE),0)+IFERROR(VLOOKUP($A118,'[1]Cost UPL SFY21 Combine'!$B:$AG,32,FALSE),0)</f>
        <v>362262.489999999</v>
      </c>
      <c r="X118" s="23">
        <f>IF($E118=1,W118/$W$141,0)</f>
        <v>0</v>
      </c>
      <c r="Y118" s="22">
        <f>IFERROR(VLOOKUP($A118,'[1]SHOPP UPL SFY2021 Combined OUT'!$A:$AH,33,FALSE),0)</f>
        <v>685718.90818883642</v>
      </c>
      <c r="Z118" s="24">
        <f>IF($E118=1,ROUND($X118*(Z$144+Z$145),0),0)</f>
        <v>0</v>
      </c>
      <c r="AA118" s="22">
        <f>(IFERROR(VLOOKUP(A118,'[1]CAH 101% of cost'!$A$3:$BP$44,64,FALSE),0))</f>
        <v>608641</v>
      </c>
      <c r="AB118" s="22">
        <f t="shared" si="65"/>
        <v>608641</v>
      </c>
      <c r="AC118" s="22">
        <f>VLOOKUP(A118,'[2]2022 CAH Payments'!$B$2:$G$40,6,FALSE)</f>
        <v>115393</v>
      </c>
      <c r="AD118" s="22">
        <f t="shared" ref="AD118:AD137" si="69">ROUND($AB118*25%,2)</f>
        <v>152160.25</v>
      </c>
      <c r="AE118" s="22">
        <f t="shared" si="66"/>
        <v>188927.5</v>
      </c>
      <c r="AF118" s="22">
        <f t="shared" si="67"/>
        <v>152160.25</v>
      </c>
      <c r="AG118" s="22">
        <f t="shared" si="67"/>
        <v>152160.25</v>
      </c>
      <c r="AH118" s="22">
        <v>0</v>
      </c>
      <c r="AI118" s="22">
        <f t="shared" si="68"/>
        <v>77077.908188836416</v>
      </c>
      <c r="AJ118" s="26"/>
      <c r="AO118" s="26"/>
    </row>
    <row r="119" spans="1:41" x14ac:dyDescent="0.3">
      <c r="A119" s="109" t="s">
        <v>238</v>
      </c>
      <c r="B119" s="123" t="s">
        <v>239</v>
      </c>
      <c r="C119" s="128" t="str">
        <f>IFERROR(VLOOKUP(A119,'[1]SHOPP UPL SFY2021 Combined OUT'!$A:$F,6,FALSE),IFERROR(VLOOKUP(A119,'[1]SHOPP UPL SFY2021 Combined INP'!$A:$F,6,FALSE),VLOOKUP(A119,'[1]DRG UPL SFY21 Combined'!$A:$J,10,FALSE)))</f>
        <v>No</v>
      </c>
      <c r="D119" s="123">
        <v>2</v>
      </c>
      <c r="E119" s="50">
        <v>0</v>
      </c>
      <c r="F119" s="21">
        <f t="shared" si="58"/>
        <v>63791.89</v>
      </c>
      <c r="G119" s="22">
        <f>IF(C119="No",(VLOOKUP($A119,'[1]Cost UPL SFY21 Combine'!$B:$AS,17,FALSE)+VLOOKUP($A119,'[1]Cost UPL SFY21 Combine'!$B:$AS,18,FALSE)+VLOOKUP($A119,'[1]Cost UPL SFY21 Combine'!$B:$AS,19,FALSE)),(VLOOKUP($A119,'[1]DRG UPL SFY21 Combined'!$A:$AZ,18,FALSE)+VLOOKUP($A119,'[1]DRG UPL SFY21 Combined'!$A:$AZ,19,FALSE)+VLOOKUP($A119,'[1]DRG UPL SFY21 Combined'!$A:$AZ,22,FALSE)))</f>
        <v>3365.5</v>
      </c>
      <c r="H119" s="22"/>
      <c r="I119" s="22">
        <f t="shared" si="59"/>
        <v>3365.5</v>
      </c>
      <c r="J119" s="23">
        <f>IF($E119=1,I119/$I$141,0)</f>
        <v>0</v>
      </c>
      <c r="K119" s="22">
        <f>IFERROR(IF(C119="No",(VLOOKUP($A119,'[1]SHOPP UPL SFY2021 Combined INP'!$A:$AL,36,FALSE)),VLOOKUP($A119,'[1]DRG UPL SFY21 Combined'!$A:$AW,48,FALSE)),0)</f>
        <v>1468.7277986669428</v>
      </c>
      <c r="L119" s="22">
        <f>IF($E119=1,ROUND($J119*(L$144+L$145),0),0)</f>
        <v>0</v>
      </c>
      <c r="M119" s="22">
        <f>(IFERROR(VLOOKUP($A119,'[1]CAH 101% of cost'!$A$3:$BJ$44,48,FALSE),0))</f>
        <v>4256</v>
      </c>
      <c r="N119" s="22">
        <f t="shared" si="60"/>
        <v>4256</v>
      </c>
      <c r="O119" s="22">
        <v>1743.5</v>
      </c>
      <c r="P119" s="22">
        <f t="shared" si="61"/>
        <v>1064</v>
      </c>
      <c r="Q119" s="22">
        <f t="shared" si="62"/>
        <v>384.5</v>
      </c>
      <c r="R119" s="22">
        <f t="shared" si="63"/>
        <v>1064</v>
      </c>
      <c r="S119" s="22">
        <f t="shared" si="63"/>
        <v>1064</v>
      </c>
      <c r="T119" s="22">
        <v>0</v>
      </c>
      <c r="U119" s="22">
        <f t="shared" si="64"/>
        <v>-2787.2722013330572</v>
      </c>
      <c r="V119" s="22"/>
      <c r="W119" s="22">
        <f>IFERROR(VLOOKUP($A119,'[1]Cost UPL SFY21 Combine'!$B:$AG,31,FALSE),0)+IFERROR(VLOOKUP($A119,'[1]Cost UPL SFY21 Combine'!$B:$AG,32,FALSE),0)</f>
        <v>60426.39</v>
      </c>
      <c r="X119" s="23">
        <f>IF($E119=1,W119/$W$141,0)</f>
        <v>0</v>
      </c>
      <c r="Y119" s="22">
        <f>IFERROR(VLOOKUP($A119,'[1]SHOPP UPL SFY2021 Combined OUT'!$A:$AH,33,FALSE),0)</f>
        <v>136614.45060779498</v>
      </c>
      <c r="Z119" s="24">
        <f>IF($E119=1,ROUND($X119*(Z$144+Z$145),0),0)</f>
        <v>0</v>
      </c>
      <c r="AA119" s="22">
        <f>(IFERROR(VLOOKUP(A119,'[1]CAH 101% of cost'!$A$3:$BP$44,64,FALSE),0))</f>
        <v>152084</v>
      </c>
      <c r="AB119" s="22">
        <f t="shared" si="65"/>
        <v>152084</v>
      </c>
      <c r="AC119" s="22">
        <f>VLOOKUP(A119,'[2]2022 CAH Payments'!$B$2:$G$40,6,FALSE)</f>
        <v>32479.75</v>
      </c>
      <c r="AD119" s="22">
        <f t="shared" si="69"/>
        <v>38021</v>
      </c>
      <c r="AE119" s="22">
        <f t="shared" si="66"/>
        <v>43562.25</v>
      </c>
      <c r="AF119" s="22">
        <f t="shared" si="67"/>
        <v>38021</v>
      </c>
      <c r="AG119" s="22">
        <f t="shared" si="67"/>
        <v>38021</v>
      </c>
      <c r="AH119" s="22">
        <v>0</v>
      </c>
      <c r="AI119" s="22">
        <f t="shared" si="68"/>
        <v>-15469.549392205023</v>
      </c>
      <c r="AJ119" s="26"/>
      <c r="AO119" s="26"/>
    </row>
    <row r="120" spans="1:41" x14ac:dyDescent="0.3">
      <c r="A120" s="109" t="s">
        <v>240</v>
      </c>
      <c r="B120" s="123" t="s">
        <v>241</v>
      </c>
      <c r="C120" s="128" t="str">
        <f>IFERROR(VLOOKUP(A120,'[1]SHOPP UPL SFY2021 Combined OUT'!$A:$F,6,FALSE),IFERROR(VLOOKUP(A120,'[1]SHOPP UPL SFY2021 Combined INP'!$A:$F,6,FALSE),VLOOKUP(A120,'[1]DRG UPL SFY21 Combined'!$A:$J,10,FALSE)))</f>
        <v>No</v>
      </c>
      <c r="D120" s="123">
        <v>2</v>
      </c>
      <c r="E120" s="50">
        <v>0</v>
      </c>
      <c r="F120" s="21">
        <f t="shared" si="58"/>
        <v>391744.35107046831</v>
      </c>
      <c r="G120" s="22">
        <f>IF(C120="No",(VLOOKUP($A120,'[1]Cost UPL SFY21 Combine'!$B:$AS,17,FALSE)+VLOOKUP($A120,'[1]Cost UPL SFY21 Combine'!$B:$AS,18,FALSE)+VLOOKUP($A120,'[1]Cost UPL SFY21 Combine'!$B:$AS,19,FALSE)),(VLOOKUP($A120,'[1]DRG UPL SFY21 Combined'!$A:$AZ,18,FALSE)+VLOOKUP($A120,'[1]DRG UPL SFY21 Combined'!$A:$AZ,19,FALSE)+VLOOKUP($A120,'[1]DRG UPL SFY21 Combined'!$A:$AZ,22,FALSE)))</f>
        <v>253893.69</v>
      </c>
      <c r="H120" s="22"/>
      <c r="I120" s="22">
        <f t="shared" si="59"/>
        <v>253893.69</v>
      </c>
      <c r="J120" s="23">
        <f>IF($E120=1,I120/$I$141,0)</f>
        <v>0</v>
      </c>
      <c r="K120" s="22">
        <f>IFERROR(IF(C120="No",(VLOOKUP($A120,'[1]SHOPP UPL SFY2021 Combined INP'!$A:$AL,36,FALSE)),VLOOKUP($A120,'[1]DRG UPL SFY21 Combined'!$A:$AW,48,FALSE)),0)</f>
        <v>230755.12316088841</v>
      </c>
      <c r="L120" s="22">
        <f>IF($E120=1,ROUND($J120*(L$144+L$145),0),0)</f>
        <v>0</v>
      </c>
      <c r="M120" s="22">
        <f>(IFERROR(VLOOKUP($A120,'[1]CAH 101% of cost'!$A$3:$BJ$44,48,FALSE),0))</f>
        <v>295545</v>
      </c>
      <c r="N120" s="22">
        <f>L120+M120</f>
        <v>295545</v>
      </c>
      <c r="O120" s="22">
        <v>82695.75</v>
      </c>
      <c r="P120" s="22">
        <f t="shared" si="61"/>
        <v>73886.25</v>
      </c>
      <c r="Q120" s="22">
        <f t="shared" si="62"/>
        <v>65076.75</v>
      </c>
      <c r="R120" s="22">
        <f t="shared" si="63"/>
        <v>73886.25</v>
      </c>
      <c r="S120" s="22">
        <f t="shared" si="63"/>
        <v>73886.25</v>
      </c>
      <c r="T120" s="22">
        <v>0</v>
      </c>
      <c r="U120" s="22">
        <f t="shared" si="64"/>
        <v>-64789.876839111588</v>
      </c>
      <c r="V120" s="22"/>
      <c r="W120" s="22">
        <f>IFERROR(VLOOKUP($A120,'[1]Cost UPL SFY21 Combine'!$B:$AG,31,FALSE),0)+IFERROR(VLOOKUP($A120,'[1]Cost UPL SFY21 Combine'!$B:$AG,32,FALSE),0)</f>
        <v>137850.66107046828</v>
      </c>
      <c r="X120" s="23">
        <f>IF($E120=1,W120/$W$141,0)</f>
        <v>0</v>
      </c>
      <c r="Y120" s="22">
        <f>IFERROR(VLOOKUP($A120,'[1]SHOPP UPL SFY2021 Combined OUT'!$A:$AH,33,FALSE),0)</f>
        <v>321976.68264833861</v>
      </c>
      <c r="Z120" s="24">
        <f>IF($E120=1,ROUND($X120*(Z$144+Z$145),0),0)</f>
        <v>0</v>
      </c>
      <c r="AA120" s="22">
        <f>(IFERROR(VLOOKUP(A120,'[1]CAH 101% of cost'!$A$3:$BP$44,64,FALSE),0))</f>
        <v>265502</v>
      </c>
      <c r="AB120" s="22">
        <f>Z120+AA120</f>
        <v>265502</v>
      </c>
      <c r="AC120" s="22">
        <f>VLOOKUP(A120,'[2]2022 CAH Payments'!$B$2:$G$40,6,FALSE)</f>
        <v>66664.75</v>
      </c>
      <c r="AD120" s="22">
        <f>ROUND($AB120*25%,2)</f>
        <v>66375.5</v>
      </c>
      <c r="AE120" s="22">
        <f t="shared" si="66"/>
        <v>66086.25</v>
      </c>
      <c r="AF120" s="22">
        <f>ROUND($AB120*25%,2)</f>
        <v>66375.5</v>
      </c>
      <c r="AG120" s="22">
        <f>ROUND($AB120*25%,2)</f>
        <v>66375.5</v>
      </c>
      <c r="AH120" s="22">
        <v>0</v>
      </c>
      <c r="AI120" s="22">
        <f>+Y120-(Z120+AA120)</f>
        <v>56474.68264833861</v>
      </c>
      <c r="AJ120" s="44"/>
      <c r="AO120" s="26"/>
    </row>
    <row r="121" spans="1:41" x14ac:dyDescent="0.3">
      <c r="A121" s="109" t="s">
        <v>242</v>
      </c>
      <c r="B121" s="123" t="s">
        <v>243</v>
      </c>
      <c r="C121" s="128" t="str">
        <f>IFERROR(VLOOKUP(A121,'[1]SHOPP UPL SFY2021 Combined OUT'!$A:$F,6,FALSE),IFERROR(VLOOKUP(A121,'[1]SHOPP UPL SFY2021 Combined INP'!$A:$F,6,FALSE),VLOOKUP(A121,'[1]DRG UPL SFY21 Combined'!$A:$J,10,FALSE)))</f>
        <v>No</v>
      </c>
      <c r="D121" s="123">
        <v>2</v>
      </c>
      <c r="E121" s="50">
        <v>0</v>
      </c>
      <c r="F121" s="21">
        <f t="shared" si="58"/>
        <v>65300.36</v>
      </c>
      <c r="G121" s="22">
        <f>IF(C121="No",(VLOOKUP($A121,'[1]Cost UPL SFY21 Combine'!$B:$AS,17,FALSE)+VLOOKUP($A121,'[1]Cost UPL SFY21 Combine'!$B:$AS,18,FALSE)+VLOOKUP($A121,'[1]Cost UPL SFY21 Combine'!$B:$AS,19,FALSE)),(VLOOKUP($A121,'[1]DRG UPL SFY21 Combined'!$A:$AZ,18,FALSE)+VLOOKUP($A121,'[1]DRG UPL SFY21 Combined'!$A:$AZ,19,FALSE)+VLOOKUP($A121,'[1]DRG UPL SFY21 Combined'!$A:$AZ,22,FALSE)))</f>
        <v>39019.96</v>
      </c>
      <c r="H121" s="22"/>
      <c r="I121" s="22">
        <f t="shared" si="59"/>
        <v>39019.96</v>
      </c>
      <c r="J121" s="23">
        <f>IF($E121=1,I121/$I$141,0)</f>
        <v>0</v>
      </c>
      <c r="K121" s="22">
        <f>IFERROR(IF(C121="No",(VLOOKUP($A121,'[1]SHOPP UPL SFY2021 Combined INP'!$A:$AL,36,FALSE)),VLOOKUP($A121,'[1]DRG UPL SFY21 Combined'!$A:$AW,48,FALSE)),0)</f>
        <v>49876.396588760312</v>
      </c>
      <c r="L121" s="22">
        <f>IF($E121=1,ROUND($J121*(L$144+L$145),0),0)</f>
        <v>0</v>
      </c>
      <c r="M121" s="22">
        <f>(IFERROR(VLOOKUP($A121,'[1]CAH 101% of cost'!$A$3:$BJ$44,48,FALSE),0))</f>
        <v>101987</v>
      </c>
      <c r="N121" s="22">
        <f t="shared" si="60"/>
        <v>101987</v>
      </c>
      <c r="O121" s="22">
        <v>17805.5</v>
      </c>
      <c r="P121" s="22">
        <f t="shared" si="61"/>
        <v>25496.75</v>
      </c>
      <c r="Q121" s="22">
        <f t="shared" si="62"/>
        <v>33188</v>
      </c>
      <c r="R121" s="22">
        <f t="shared" si="63"/>
        <v>25496.75</v>
      </c>
      <c r="S121" s="22">
        <f t="shared" si="63"/>
        <v>25496.75</v>
      </c>
      <c r="T121" s="22">
        <v>0</v>
      </c>
      <c r="U121" s="22">
        <f t="shared" si="64"/>
        <v>-52110.603411239688</v>
      </c>
      <c r="V121" s="22"/>
      <c r="W121" s="22">
        <f>IFERROR(VLOOKUP($A121,'[1]Cost UPL SFY21 Combine'!$B:$AG,31,FALSE),0)+IFERROR(VLOOKUP($A121,'[1]Cost UPL SFY21 Combine'!$B:$AG,32,FALSE),0)</f>
        <v>26280.400000000001</v>
      </c>
      <c r="X121" s="23">
        <f>IF($E121=1,W121/$W$141,0)</f>
        <v>0</v>
      </c>
      <c r="Y121" s="22">
        <f>IFERROR(VLOOKUP($A121,'[1]SHOPP UPL SFY2021 Combined OUT'!$A:$AH,33,FALSE),0)</f>
        <v>117346.9811988998</v>
      </c>
      <c r="Z121" s="24">
        <f>IF($E121=1,ROUND($X121*(Z$144+Z$145),0),0)</f>
        <v>0</v>
      </c>
      <c r="AA121" s="22">
        <f>(IFERROR(VLOOKUP(A121,'[1]CAH 101% of cost'!$A$3:$BP$44,64,FALSE),0))</f>
        <v>91189</v>
      </c>
      <c r="AB121" s="22">
        <f t="shared" si="65"/>
        <v>91189</v>
      </c>
      <c r="AC121" s="22">
        <f>VLOOKUP(A121,'[2]2022 CAH Payments'!$B$2:$G$40,6,FALSE)</f>
        <v>20399.5</v>
      </c>
      <c r="AD121" s="22">
        <f t="shared" si="69"/>
        <v>22797.25</v>
      </c>
      <c r="AE121" s="22">
        <f t="shared" si="66"/>
        <v>25195</v>
      </c>
      <c r="AF121" s="22">
        <f t="shared" si="67"/>
        <v>22797.25</v>
      </c>
      <c r="AG121" s="22">
        <f t="shared" si="67"/>
        <v>22797.25</v>
      </c>
      <c r="AH121" s="22">
        <v>0</v>
      </c>
      <c r="AI121" s="22">
        <f t="shared" si="68"/>
        <v>26157.981198899797</v>
      </c>
      <c r="AJ121" s="26"/>
      <c r="AO121" s="26"/>
    </row>
    <row r="122" spans="1:41" x14ac:dyDescent="0.3">
      <c r="A122" s="109" t="s">
        <v>244</v>
      </c>
      <c r="B122" s="123" t="s">
        <v>245</v>
      </c>
      <c r="C122" s="128" t="str">
        <f>IFERROR(VLOOKUP(A122,'[1]SHOPP UPL SFY2021 Combined OUT'!$A:$F,6,FALSE),IFERROR(VLOOKUP(A122,'[1]SHOPP UPL SFY2021 Combined INP'!$A:$F,6,FALSE),VLOOKUP(A122,'[1]DRG UPL SFY21 Combined'!$A:$J,10,FALSE)))</f>
        <v>No</v>
      </c>
      <c r="D122" s="123">
        <v>2</v>
      </c>
      <c r="E122" s="50">
        <v>0</v>
      </c>
      <c r="F122" s="21">
        <f t="shared" si="58"/>
        <v>985232.66663374379</v>
      </c>
      <c r="G122" s="22">
        <f>IF(C122="No",(VLOOKUP($A122,'[1]Cost UPL SFY21 Combine'!$B:$AS,17,FALSE)+VLOOKUP($A122,'[1]Cost UPL SFY21 Combine'!$B:$AS,18,FALSE)+VLOOKUP($A122,'[1]Cost UPL SFY21 Combine'!$B:$AS,19,FALSE)),(VLOOKUP($A122,'[1]DRG UPL SFY21 Combined'!$A:$AZ,18,FALSE)+VLOOKUP($A122,'[1]DRG UPL SFY21 Combined'!$A:$AZ,19,FALSE)+VLOOKUP($A122,'[1]DRG UPL SFY21 Combined'!$A:$AZ,22,FALSE)))</f>
        <v>10919.35</v>
      </c>
      <c r="H122" s="22"/>
      <c r="I122" s="22">
        <f t="shared" si="59"/>
        <v>10919.35</v>
      </c>
      <c r="J122" s="23">
        <f>IF($E122=1,I122/$I$141,0)</f>
        <v>0</v>
      </c>
      <c r="K122" s="22">
        <f>IFERROR(IF(C122="No",(VLOOKUP($A122,'[1]SHOPP UPL SFY2021 Combined INP'!$A:$AL,36,FALSE)),VLOOKUP($A122,'[1]DRG UPL SFY21 Combined'!$A:$AW,48,FALSE)),0)</f>
        <v>35778.627099053265</v>
      </c>
      <c r="L122" s="22">
        <f>IF($E122=1,ROUND($J122*(L$144+L$145),0),0)</f>
        <v>0</v>
      </c>
      <c r="M122" s="22">
        <f>(IFERROR(VLOOKUP($A122,'[1]CAH 101% of cost'!$A$3:$BJ$44,48,FALSE),0))</f>
        <v>16063</v>
      </c>
      <c r="N122" s="22">
        <f t="shared" si="60"/>
        <v>16063</v>
      </c>
      <c r="O122" s="22">
        <v>6580.75</v>
      </c>
      <c r="P122" s="22">
        <f t="shared" si="61"/>
        <v>4015.75</v>
      </c>
      <c r="Q122" s="22">
        <f t="shared" si="62"/>
        <v>1450.75</v>
      </c>
      <c r="R122" s="22">
        <f t="shared" si="63"/>
        <v>4015.75</v>
      </c>
      <c r="S122" s="22">
        <f t="shared" si="63"/>
        <v>4015.75</v>
      </c>
      <c r="T122" s="22">
        <v>0</v>
      </c>
      <c r="U122" s="22">
        <f t="shared" si="64"/>
        <v>19715.627099053265</v>
      </c>
      <c r="V122" s="22"/>
      <c r="W122" s="22">
        <f>IFERROR(VLOOKUP($A122,'[1]Cost UPL SFY21 Combine'!$B:$AG,31,FALSE),0)+IFERROR(VLOOKUP($A122,'[1]Cost UPL SFY21 Combine'!$B:$AG,32,FALSE),0)</f>
        <v>974313.31663374382</v>
      </c>
      <c r="X122" s="23">
        <f>IF($E122=1,W122/$W$141,0)</f>
        <v>0</v>
      </c>
      <c r="Y122" s="22">
        <f>IFERROR(VLOOKUP($A122,'[1]SHOPP UPL SFY2021 Combined OUT'!$A:$AH,33,FALSE),0)</f>
        <v>1782319.0360556294</v>
      </c>
      <c r="Z122" s="24">
        <f>IF($E122=1,ROUND($X122*(Z$144+Z$145),0),0)</f>
        <v>0</v>
      </c>
      <c r="AA122" s="22">
        <f>(IFERROR(VLOOKUP(A122,'[1]CAH 101% of cost'!$A$3:$BP$44,64,FALSE),0))</f>
        <v>1842750</v>
      </c>
      <c r="AB122" s="22">
        <f t="shared" si="65"/>
        <v>1842750</v>
      </c>
      <c r="AC122" s="22">
        <f>VLOOKUP(A122,'[2]2022 CAH Payments'!$B$2:$G$40,6,FALSE)</f>
        <v>297775.75</v>
      </c>
      <c r="AD122" s="22">
        <f t="shared" si="69"/>
        <v>460687.5</v>
      </c>
      <c r="AE122" s="22">
        <f t="shared" si="66"/>
        <v>623599.25</v>
      </c>
      <c r="AF122" s="22">
        <f t="shared" si="67"/>
        <v>460687.5</v>
      </c>
      <c r="AG122" s="22">
        <f t="shared" si="67"/>
        <v>460687.5</v>
      </c>
      <c r="AH122" s="22">
        <v>0</v>
      </c>
      <c r="AI122" s="22">
        <f t="shared" si="68"/>
        <v>-60430.963944370626</v>
      </c>
      <c r="AJ122" s="26"/>
      <c r="AO122" s="26"/>
    </row>
    <row r="123" spans="1:41" x14ac:dyDescent="0.3">
      <c r="A123" s="109" t="s">
        <v>246</v>
      </c>
      <c r="B123" s="123" t="s">
        <v>247</v>
      </c>
      <c r="C123" s="128" t="str">
        <f>IFERROR(VLOOKUP(A123,'[1]SHOPP UPL SFY2021 Combined OUT'!$A:$F,6,FALSE),IFERROR(VLOOKUP(A123,'[1]SHOPP UPL SFY2021 Combined INP'!$A:$F,6,FALSE),VLOOKUP(A123,'[1]DRG UPL SFY21 Combined'!$A:$J,10,FALSE)))</f>
        <v>No</v>
      </c>
      <c r="D123" s="123">
        <v>2</v>
      </c>
      <c r="E123" s="50">
        <v>0</v>
      </c>
      <c r="F123" s="21">
        <f t="shared" si="58"/>
        <v>384512.29000000004</v>
      </c>
      <c r="G123" s="22">
        <f>IF(C123="No",(VLOOKUP($A123,'[1]Cost UPL SFY21 Combine'!$B:$AS,17,FALSE)+VLOOKUP($A123,'[1]Cost UPL SFY21 Combine'!$B:$AS,18,FALSE)+VLOOKUP($A123,'[1]Cost UPL SFY21 Combine'!$B:$AS,19,FALSE)),(VLOOKUP($A123,'[1]DRG UPL SFY21 Combined'!$A:$AZ,18,FALSE)+VLOOKUP($A123,'[1]DRG UPL SFY21 Combined'!$A:$AZ,19,FALSE)+VLOOKUP($A123,'[1]DRG UPL SFY21 Combined'!$A:$AZ,22,FALSE)))</f>
        <v>129182.17000000001</v>
      </c>
      <c r="H123" s="22"/>
      <c r="I123" s="22">
        <f t="shared" si="59"/>
        <v>129182.17000000001</v>
      </c>
      <c r="J123" s="23">
        <f>IF($E123=1,I123/$I$141,0)</f>
        <v>0</v>
      </c>
      <c r="K123" s="22">
        <f>IFERROR(IF(C123="No",(VLOOKUP($A123,'[1]SHOPP UPL SFY2021 Combined INP'!$A:$AL,36,FALSE)),VLOOKUP($A123,'[1]DRG UPL SFY21 Combined'!$A:$AW,48,FALSE)),0)</f>
        <v>122095.45715043864</v>
      </c>
      <c r="L123" s="22">
        <f>IF($E123=1,ROUND($J123*(L$144+L$145),0),0)</f>
        <v>0</v>
      </c>
      <c r="M123" s="22">
        <f>(IFERROR(VLOOKUP($A123,'[1]CAH 101% of cost'!$A$3:$BJ$44,48,FALSE),0))</f>
        <v>204741</v>
      </c>
      <c r="N123" s="22">
        <f t="shared" si="60"/>
        <v>204741</v>
      </c>
      <c r="O123" s="22">
        <v>29648.75</v>
      </c>
      <c r="P123" s="22">
        <f t="shared" si="61"/>
        <v>51185.25</v>
      </c>
      <c r="Q123" s="22">
        <f t="shared" si="62"/>
        <v>72721.75</v>
      </c>
      <c r="R123" s="22">
        <f t="shared" si="63"/>
        <v>51185.25</v>
      </c>
      <c r="S123" s="22">
        <f t="shared" si="63"/>
        <v>51185.25</v>
      </c>
      <c r="T123" s="22">
        <v>0</v>
      </c>
      <c r="U123" s="22">
        <f t="shared" si="64"/>
        <v>-82645.54284956136</v>
      </c>
      <c r="V123" s="22"/>
      <c r="W123" s="22">
        <f>IFERROR(VLOOKUP($A123,'[1]Cost UPL SFY21 Combine'!$B:$AG,31,FALSE),0)+IFERROR(VLOOKUP($A123,'[1]Cost UPL SFY21 Combine'!$B:$AG,32,FALSE),0)</f>
        <v>255330.12</v>
      </c>
      <c r="X123" s="23">
        <f>IF($E123=1,W123/$W$141,0)</f>
        <v>0</v>
      </c>
      <c r="Y123" s="22">
        <f>IFERROR(VLOOKUP($A123,'[1]SHOPP UPL SFY2021 Combined OUT'!$A:$AH,33,FALSE),0)</f>
        <v>520431.20873490942</v>
      </c>
      <c r="Z123" s="24">
        <f>IF($E123=1,ROUND($X123*(Z$144+Z$145),0),0)</f>
        <v>0</v>
      </c>
      <c r="AA123" s="22">
        <f>(IFERROR(VLOOKUP(A123,'[1]CAH 101% of cost'!$A$3:$BP$44,64,FALSE),0))</f>
        <v>654652</v>
      </c>
      <c r="AB123" s="22">
        <f t="shared" si="65"/>
        <v>654652</v>
      </c>
      <c r="AC123" s="22">
        <f>VLOOKUP(A123,'[2]2022 CAH Payments'!$B$2:$G$40,6,FALSE)</f>
        <v>84706.5</v>
      </c>
      <c r="AD123" s="22">
        <f t="shared" si="69"/>
        <v>163663</v>
      </c>
      <c r="AE123" s="22">
        <f t="shared" si="66"/>
        <v>242619.5</v>
      </c>
      <c r="AF123" s="22">
        <f t="shared" si="67"/>
        <v>163663</v>
      </c>
      <c r="AG123" s="22">
        <f t="shared" si="67"/>
        <v>163663</v>
      </c>
      <c r="AH123" s="22">
        <v>0</v>
      </c>
      <c r="AI123" s="22">
        <f t="shared" si="68"/>
        <v>-134220.79126509058</v>
      </c>
      <c r="AJ123" s="26"/>
      <c r="AO123" s="26"/>
    </row>
    <row r="124" spans="1:41" x14ac:dyDescent="0.3">
      <c r="A124" s="109" t="s">
        <v>248</v>
      </c>
      <c r="B124" s="123" t="s">
        <v>249</v>
      </c>
      <c r="C124" s="128" t="str">
        <f>IFERROR(VLOOKUP(A124,'[1]SHOPP UPL SFY2021 Combined OUT'!$A:$F,6,FALSE),IFERROR(VLOOKUP(A124,'[1]SHOPP UPL SFY2021 Combined INP'!$A:$F,6,FALSE),VLOOKUP(A124,'[1]DRG UPL SFY21 Combined'!$A:$J,10,FALSE)))</f>
        <v>No</v>
      </c>
      <c r="D124" s="123">
        <v>2</v>
      </c>
      <c r="E124" s="50">
        <v>0</v>
      </c>
      <c r="F124" s="21">
        <f t="shared" si="58"/>
        <v>656171.99354535725</v>
      </c>
      <c r="G124" s="22">
        <f>IF(C124="No",(VLOOKUP($A124,'[1]Cost UPL SFY21 Combine'!$B:$AS,17,FALSE)+VLOOKUP($A124,'[1]Cost UPL SFY21 Combine'!$B:$AS,18,FALSE)+VLOOKUP($A124,'[1]Cost UPL SFY21 Combine'!$B:$AS,19,FALSE)),(VLOOKUP($A124,'[1]DRG UPL SFY21 Combined'!$A:$AZ,18,FALSE)+VLOOKUP($A124,'[1]DRG UPL SFY21 Combined'!$A:$AZ,19,FALSE)+VLOOKUP($A124,'[1]DRG UPL SFY21 Combined'!$A:$AZ,22,FALSE)))</f>
        <v>261598.34</v>
      </c>
      <c r="H124" s="22"/>
      <c r="I124" s="22">
        <f t="shared" si="59"/>
        <v>261598.34</v>
      </c>
      <c r="J124" s="23">
        <f>IF($E124=1,I124/$I$141,0)</f>
        <v>0</v>
      </c>
      <c r="K124" s="22">
        <f>IFERROR(IF(C124="No",(VLOOKUP($A124,'[1]SHOPP UPL SFY2021 Combined INP'!$A:$AL,36,FALSE)),VLOOKUP($A124,'[1]DRG UPL SFY21 Combined'!$A:$AW,48,FALSE)),0)</f>
        <v>115024.46030319962</v>
      </c>
      <c r="L124" s="22">
        <f>IF($E124=1,ROUND($J124*(L$144+L$145),0),0)</f>
        <v>0</v>
      </c>
      <c r="M124" s="22">
        <f>(IFERROR(VLOOKUP($A124,'[1]CAH 101% of cost'!$A$3:$BJ$44,48,FALSE),0))</f>
        <v>311656</v>
      </c>
      <c r="N124" s="22">
        <f>L124+M124</f>
        <v>311656</v>
      </c>
      <c r="O124" s="22">
        <v>10093.5</v>
      </c>
      <c r="P124" s="22">
        <f t="shared" si="61"/>
        <v>77914</v>
      </c>
      <c r="Q124" s="22">
        <f t="shared" si="62"/>
        <v>145734.5</v>
      </c>
      <c r="R124" s="22">
        <f t="shared" si="63"/>
        <v>77914</v>
      </c>
      <c r="S124" s="22">
        <f t="shared" si="63"/>
        <v>77914</v>
      </c>
      <c r="T124" s="22">
        <v>0</v>
      </c>
      <c r="U124" s="22">
        <f t="shared" si="64"/>
        <v>-196631.53969680038</v>
      </c>
      <c r="V124" s="22"/>
      <c r="W124" s="22">
        <f>IFERROR(VLOOKUP($A124,'[1]Cost UPL SFY21 Combine'!$B:$AG,31,FALSE),0)+IFERROR(VLOOKUP($A124,'[1]Cost UPL SFY21 Combine'!$B:$AG,32,FALSE),0)</f>
        <v>394573.65354535723</v>
      </c>
      <c r="X124" s="23">
        <f>IF($E124=1,W124/$W$141,0)</f>
        <v>0</v>
      </c>
      <c r="Y124" s="22">
        <f>IFERROR(VLOOKUP($A124,'[1]SHOPP UPL SFY2021 Combined OUT'!$A:$AH,33,FALSE),0)</f>
        <v>650229.3504023361</v>
      </c>
      <c r="Z124" s="24">
        <f>IF($E124=1,ROUND($X124*(Z$144+Z$145),0),0)</f>
        <v>0</v>
      </c>
      <c r="AA124" s="22">
        <f>(IFERROR(VLOOKUP(A124,'[1]CAH 101% of cost'!$A$3:$BP$44,64,FALSE),0))</f>
        <v>1302629</v>
      </c>
      <c r="AB124" s="22">
        <f>Z124+AA124</f>
        <v>1302629</v>
      </c>
      <c r="AC124" s="22">
        <f>VLOOKUP(A124,'[2]2022 CAH Payments'!$B$2:$G$40,6,FALSE)</f>
        <v>222573.25</v>
      </c>
      <c r="AD124" s="22">
        <f>ROUND($AB124*25%,2)</f>
        <v>325657.25</v>
      </c>
      <c r="AE124" s="22">
        <f t="shared" si="66"/>
        <v>428741.25</v>
      </c>
      <c r="AF124" s="22">
        <f>ROUND($AB124*25%,2)</f>
        <v>325657.25</v>
      </c>
      <c r="AG124" s="22">
        <f>ROUND($AB124*25%,2)</f>
        <v>325657.25</v>
      </c>
      <c r="AH124" s="22">
        <v>0</v>
      </c>
      <c r="AI124" s="22">
        <f>+Y124-(Z124+AA124)</f>
        <v>-652399.6495976639</v>
      </c>
      <c r="AJ124" s="26"/>
      <c r="AO124" s="26"/>
    </row>
    <row r="125" spans="1:41" x14ac:dyDescent="0.3">
      <c r="A125" s="109" t="s">
        <v>250</v>
      </c>
      <c r="B125" s="123" t="s">
        <v>251</v>
      </c>
      <c r="C125" s="128" t="str">
        <f>IFERROR(VLOOKUP(A125,'[1]SHOPP UPL SFY2021 Combined OUT'!$A:$F,6,FALSE),IFERROR(VLOOKUP(A125,'[1]SHOPP UPL SFY2021 Combined INP'!$A:$F,6,FALSE),VLOOKUP(A125,'[1]DRG UPL SFY21 Combined'!$A:$J,10,FALSE)))</f>
        <v>No</v>
      </c>
      <c r="D125" s="123">
        <v>2</v>
      </c>
      <c r="E125" s="20">
        <v>0</v>
      </c>
      <c r="F125" s="21">
        <f t="shared" si="58"/>
        <v>2134221.4778267979</v>
      </c>
      <c r="G125" s="22">
        <f>IF(C125="No",(VLOOKUP($A125,'[1]Cost UPL SFY21 Combine'!$B:$AS,17,FALSE)+VLOOKUP($A125,'[1]Cost UPL SFY21 Combine'!$B:$AS,18,FALSE)+VLOOKUP($A125,'[1]Cost UPL SFY21 Combine'!$B:$AS,19,FALSE)),(VLOOKUP($A125,'[1]DRG UPL SFY21 Combined'!$A:$AZ,18,FALSE)+VLOOKUP($A125,'[1]DRG UPL SFY21 Combined'!$A:$AZ,19,FALSE)+VLOOKUP($A125,'[1]DRG UPL SFY21 Combined'!$A:$AZ,22,FALSE)))</f>
        <v>443351.73000000004</v>
      </c>
      <c r="H125" s="22"/>
      <c r="I125" s="22">
        <f t="shared" si="59"/>
        <v>443351.73000000004</v>
      </c>
      <c r="J125" s="23">
        <f>IF($E125=1,I125/$I$141,0)</f>
        <v>0</v>
      </c>
      <c r="K125" s="22">
        <f>IFERROR(IF(C125="No",(VLOOKUP($A125,'[1]SHOPP UPL SFY2021 Combined INP'!$A:$AL,36,FALSE)),VLOOKUP($A125,'[1]DRG UPL SFY21 Combined'!$A:$AW,48,FALSE)),0)</f>
        <v>1475744.845128532</v>
      </c>
      <c r="L125" s="22">
        <f>IF($E125=1,ROUND($J125*(L$144+L$145),0),0)</f>
        <v>0</v>
      </c>
      <c r="M125" s="22">
        <f>(IFERROR(VLOOKUP($A125,'[1]CAH 101% of cost'!$A$3:$BJ$44,48,FALSE),0))</f>
        <v>387845</v>
      </c>
      <c r="N125" s="22">
        <f t="shared" si="60"/>
        <v>387845</v>
      </c>
      <c r="O125" s="22">
        <v>65894.5</v>
      </c>
      <c r="P125" s="22">
        <f t="shared" si="61"/>
        <v>96961.25</v>
      </c>
      <c r="Q125" s="22">
        <f t="shared" si="62"/>
        <v>128028</v>
      </c>
      <c r="R125" s="22">
        <f t="shared" si="63"/>
        <v>96961.25</v>
      </c>
      <c r="S125" s="22">
        <f t="shared" si="63"/>
        <v>96961.25</v>
      </c>
      <c r="T125" s="22">
        <v>0</v>
      </c>
      <c r="U125" s="22">
        <f t="shared" si="64"/>
        <v>1087899.845128532</v>
      </c>
      <c r="V125" s="22"/>
      <c r="W125" s="22">
        <f>IFERROR(VLOOKUP($A125,'[1]Cost UPL SFY21 Combine'!$B:$AG,31,FALSE),0)+IFERROR(VLOOKUP($A125,'[1]Cost UPL SFY21 Combine'!$B:$AG,32,FALSE),0)</f>
        <v>1690869.7478267979</v>
      </c>
      <c r="X125" s="23">
        <f>IF($E125=1,W125/$W$141,0)</f>
        <v>0</v>
      </c>
      <c r="Y125" s="22">
        <f>IFERROR(VLOOKUP($A125,'[1]SHOPP UPL SFY2021 Combined OUT'!$A:$AH,33,FALSE),0)</f>
        <v>1664087.8893785165</v>
      </c>
      <c r="Z125" s="24">
        <f>IF($E125=1,ROUND($X125*(Z$144+Z$145),0),0)</f>
        <v>0</v>
      </c>
      <c r="AA125" s="22">
        <f>(IFERROR(VLOOKUP(A125,'[1]CAH 101% of cost'!$A$3:$BP$44,64,FALSE),0))</f>
        <v>802877</v>
      </c>
      <c r="AB125" s="22">
        <f t="shared" si="65"/>
        <v>802877</v>
      </c>
      <c r="AC125" s="22">
        <f>VLOOKUP(A125,'[2]2022 CAH Payments'!$B$2:$G$40,6,FALSE)</f>
        <v>161294.5</v>
      </c>
      <c r="AD125" s="22">
        <f t="shared" si="69"/>
        <v>200719.25</v>
      </c>
      <c r="AE125" s="22">
        <f t="shared" si="66"/>
        <v>240144</v>
      </c>
      <c r="AF125" s="22">
        <f t="shared" si="67"/>
        <v>200719.25</v>
      </c>
      <c r="AG125" s="22">
        <f t="shared" si="67"/>
        <v>200719.25</v>
      </c>
      <c r="AH125" s="22">
        <v>0</v>
      </c>
      <c r="AI125" s="22">
        <f t="shared" si="68"/>
        <v>861210.88937851647</v>
      </c>
      <c r="AJ125" s="26"/>
      <c r="AO125" s="26"/>
    </row>
    <row r="126" spans="1:41" x14ac:dyDescent="0.3">
      <c r="A126" s="109" t="s">
        <v>252</v>
      </c>
      <c r="B126" s="123" t="s">
        <v>253</v>
      </c>
      <c r="C126" s="128" t="str">
        <f>IFERROR(VLOOKUP(A126,'[1]SHOPP UPL SFY2021 Combined OUT'!$A:$F,6,FALSE),IFERROR(VLOOKUP(A126,'[1]SHOPP UPL SFY2021 Combined INP'!$A:$F,6,FALSE),VLOOKUP(A126,'[1]DRG UPL SFY21 Combined'!$A:$J,10,FALSE)))</f>
        <v>No</v>
      </c>
      <c r="D126" s="123">
        <v>2</v>
      </c>
      <c r="E126" s="50">
        <v>0</v>
      </c>
      <c r="F126" s="21">
        <f t="shared" si="58"/>
        <v>219640.52</v>
      </c>
      <c r="G126" s="22">
        <f>IF(C126="No",(VLOOKUP($A126,'[1]Cost UPL SFY21 Combine'!$B:$AS,17,FALSE)+VLOOKUP($A126,'[1]Cost UPL SFY21 Combine'!$B:$AS,18,FALSE)+VLOOKUP($A126,'[1]Cost UPL SFY21 Combine'!$B:$AS,19,FALSE)),(VLOOKUP($A126,'[1]DRG UPL SFY21 Combined'!$A:$AZ,18,FALSE)+VLOOKUP($A126,'[1]DRG UPL SFY21 Combined'!$A:$AZ,19,FALSE)+VLOOKUP($A126,'[1]DRG UPL SFY21 Combined'!$A:$AZ,22,FALSE)))</f>
        <v>48562.15</v>
      </c>
      <c r="H126" s="22"/>
      <c r="I126" s="22">
        <f t="shared" si="59"/>
        <v>48562.15</v>
      </c>
      <c r="J126" s="23">
        <f>IF($E126=1,I126/$I$141,0)</f>
        <v>0</v>
      </c>
      <c r="K126" s="22">
        <f>IFERROR(IF(C126="No",(VLOOKUP($A126,'[1]SHOPP UPL SFY2021 Combined INP'!$A:$AL,36,FALSE)),VLOOKUP($A126,'[1]DRG UPL SFY21 Combined'!$A:$AW,48,FALSE)),0)</f>
        <v>76028.444823164988</v>
      </c>
      <c r="L126" s="22">
        <f>IF($E126=1,ROUND($J126*(L$144+L$145),0),0)</f>
        <v>0</v>
      </c>
      <c r="M126" s="22">
        <f>(IFERROR(VLOOKUP($A126,'[1]CAH 101% of cost'!$A$3:$BJ$44,48,FALSE),0))</f>
        <v>92689</v>
      </c>
      <c r="N126" s="22">
        <f t="shared" si="60"/>
        <v>92689</v>
      </c>
      <c r="O126" s="22">
        <v>15156.25</v>
      </c>
      <c r="P126" s="22">
        <f t="shared" si="61"/>
        <v>23172.25</v>
      </c>
      <c r="Q126" s="22">
        <f t="shared" si="62"/>
        <v>31188.25</v>
      </c>
      <c r="R126" s="22">
        <f t="shared" si="63"/>
        <v>23172.25</v>
      </c>
      <c r="S126" s="22">
        <f t="shared" si="63"/>
        <v>23172.25</v>
      </c>
      <c r="T126" s="22">
        <v>0</v>
      </c>
      <c r="U126" s="22">
        <f t="shared" si="64"/>
        <v>-16660.555176835012</v>
      </c>
      <c r="V126" s="22"/>
      <c r="W126" s="22">
        <f>IFERROR(VLOOKUP($A126,'[1]Cost UPL SFY21 Combine'!$B:$AG,31,FALSE),0)+IFERROR(VLOOKUP($A126,'[1]Cost UPL SFY21 Combine'!$B:$AG,32,FALSE),0)</f>
        <v>171078.37</v>
      </c>
      <c r="X126" s="23">
        <f>IF($E126=1,W126/$W$141,0)</f>
        <v>0</v>
      </c>
      <c r="Y126" s="22">
        <f>IFERROR(VLOOKUP($A126,'[1]SHOPP UPL SFY2021 Combined OUT'!$A:$AH,33,FALSE),0)</f>
        <v>330516.68771191005</v>
      </c>
      <c r="Z126" s="24">
        <f>IF($E126=1,ROUND($X126*(Z$144+Z$145),0),0)</f>
        <v>0</v>
      </c>
      <c r="AA126" s="22">
        <f>(IFERROR(VLOOKUP(A126,'[1]CAH 101% of cost'!$A$3:$BP$44,64,FALSE),0))</f>
        <v>329786</v>
      </c>
      <c r="AB126" s="22">
        <f t="shared" si="65"/>
        <v>329786</v>
      </c>
      <c r="AC126" s="22">
        <f>VLOOKUP(A126,'[2]2022 CAH Payments'!$B$2:$G$40,6,FALSE)</f>
        <v>59661.5</v>
      </c>
      <c r="AD126" s="22">
        <f t="shared" si="69"/>
        <v>82446.5</v>
      </c>
      <c r="AE126" s="22">
        <f t="shared" si="66"/>
        <v>105231.5</v>
      </c>
      <c r="AF126" s="22">
        <f t="shared" si="67"/>
        <v>82446.5</v>
      </c>
      <c r="AG126" s="22">
        <f t="shared" si="67"/>
        <v>82446.5</v>
      </c>
      <c r="AH126" s="22">
        <v>0</v>
      </c>
      <c r="AI126" s="22">
        <f t="shared" si="68"/>
        <v>730.68771191005362</v>
      </c>
      <c r="AJ126" s="26"/>
      <c r="AO126" s="26"/>
    </row>
    <row r="127" spans="1:41" x14ac:dyDescent="0.3">
      <c r="A127" s="109" t="s">
        <v>254</v>
      </c>
      <c r="B127" s="123" t="s">
        <v>255</v>
      </c>
      <c r="C127" s="128" t="str">
        <f>IFERROR(VLOOKUP(A127,'[1]SHOPP UPL SFY2021 Combined OUT'!$A:$F,6,FALSE),IFERROR(VLOOKUP(A127,'[1]SHOPP UPL SFY2021 Combined INP'!$A:$F,6,FALSE),VLOOKUP(A127,'[1]DRG UPL SFY21 Combined'!$A:$J,10,FALSE)))</f>
        <v>No</v>
      </c>
      <c r="D127" s="123">
        <v>2</v>
      </c>
      <c r="E127" s="50">
        <v>0</v>
      </c>
      <c r="F127" s="21">
        <f t="shared" si="58"/>
        <v>334617.15462302952</v>
      </c>
      <c r="G127" s="22">
        <f>IF(C127="No",(VLOOKUP($A127,'[1]Cost UPL SFY21 Combine'!$B:$AS,17,FALSE)+VLOOKUP($A127,'[1]Cost UPL SFY21 Combine'!$B:$AS,18,FALSE)+VLOOKUP($A127,'[1]Cost UPL SFY21 Combine'!$B:$AS,19,FALSE)),(VLOOKUP($A127,'[1]DRG UPL SFY21 Combined'!$A:$AZ,18,FALSE)+VLOOKUP($A127,'[1]DRG UPL SFY21 Combined'!$A:$AZ,19,FALSE)+VLOOKUP($A127,'[1]DRG UPL SFY21 Combined'!$A:$AZ,22,FALSE)))</f>
        <v>132225.69</v>
      </c>
      <c r="H127" s="22"/>
      <c r="I127" s="22">
        <f t="shared" si="59"/>
        <v>132225.69</v>
      </c>
      <c r="J127" s="23">
        <f>IF($E127=1,I127/$I$141,0)</f>
        <v>0</v>
      </c>
      <c r="K127" s="22">
        <f>IFERROR(IF(C127="No",(VLOOKUP($A127,'[1]SHOPP UPL SFY2021 Combined INP'!$A:$AL,36,FALSE)),VLOOKUP($A127,'[1]DRG UPL SFY21 Combined'!$A:$AW,48,FALSE)),0)</f>
        <v>261716.34586335014</v>
      </c>
      <c r="L127" s="22">
        <f>IF($E127=1,ROUND($J127*(L$144+L$145),0),0)</f>
        <v>0</v>
      </c>
      <c r="M127" s="22">
        <f>(IFERROR(VLOOKUP($A127,'[1]CAH 101% of cost'!$A$3:$BJ$44,48,FALSE),0))</f>
        <v>98973</v>
      </c>
      <c r="N127" s="22">
        <f t="shared" si="60"/>
        <v>98973</v>
      </c>
      <c r="O127" s="22">
        <v>8524.25</v>
      </c>
      <c r="P127" s="22">
        <f t="shared" si="61"/>
        <v>24743.25</v>
      </c>
      <c r="Q127" s="22">
        <f t="shared" si="62"/>
        <v>40962.25</v>
      </c>
      <c r="R127" s="22">
        <f t="shared" si="63"/>
        <v>24743.25</v>
      </c>
      <c r="S127" s="22">
        <f t="shared" si="63"/>
        <v>24743.25</v>
      </c>
      <c r="T127" s="22">
        <v>0</v>
      </c>
      <c r="U127" s="22">
        <f t="shared" si="64"/>
        <v>162743.34586335014</v>
      </c>
      <c r="V127" s="22"/>
      <c r="W127" s="22">
        <f>IFERROR(VLOOKUP($A127,'[1]Cost UPL SFY21 Combine'!$B:$AG,31,FALSE),0)+IFERROR(VLOOKUP($A127,'[1]Cost UPL SFY21 Combine'!$B:$AG,32,FALSE),0)</f>
        <v>202391.46462302949</v>
      </c>
      <c r="X127" s="23">
        <f>IF($E127=1,W127/$W$141,0)</f>
        <v>0</v>
      </c>
      <c r="Y127" s="22">
        <f>IFERROR(VLOOKUP($A127,'[1]SHOPP UPL SFY2021 Combined OUT'!$A:$AH,33,FALSE),0)</f>
        <v>401992.32207075541</v>
      </c>
      <c r="Z127" s="24">
        <f>IF($E127=1,ROUND($X127*(Z$144+Z$145),0),0)</f>
        <v>0</v>
      </c>
      <c r="AA127" s="22">
        <f>(IFERROR(VLOOKUP(A127,'[1]CAH 101% of cost'!$A$3:$BP$44,64,FALSE),0))</f>
        <v>339568</v>
      </c>
      <c r="AB127" s="22">
        <f t="shared" si="65"/>
        <v>339568</v>
      </c>
      <c r="AC127" s="22">
        <f>VLOOKUP(A127,'[2]2022 CAH Payments'!$B$2:$G$40,6,FALSE)</f>
        <v>54186.75</v>
      </c>
      <c r="AD127" s="22">
        <f t="shared" si="69"/>
        <v>84892</v>
      </c>
      <c r="AE127" s="22">
        <f t="shared" si="66"/>
        <v>115597.25</v>
      </c>
      <c r="AF127" s="22">
        <f t="shared" si="67"/>
        <v>84892</v>
      </c>
      <c r="AG127" s="22">
        <f t="shared" si="67"/>
        <v>84892</v>
      </c>
      <c r="AH127" s="22">
        <v>0</v>
      </c>
      <c r="AI127" s="22">
        <f t="shared" si="68"/>
        <v>62424.322070755414</v>
      </c>
      <c r="AJ127" s="26"/>
      <c r="AO127" s="26"/>
    </row>
    <row r="128" spans="1:41" x14ac:dyDescent="0.3">
      <c r="A128" s="109" t="s">
        <v>256</v>
      </c>
      <c r="B128" s="123" t="s">
        <v>257</v>
      </c>
      <c r="C128" s="128" t="str">
        <f>IFERROR(VLOOKUP(A128,'[1]SHOPP UPL SFY2021 Combined OUT'!$A:$F,6,FALSE),IFERROR(VLOOKUP(A128,'[1]SHOPP UPL SFY2021 Combined INP'!$A:$F,6,FALSE),VLOOKUP(A128,'[1]DRG UPL SFY21 Combined'!$A:$J,10,FALSE)))</f>
        <v>No</v>
      </c>
      <c r="D128" s="123">
        <v>2</v>
      </c>
      <c r="E128" s="50">
        <v>0</v>
      </c>
      <c r="F128" s="21">
        <f t="shared" si="58"/>
        <v>82130.53</v>
      </c>
      <c r="G128" s="22">
        <f>IF(C128="No",(VLOOKUP($A128,'[1]Cost UPL SFY21 Combine'!$B:$AS,17,FALSE)+VLOOKUP($A128,'[1]Cost UPL SFY21 Combine'!$B:$AS,18,FALSE)+VLOOKUP($A128,'[1]Cost UPL SFY21 Combine'!$B:$AS,19,FALSE)),(VLOOKUP($A128,'[1]DRG UPL SFY21 Combined'!$A:$AZ,18,FALSE)+VLOOKUP($A128,'[1]DRG UPL SFY21 Combined'!$A:$AZ,19,FALSE)+VLOOKUP($A128,'[1]DRG UPL SFY21 Combined'!$A:$AZ,22,FALSE)))</f>
        <v>22270.97</v>
      </c>
      <c r="H128" s="22"/>
      <c r="I128" s="22">
        <f t="shared" si="59"/>
        <v>22270.97</v>
      </c>
      <c r="J128" s="23">
        <f>IF($E128=1,I128/$I$141,0)</f>
        <v>0</v>
      </c>
      <c r="K128" s="22">
        <f>IFERROR(IF(C128="No",(VLOOKUP($A128,'[1]SHOPP UPL SFY2021 Combined INP'!$A:$AL,36,FALSE)),VLOOKUP($A128,'[1]DRG UPL SFY21 Combined'!$A:$AW,48,FALSE)),0)</f>
        <v>9297.6156421756896</v>
      </c>
      <c r="L128" s="22">
        <f>IF($E128=1,ROUND($J128*(L$144+L$145),0),0)</f>
        <v>0</v>
      </c>
      <c r="M128" s="22">
        <f>(IFERROR(VLOOKUP($A128,'[1]CAH 101% of cost'!$A$3:$BJ$44,48,FALSE),0))</f>
        <v>12828</v>
      </c>
      <c r="N128" s="22">
        <f t="shared" si="60"/>
        <v>12828</v>
      </c>
      <c r="O128" s="22">
        <v>5255.5</v>
      </c>
      <c r="P128" s="22">
        <f t="shared" si="61"/>
        <v>3207</v>
      </c>
      <c r="Q128" s="22">
        <f t="shared" si="62"/>
        <v>1158.5</v>
      </c>
      <c r="R128" s="22">
        <f t="shared" si="63"/>
        <v>3207</v>
      </c>
      <c r="S128" s="22">
        <f t="shared" si="63"/>
        <v>3207</v>
      </c>
      <c r="T128" s="22">
        <v>0</v>
      </c>
      <c r="U128" s="22">
        <f t="shared" si="64"/>
        <v>-3530.3843578243104</v>
      </c>
      <c r="V128" s="22"/>
      <c r="W128" s="22">
        <f>IFERROR(VLOOKUP($A128,'[1]Cost UPL SFY21 Combine'!$B:$AG,31,FALSE),0)+IFERROR(VLOOKUP($A128,'[1]Cost UPL SFY21 Combine'!$B:$AG,32,FALSE),0)</f>
        <v>59859.56</v>
      </c>
      <c r="X128" s="23">
        <f>IF($E128=1,W128/$W$141,0)</f>
        <v>0</v>
      </c>
      <c r="Y128" s="22">
        <f>IFERROR(VLOOKUP($A128,'[1]SHOPP UPL SFY2021 Combined OUT'!$A:$AH,33,FALSE),0)</f>
        <v>56541.692987049202</v>
      </c>
      <c r="Z128" s="24">
        <f>IF($E128=1,ROUND($X128*(Z$144+Z$145),0),0)</f>
        <v>0</v>
      </c>
      <c r="AA128" s="22">
        <f>(IFERROR(VLOOKUP(A128,'[1]CAH 101% of cost'!$A$3:$BP$44,64,FALSE),0))</f>
        <v>61178</v>
      </c>
      <c r="AB128" s="22">
        <f t="shared" si="65"/>
        <v>61178</v>
      </c>
      <c r="AC128" s="22">
        <f>VLOOKUP(A128,'[2]2022 CAH Payments'!$B$2:$G$40,6,FALSE)</f>
        <v>12219.25</v>
      </c>
      <c r="AD128" s="22">
        <f t="shared" si="69"/>
        <v>15294.5</v>
      </c>
      <c r="AE128" s="22">
        <f t="shared" si="66"/>
        <v>18369.75</v>
      </c>
      <c r="AF128" s="22">
        <f t="shared" si="67"/>
        <v>15294.5</v>
      </c>
      <c r="AG128" s="22">
        <f t="shared" si="67"/>
        <v>15294.5</v>
      </c>
      <c r="AH128" s="22">
        <v>0</v>
      </c>
      <c r="AI128" s="22">
        <f t="shared" si="68"/>
        <v>-4636.3070129507978</v>
      </c>
      <c r="AJ128" s="26"/>
      <c r="AO128" s="26"/>
    </row>
    <row r="129" spans="1:41" x14ac:dyDescent="0.3">
      <c r="A129" s="109" t="s">
        <v>258</v>
      </c>
      <c r="B129" s="123" t="s">
        <v>259</v>
      </c>
      <c r="C129" s="128" t="str">
        <f>IFERROR(VLOOKUP(A129,'[1]SHOPP UPL SFY2021 Combined OUT'!$A:$F,6,FALSE),IFERROR(VLOOKUP(A129,'[1]SHOPP UPL SFY2021 Combined INP'!$A:$F,6,FALSE),VLOOKUP(A129,'[1]DRG UPL SFY21 Combined'!$A:$J,10,FALSE)))</f>
        <v>No</v>
      </c>
      <c r="D129" s="123">
        <v>2</v>
      </c>
      <c r="E129" s="50">
        <v>0</v>
      </c>
      <c r="F129" s="21">
        <f t="shared" si="58"/>
        <v>883227.11089499283</v>
      </c>
      <c r="G129" s="22">
        <f>IF(C129="No",(VLOOKUP($A129,'[1]Cost UPL SFY21 Combine'!$B:$AS,17,FALSE)+VLOOKUP($A129,'[1]Cost UPL SFY21 Combine'!$B:$AS,18,FALSE)+VLOOKUP($A129,'[1]Cost UPL SFY21 Combine'!$B:$AS,19,FALSE)),(VLOOKUP($A129,'[1]DRG UPL SFY21 Combined'!$A:$AZ,18,FALSE)+VLOOKUP($A129,'[1]DRG UPL SFY21 Combined'!$A:$AZ,19,FALSE)+VLOOKUP($A129,'[1]DRG UPL SFY21 Combined'!$A:$AZ,22,FALSE)))</f>
        <v>236899.17</v>
      </c>
      <c r="H129" s="22"/>
      <c r="I129" s="22">
        <f t="shared" si="59"/>
        <v>236899.17</v>
      </c>
      <c r="J129" s="23">
        <f>IF($E129=1,I129/$I$141,0)</f>
        <v>0</v>
      </c>
      <c r="K129" s="22">
        <f>IFERROR(IF(C129="No",(VLOOKUP($A129,'[1]SHOPP UPL SFY2021 Combined INP'!$A:$AL,36,FALSE)),VLOOKUP($A129,'[1]DRG UPL SFY21 Combined'!$A:$AW,48,FALSE)),0)</f>
        <v>6700.4984680288762</v>
      </c>
      <c r="L129" s="22">
        <f>IF($E129=1,ROUND($J129*(L$144+L$145),0),0)</f>
        <v>0</v>
      </c>
      <c r="M129" s="22">
        <f>(IFERROR(VLOOKUP($A129,'[1]CAH 101% of cost'!$A$3:$BJ$44,48,FALSE),0))</f>
        <v>33312</v>
      </c>
      <c r="N129" s="22">
        <f t="shared" si="60"/>
        <v>33312</v>
      </c>
      <c r="O129" s="22">
        <v>6300.5</v>
      </c>
      <c r="P129" s="22">
        <f t="shared" si="61"/>
        <v>8328</v>
      </c>
      <c r="Q129" s="22">
        <f t="shared" si="62"/>
        <v>10355.5</v>
      </c>
      <c r="R129" s="22">
        <f t="shared" si="63"/>
        <v>8328</v>
      </c>
      <c r="S129" s="22">
        <f t="shared" si="63"/>
        <v>8328</v>
      </c>
      <c r="T129" s="22">
        <v>0</v>
      </c>
      <c r="U129" s="22">
        <f t="shared" si="64"/>
        <v>-26611.501531971124</v>
      </c>
      <c r="V129" s="22"/>
      <c r="W129" s="22">
        <f>IFERROR(VLOOKUP($A129,'[1]Cost UPL SFY21 Combine'!$B:$AG,31,FALSE),0)+IFERROR(VLOOKUP($A129,'[1]Cost UPL SFY21 Combine'!$B:$AG,32,FALSE),0)</f>
        <v>646327.94089499279</v>
      </c>
      <c r="X129" s="23">
        <f>IF($E129=1,W129/$W$141,0)</f>
        <v>0</v>
      </c>
      <c r="Y129" s="22">
        <f>IFERROR(VLOOKUP($A129,'[1]SHOPP UPL SFY2021 Combined OUT'!$A:$AH,33,FALSE),0)</f>
        <v>1084815.4447835512</v>
      </c>
      <c r="Z129" s="24">
        <f>IF($E129=1,ROUND($X129*(Z$144+Z$145),0),0)</f>
        <v>0</v>
      </c>
      <c r="AA129" s="22">
        <f>(IFERROR(VLOOKUP(A129,'[1]CAH 101% of cost'!$A$3:$BP$44,64,FALSE),0))</f>
        <v>994586</v>
      </c>
      <c r="AB129" s="22">
        <f t="shared" si="65"/>
        <v>994586</v>
      </c>
      <c r="AC129" s="22">
        <f>VLOOKUP(A129,'[2]2022 CAH Payments'!$B$2:$G$40,6,FALSE)</f>
        <v>192175</v>
      </c>
      <c r="AD129" s="22">
        <f t="shared" si="69"/>
        <v>248646.5</v>
      </c>
      <c r="AE129" s="22">
        <f t="shared" si="66"/>
        <v>305118</v>
      </c>
      <c r="AF129" s="22">
        <f t="shared" si="67"/>
        <v>248646.5</v>
      </c>
      <c r="AG129" s="22">
        <f t="shared" si="67"/>
        <v>248646.5</v>
      </c>
      <c r="AH129" s="22">
        <v>0</v>
      </c>
      <c r="AI129" s="22">
        <f t="shared" si="68"/>
        <v>90229.444783551153</v>
      </c>
      <c r="AJ129" s="26"/>
      <c r="AO129" s="26"/>
    </row>
    <row r="130" spans="1:41" x14ac:dyDescent="0.3">
      <c r="A130" s="109" t="s">
        <v>260</v>
      </c>
      <c r="B130" s="123" t="s">
        <v>261</v>
      </c>
      <c r="C130" s="128" t="str">
        <f>IFERROR(VLOOKUP(A130,'[1]SHOPP UPL SFY2021 Combined OUT'!$A:$F,6,FALSE),IFERROR(VLOOKUP(A130,'[1]SHOPP UPL SFY2021 Combined INP'!$A:$F,6,FALSE),VLOOKUP(A130,'[1]DRG UPL SFY21 Combined'!$A:$J,10,FALSE)))</f>
        <v>No</v>
      </c>
      <c r="D130" s="123">
        <v>2</v>
      </c>
      <c r="E130" s="20">
        <v>0</v>
      </c>
      <c r="F130" s="21">
        <f t="shared" si="58"/>
        <v>555764.08054074273</v>
      </c>
      <c r="G130" s="22">
        <f>IF(C130="No",(VLOOKUP($A130,'[1]Cost UPL SFY21 Combine'!$B:$AS,17,FALSE)+VLOOKUP($A130,'[1]Cost UPL SFY21 Combine'!$B:$AS,18,FALSE)+VLOOKUP($A130,'[1]Cost UPL SFY21 Combine'!$B:$AS,19,FALSE)),(VLOOKUP($A130,'[1]DRG UPL SFY21 Combined'!$A:$AZ,18,FALSE)+VLOOKUP($A130,'[1]DRG UPL SFY21 Combined'!$A:$AZ,19,FALSE)+VLOOKUP($A130,'[1]DRG UPL SFY21 Combined'!$A:$AZ,22,FALSE)))</f>
        <v>152572.31</v>
      </c>
      <c r="H130" s="22"/>
      <c r="I130" s="22">
        <f t="shared" si="59"/>
        <v>152572.31</v>
      </c>
      <c r="J130" s="23">
        <f>IF($E130=1,I130/$I$141,0)</f>
        <v>0</v>
      </c>
      <c r="K130" s="22">
        <f>IFERROR(IF(C130="No",(VLOOKUP($A130,'[1]SHOPP UPL SFY2021 Combined INP'!$A:$AL,36,FALSE)),VLOOKUP($A130,'[1]DRG UPL SFY21 Combined'!$A:$AW,48,FALSE)),0)</f>
        <v>263204.19455380191</v>
      </c>
      <c r="L130" s="22">
        <f>IF($E130=1,ROUND($J130*(L$144+L$145),0),0)</f>
        <v>0</v>
      </c>
      <c r="M130" s="22">
        <f>(IFERROR(VLOOKUP($A130,'[1]CAH 101% of cost'!$A$3:$BJ$44,48,FALSE),0))</f>
        <v>340863</v>
      </c>
      <c r="N130" s="22">
        <f t="shared" si="60"/>
        <v>340863</v>
      </c>
      <c r="O130" s="22">
        <v>46393.75</v>
      </c>
      <c r="P130" s="22">
        <f t="shared" si="61"/>
        <v>85215.75</v>
      </c>
      <c r="Q130" s="22">
        <f t="shared" si="62"/>
        <v>124037.75</v>
      </c>
      <c r="R130" s="22">
        <f t="shared" si="63"/>
        <v>85215.75</v>
      </c>
      <c r="S130" s="22">
        <f t="shared" si="63"/>
        <v>85215.75</v>
      </c>
      <c r="T130" s="22">
        <v>0</v>
      </c>
      <c r="U130" s="22">
        <f t="shared" si="64"/>
        <v>-77658.805446198094</v>
      </c>
      <c r="V130" s="22"/>
      <c r="W130" s="22">
        <f>IFERROR(VLOOKUP($A130,'[1]Cost UPL SFY21 Combine'!$B:$AG,31,FALSE),0)+IFERROR(VLOOKUP($A130,'[1]Cost UPL SFY21 Combine'!$B:$AG,32,FALSE),0)</f>
        <v>403191.77054074279</v>
      </c>
      <c r="X130" s="23">
        <f>IF($E130=1,W130/$W$141,0)</f>
        <v>0</v>
      </c>
      <c r="Y130" s="22">
        <f>IFERROR(VLOOKUP($A130,'[1]SHOPP UPL SFY2021 Combined OUT'!$A:$AH,33,FALSE),0)</f>
        <v>473538.54973801953</v>
      </c>
      <c r="Z130" s="24">
        <f>IF($E130=1,ROUND($X130*(Z$144+Z$145),0),0)</f>
        <v>0</v>
      </c>
      <c r="AA130" s="22">
        <f>(IFERROR(VLOOKUP(A130,'[1]CAH 101% of cost'!$A$3:$BP$44,64,FALSE),0))</f>
        <v>408690</v>
      </c>
      <c r="AB130" s="22">
        <f t="shared" si="65"/>
        <v>408690</v>
      </c>
      <c r="AC130" s="22">
        <f>VLOOKUP(A130,'[2]2022 CAH Payments'!$B$2:$G$40,6,FALSE)</f>
        <v>70224.5</v>
      </c>
      <c r="AD130" s="22">
        <f t="shared" si="69"/>
        <v>102172.5</v>
      </c>
      <c r="AE130" s="22">
        <f t="shared" si="66"/>
        <v>134120.5</v>
      </c>
      <c r="AF130" s="22">
        <f t="shared" si="67"/>
        <v>102172.5</v>
      </c>
      <c r="AG130" s="22">
        <f t="shared" si="67"/>
        <v>102172.5</v>
      </c>
      <c r="AH130" s="22">
        <v>0</v>
      </c>
      <c r="AI130" s="22">
        <f t="shared" si="68"/>
        <v>64848.54973801953</v>
      </c>
      <c r="AJ130" s="26"/>
      <c r="AO130" s="26"/>
    </row>
    <row r="131" spans="1:41" x14ac:dyDescent="0.3">
      <c r="A131" s="17" t="s">
        <v>262</v>
      </c>
      <c r="B131" s="18" t="s">
        <v>263</v>
      </c>
      <c r="C131" s="19" t="str">
        <f>IFERROR(VLOOKUP(A131,'[1]SHOPP UPL SFY2021 Combined OUT'!$A:$F,6,FALSE),IFERROR(VLOOKUP(A131,'[1]SHOPP UPL SFY2021 Combined INP'!$A:$F,6,FALSE),VLOOKUP(A131,'[1]DRG UPL SFY21 Combined'!$A:$J,10,FALSE)))</f>
        <v>No</v>
      </c>
      <c r="D131" s="18">
        <v>2</v>
      </c>
      <c r="E131" s="50">
        <v>0</v>
      </c>
      <c r="F131" s="21">
        <f t="shared" si="58"/>
        <v>431519.99</v>
      </c>
      <c r="G131" s="22">
        <f>IF(C131="No",(VLOOKUP($A131,'[1]Cost UPL SFY21 Combine'!$B:$AS,17,FALSE)+VLOOKUP($A131,'[1]Cost UPL SFY21 Combine'!$B:$AS,18,FALSE)+VLOOKUP($A131,'[1]Cost UPL SFY21 Combine'!$B:$AS,19,FALSE)),(VLOOKUP($A131,'[1]DRG UPL SFY21 Combined'!$A:$AZ,18,FALSE)+VLOOKUP($A131,'[1]DRG UPL SFY21 Combined'!$A:$AZ,19,FALSE)+VLOOKUP($A131,'[1]DRG UPL SFY21 Combined'!$A:$AZ,22,FALSE)))</f>
        <v>75636.459999999992</v>
      </c>
      <c r="H131" s="22"/>
      <c r="I131" s="22">
        <f t="shared" si="59"/>
        <v>75636.459999999992</v>
      </c>
      <c r="J131" s="23">
        <f>IF($E131=1,I131/$I$141,0)</f>
        <v>0</v>
      </c>
      <c r="K131" s="22">
        <f>IFERROR(IF(C131="No",(VLOOKUP($A131,'[1]SHOPP UPL SFY2021 Combined INP'!$A:$AL,36,FALSE)),VLOOKUP($A131,'[1]DRG UPL SFY21 Combined'!$A:$AW,48,FALSE)),0)</f>
        <v>24016.002373502553</v>
      </c>
      <c r="L131" s="22">
        <f>IF($E131=1,ROUND($J131*(L$144+L$145),0),0)</f>
        <v>0</v>
      </c>
      <c r="M131" s="22">
        <f>(IFERROR(VLOOKUP($A131,'[1]CAH 101% of cost'!$A$3:$BJ$44,48,FALSE),0))</f>
        <v>66504</v>
      </c>
      <c r="N131" s="22">
        <f t="shared" si="60"/>
        <v>66504</v>
      </c>
      <c r="O131" s="22">
        <v>19423.75</v>
      </c>
      <c r="P131" s="22">
        <f t="shared" si="61"/>
        <v>16626</v>
      </c>
      <c r="Q131" s="22">
        <f t="shared" si="62"/>
        <v>13828.25</v>
      </c>
      <c r="R131" s="22">
        <f t="shared" si="63"/>
        <v>16626</v>
      </c>
      <c r="S131" s="22">
        <f t="shared" si="63"/>
        <v>16626</v>
      </c>
      <c r="T131" s="22">
        <v>0</v>
      </c>
      <c r="U131" s="22">
        <f t="shared" si="64"/>
        <v>-42487.997626497447</v>
      </c>
      <c r="V131" s="22"/>
      <c r="W131" s="22">
        <f>IFERROR(VLOOKUP($A131,'[1]Cost UPL SFY21 Combine'!$B:$AG,31,FALSE),0)+IFERROR(VLOOKUP($A131,'[1]Cost UPL SFY21 Combine'!$B:$AG,32,FALSE),0)</f>
        <v>355883.52999999997</v>
      </c>
      <c r="X131" s="23">
        <f>IF($E131=1,W131/$W$141,0)</f>
        <v>0</v>
      </c>
      <c r="Y131" s="22">
        <f>IFERROR(VLOOKUP($A131,'[1]SHOPP UPL SFY2021 Combined OUT'!$A:$AH,33,FALSE),0)</f>
        <v>1038104.0850373036</v>
      </c>
      <c r="Z131" s="24">
        <f>IF($E131=1,ROUND($X131*(Z$144+Z$145),0),0)</f>
        <v>0</v>
      </c>
      <c r="AA131" s="22">
        <f>(IFERROR(VLOOKUP(A131,'[1]CAH 101% of cost'!$A$3:$BP$44,64,FALSE),0))</f>
        <v>1093975</v>
      </c>
      <c r="AB131" s="22">
        <f t="shared" si="65"/>
        <v>1093975</v>
      </c>
      <c r="AC131" s="22">
        <f>VLOOKUP(A131,'[2]2022 CAH Payments'!$B$2:$G$40,6,FALSE)</f>
        <v>237160</v>
      </c>
      <c r="AD131" s="22">
        <f t="shared" si="69"/>
        <v>273493.75</v>
      </c>
      <c r="AE131" s="22">
        <f t="shared" si="66"/>
        <v>309827.5</v>
      </c>
      <c r="AF131" s="22">
        <f t="shared" si="67"/>
        <v>273493.75</v>
      </c>
      <c r="AG131" s="22">
        <f t="shared" si="67"/>
        <v>273493.75</v>
      </c>
      <c r="AH131" s="22">
        <v>0</v>
      </c>
      <c r="AI131" s="22">
        <f t="shared" si="68"/>
        <v>-55870.914962696377</v>
      </c>
      <c r="AJ131" s="26"/>
      <c r="AO131" s="26"/>
    </row>
    <row r="132" spans="1:41" x14ac:dyDescent="0.3">
      <c r="A132" s="17" t="s">
        <v>264</v>
      </c>
      <c r="B132" s="18" t="s">
        <v>265</v>
      </c>
      <c r="C132" s="19" t="str">
        <f>IFERROR(VLOOKUP(A132,'[1]SHOPP UPL SFY2021 Combined OUT'!$A:$F,6,FALSE),IFERROR(VLOOKUP(A132,'[1]SHOPP UPL SFY2021 Combined INP'!$A:$F,6,FALSE),VLOOKUP(A132,'[1]DRG UPL SFY21 Combined'!$A:$J,10,FALSE)))</f>
        <v>No</v>
      </c>
      <c r="D132" s="18">
        <v>2</v>
      </c>
      <c r="E132" s="50">
        <v>0</v>
      </c>
      <c r="F132" s="21">
        <f t="shared" si="58"/>
        <v>154136.03</v>
      </c>
      <c r="G132" s="22">
        <f>IF(C132="No",(VLOOKUP($A132,'[1]Cost UPL SFY21 Combine'!$B:$AS,17,FALSE)+VLOOKUP($A132,'[1]Cost UPL SFY21 Combine'!$B:$AS,18,FALSE)+VLOOKUP($A132,'[1]Cost UPL SFY21 Combine'!$B:$AS,19,FALSE)),(VLOOKUP($A132,'[1]DRG UPL SFY21 Combined'!$A:$AZ,18,FALSE)+VLOOKUP($A132,'[1]DRG UPL SFY21 Combined'!$A:$AZ,19,FALSE)+VLOOKUP($A132,'[1]DRG UPL SFY21 Combined'!$A:$AZ,22,FALSE)))</f>
        <v>17078.650000000001</v>
      </c>
      <c r="H132" s="22"/>
      <c r="I132" s="22">
        <f t="shared" si="59"/>
        <v>17078.650000000001</v>
      </c>
      <c r="J132" s="23">
        <f>IF($E132=1,I132/$I$141,0)</f>
        <v>0</v>
      </c>
      <c r="K132" s="22">
        <f>IFERROR(IF(C132="No",(VLOOKUP($A132,'[1]SHOPP UPL SFY2021 Combined INP'!$A:$AL,36,FALSE)),VLOOKUP($A132,'[1]DRG UPL SFY21 Combined'!$A:$AW,48,FALSE)),0)</f>
        <v>69644.05742881773</v>
      </c>
      <c r="L132" s="22">
        <f>IF($E132=1,ROUND($J132*(L$144+L$145),0),0)</f>
        <v>0</v>
      </c>
      <c r="M132" s="22">
        <f>(IFERROR(VLOOKUP($A132,'[1]CAH 101% of cost'!$A$3:$BJ$44,48,FALSE),0))</f>
        <v>975</v>
      </c>
      <c r="N132" s="22">
        <f t="shared" si="60"/>
        <v>975</v>
      </c>
      <c r="O132" s="22">
        <v>399.5</v>
      </c>
      <c r="P132" s="22">
        <f t="shared" si="61"/>
        <v>243.75</v>
      </c>
      <c r="Q132" s="22">
        <f t="shared" si="62"/>
        <v>88</v>
      </c>
      <c r="R132" s="22">
        <f t="shared" si="63"/>
        <v>243.75</v>
      </c>
      <c r="S132" s="22">
        <f t="shared" si="63"/>
        <v>243.75</v>
      </c>
      <c r="T132" s="22">
        <v>0</v>
      </c>
      <c r="U132" s="22">
        <f t="shared" si="64"/>
        <v>68669.05742881773</v>
      </c>
      <c r="V132" s="22"/>
      <c r="W132" s="22">
        <f>IFERROR(VLOOKUP($A132,'[1]Cost UPL SFY21 Combine'!$B:$AG,31,FALSE),0)+IFERROR(VLOOKUP($A132,'[1]Cost UPL SFY21 Combine'!$B:$AG,32,FALSE),0)</f>
        <v>137057.38</v>
      </c>
      <c r="X132" s="23">
        <f>IF($E132=1,W132/$W$141,0)</f>
        <v>0</v>
      </c>
      <c r="Y132" s="22">
        <f>IFERROR(VLOOKUP($A132,'[1]SHOPP UPL SFY2021 Combined OUT'!$A:$AH,33,FALSE),0)</f>
        <v>260108.71129753359</v>
      </c>
      <c r="Z132" s="24">
        <f>IF($E132=1,ROUND($X132*(Z$144+Z$145),0),0)</f>
        <v>0</v>
      </c>
      <c r="AA132" s="22">
        <f>(IFERROR(VLOOKUP(A132,'[1]CAH 101% of cost'!$A$3:$BP$44,64,FALSE),0))</f>
        <v>285606</v>
      </c>
      <c r="AB132" s="22">
        <f t="shared" si="65"/>
        <v>285606</v>
      </c>
      <c r="AC132" s="22">
        <f>VLOOKUP(A132,'[2]2022 CAH Payments'!$B$2:$G$40,6,FALSE)</f>
        <v>60566.5</v>
      </c>
      <c r="AD132" s="22">
        <f t="shared" si="69"/>
        <v>71401.5</v>
      </c>
      <c r="AE132" s="22">
        <f t="shared" si="66"/>
        <v>82236.5</v>
      </c>
      <c r="AF132" s="22">
        <f t="shared" si="67"/>
        <v>71401.5</v>
      </c>
      <c r="AG132" s="22">
        <f t="shared" si="67"/>
        <v>71401.5</v>
      </c>
      <c r="AH132" s="22">
        <v>0</v>
      </c>
      <c r="AI132" s="22">
        <f t="shared" si="68"/>
        <v>-25497.288702466409</v>
      </c>
      <c r="AJ132" s="26"/>
      <c r="AO132" s="26"/>
    </row>
    <row r="133" spans="1:41" x14ac:dyDescent="0.3">
      <c r="A133" s="17" t="s">
        <v>266</v>
      </c>
      <c r="B133" s="18" t="s">
        <v>267</v>
      </c>
      <c r="C133" s="19" t="str">
        <f>IFERROR(VLOOKUP(A133,'[1]SHOPP UPL SFY2021 Combined OUT'!$A:$F,6,FALSE),IFERROR(VLOOKUP(A133,'[1]SHOPP UPL SFY2021 Combined INP'!$A:$F,6,FALSE),VLOOKUP(A133,'[1]DRG UPL SFY21 Combined'!$A:$J,10,FALSE)))</f>
        <v>No</v>
      </c>
      <c r="D133" s="18">
        <v>2</v>
      </c>
      <c r="E133" s="50">
        <v>0</v>
      </c>
      <c r="F133" s="21">
        <f t="shared" si="58"/>
        <v>270400.27909329563</v>
      </c>
      <c r="G133" s="22">
        <f>IF(C133="No",(VLOOKUP($A133,'[1]Cost UPL SFY21 Combine'!$B:$AS,17,FALSE)+VLOOKUP($A133,'[1]Cost UPL SFY21 Combine'!$B:$AS,18,FALSE)+VLOOKUP($A133,'[1]Cost UPL SFY21 Combine'!$B:$AS,19,FALSE)),(VLOOKUP($A133,'[1]DRG UPL SFY21 Combined'!$A:$AZ,18,FALSE)+VLOOKUP($A133,'[1]DRG UPL SFY21 Combined'!$A:$AZ,19,FALSE)+VLOOKUP($A133,'[1]DRG UPL SFY21 Combined'!$A:$AZ,22,FALSE)))</f>
        <v>117193.08</v>
      </c>
      <c r="H133" s="22"/>
      <c r="I133" s="22">
        <f t="shared" si="59"/>
        <v>117193.08</v>
      </c>
      <c r="J133" s="23">
        <f>IF($E133=1,I133/$I$141,0)</f>
        <v>0</v>
      </c>
      <c r="K133" s="22">
        <f>IFERROR(IF(C133="No",(VLOOKUP($A133,'[1]SHOPP UPL SFY2021 Combined INP'!$A:$AL,36,FALSE)),VLOOKUP($A133,'[1]DRG UPL SFY21 Combined'!$A:$AW,48,FALSE)),0)</f>
        <v>238282.50539775411</v>
      </c>
      <c r="L133" s="22">
        <f>IF($E133=1,ROUND($J133*(L$144+L$145),0),0)</f>
        <v>0</v>
      </c>
      <c r="M133" s="22">
        <f>(IFERROR(VLOOKUP($A133,'[1]CAH 101% of cost'!$A$3:$BJ$44,48,FALSE),0))</f>
        <v>291900</v>
      </c>
      <c r="N133" s="22">
        <f t="shared" si="60"/>
        <v>291900</v>
      </c>
      <c r="O133" s="22">
        <v>44321.75</v>
      </c>
      <c r="P133" s="22">
        <f t="shared" si="61"/>
        <v>72975</v>
      </c>
      <c r="Q133" s="22">
        <f t="shared" si="62"/>
        <v>101628.25</v>
      </c>
      <c r="R133" s="22">
        <f t="shared" si="63"/>
        <v>72975</v>
      </c>
      <c r="S133" s="22">
        <f t="shared" si="63"/>
        <v>72975</v>
      </c>
      <c r="T133" s="22">
        <v>0</v>
      </c>
      <c r="U133" s="22">
        <f t="shared" si="64"/>
        <v>-53617.49460224589</v>
      </c>
      <c r="V133" s="22"/>
      <c r="W133" s="22">
        <f>IFERROR(VLOOKUP($A133,'[1]Cost UPL SFY21 Combine'!$B:$AG,31,FALSE),0)+IFERROR(VLOOKUP($A133,'[1]Cost UPL SFY21 Combine'!$B:$AG,32,FALSE),0)</f>
        <v>153207.19909329564</v>
      </c>
      <c r="X133" s="23">
        <f>IF($E133=1,W133/$W$141,0)</f>
        <v>0</v>
      </c>
      <c r="Y133" s="22">
        <f>IFERROR(VLOOKUP($A133,'[1]SHOPP UPL SFY2021 Combined OUT'!$A:$AH,33,FALSE),0)</f>
        <v>237056.72938531707</v>
      </c>
      <c r="Z133" s="24">
        <f>IF($E133=1,ROUND($X133*(Z$144+Z$145),0),0)</f>
        <v>0</v>
      </c>
      <c r="AA133" s="22">
        <f>(IFERROR(VLOOKUP(A133,'[1]CAH 101% of cost'!$A$3:$BP$44,64,FALSE),0))</f>
        <v>229284</v>
      </c>
      <c r="AB133" s="22">
        <f t="shared" si="65"/>
        <v>229284</v>
      </c>
      <c r="AC133" s="22">
        <f>VLOOKUP(A133,'[2]2022 CAH Payments'!$B$2:$G$40,6,FALSE)</f>
        <v>45733.5</v>
      </c>
      <c r="AD133" s="22">
        <f t="shared" si="69"/>
        <v>57321</v>
      </c>
      <c r="AE133" s="22">
        <f t="shared" si="66"/>
        <v>68908.5</v>
      </c>
      <c r="AF133" s="22">
        <f t="shared" si="67"/>
        <v>57321</v>
      </c>
      <c r="AG133" s="22">
        <f t="shared" si="67"/>
        <v>57321</v>
      </c>
      <c r="AH133" s="22">
        <v>0</v>
      </c>
      <c r="AI133" s="22">
        <f t="shared" si="68"/>
        <v>7772.7293853170704</v>
      </c>
      <c r="AJ133" s="26"/>
      <c r="AO133" s="26"/>
    </row>
    <row r="134" spans="1:41" x14ac:dyDescent="0.3">
      <c r="A134" s="17" t="s">
        <v>268</v>
      </c>
      <c r="B134" s="18" t="s">
        <v>269</v>
      </c>
      <c r="C134" s="19" t="str">
        <f>IFERROR(VLOOKUP(A134,'[1]SHOPP UPL SFY2021 Combined OUT'!$A:$F,6,FALSE),IFERROR(VLOOKUP(A134,'[1]SHOPP UPL SFY2021 Combined INP'!$A:$F,6,FALSE),VLOOKUP(A134,'[1]DRG UPL SFY21 Combined'!$A:$J,10,FALSE)))</f>
        <v>No</v>
      </c>
      <c r="D134" s="18">
        <v>2</v>
      </c>
      <c r="E134" s="50">
        <v>0</v>
      </c>
      <c r="F134" s="21">
        <f t="shared" si="58"/>
        <v>280911.00796271604</v>
      </c>
      <c r="G134" s="22">
        <f>IF(C134="No",(VLOOKUP($A134,'[1]Cost UPL SFY21 Combine'!$B:$AS,17,FALSE)+VLOOKUP($A134,'[1]Cost UPL SFY21 Combine'!$B:$AS,18,FALSE)+VLOOKUP($A134,'[1]Cost UPL SFY21 Combine'!$B:$AS,19,FALSE)),(VLOOKUP($A134,'[1]DRG UPL SFY21 Combined'!$A:$AZ,18,FALSE)+VLOOKUP($A134,'[1]DRG UPL SFY21 Combined'!$A:$AZ,19,FALSE)+VLOOKUP($A134,'[1]DRG UPL SFY21 Combined'!$A:$AZ,22,FALSE)))</f>
        <v>147220.59999999998</v>
      </c>
      <c r="H134" s="22"/>
      <c r="I134" s="22">
        <f t="shared" si="59"/>
        <v>147220.59999999998</v>
      </c>
      <c r="J134" s="23">
        <f>IF($E134=1,I134/$I$141,0)</f>
        <v>0</v>
      </c>
      <c r="K134" s="22">
        <f>IFERROR(IF(C134="No",(VLOOKUP($A134,'[1]SHOPP UPL SFY2021 Combined INP'!$A:$AL,36,FALSE)),VLOOKUP($A134,'[1]DRG UPL SFY21 Combined'!$A:$AW,48,FALSE)),0)</f>
        <v>133978.62646845053</v>
      </c>
      <c r="L134" s="22">
        <f>IF($E134=1,ROUND($J134*(L$144+L$145),0),0)</f>
        <v>0</v>
      </c>
      <c r="M134" s="22">
        <f>(IFERROR(VLOOKUP($A134,'[1]CAH 101% of cost'!$A$3:$BJ$44,48,FALSE),0))</f>
        <v>145801</v>
      </c>
      <c r="N134" s="22">
        <f t="shared" si="60"/>
        <v>145801</v>
      </c>
      <c r="O134" s="22">
        <v>23289.25</v>
      </c>
      <c r="P134" s="22">
        <f t="shared" si="61"/>
        <v>36450.25</v>
      </c>
      <c r="Q134" s="22">
        <f t="shared" si="62"/>
        <v>49611.25</v>
      </c>
      <c r="R134" s="22">
        <f t="shared" si="63"/>
        <v>36450.25</v>
      </c>
      <c r="S134" s="22">
        <f t="shared" si="63"/>
        <v>36450.25</v>
      </c>
      <c r="T134" s="22">
        <v>0</v>
      </c>
      <c r="U134" s="22">
        <f t="shared" si="64"/>
        <v>-11822.37353154947</v>
      </c>
      <c r="V134" s="22"/>
      <c r="W134" s="22">
        <f>IFERROR(VLOOKUP($A134,'[1]Cost UPL SFY21 Combine'!$B:$AG,31,FALSE),0)+IFERROR(VLOOKUP($A134,'[1]Cost UPL SFY21 Combine'!$B:$AG,32,FALSE),0)</f>
        <v>133690.4079627161</v>
      </c>
      <c r="X134" s="23">
        <f>IF($E134=1,W134/$W$141,0)</f>
        <v>0</v>
      </c>
      <c r="Y134" s="22">
        <f>IFERROR(VLOOKUP($A134,'[1]SHOPP UPL SFY2021 Combined OUT'!$A:$AH,33,FALSE),0)</f>
        <v>147431.82830179163</v>
      </c>
      <c r="Z134" s="24">
        <f>IF($E134=1,ROUND($X134*(Z$144+Z$145),0),0)</f>
        <v>0</v>
      </c>
      <c r="AA134" s="22">
        <f>(IFERROR(VLOOKUP(A134,'[1]CAH 101% of cost'!$A$3:$BP$44,64,FALSE),0))</f>
        <v>338963</v>
      </c>
      <c r="AB134" s="22">
        <f t="shared" si="65"/>
        <v>338963</v>
      </c>
      <c r="AC134" s="22">
        <f>VLOOKUP(A134,'[2]2022 CAH Payments'!$B$2:$G$40,6,FALSE)</f>
        <v>52325.25</v>
      </c>
      <c r="AD134" s="22">
        <f t="shared" si="69"/>
        <v>84740.75</v>
      </c>
      <c r="AE134" s="22">
        <f t="shared" si="66"/>
        <v>117156.25</v>
      </c>
      <c r="AF134" s="22">
        <f t="shared" si="67"/>
        <v>84740.75</v>
      </c>
      <c r="AG134" s="22">
        <f t="shared" si="67"/>
        <v>84740.75</v>
      </c>
      <c r="AH134" s="22">
        <v>0</v>
      </c>
      <c r="AI134" s="22">
        <f t="shared" si="68"/>
        <v>-191531.17169820837</v>
      </c>
      <c r="AJ134" s="26"/>
      <c r="AO134" s="26"/>
    </row>
    <row r="135" spans="1:41" x14ac:dyDescent="0.3">
      <c r="A135" s="114" t="s">
        <v>270</v>
      </c>
      <c r="B135" s="123" t="s">
        <v>271</v>
      </c>
      <c r="C135" s="128" t="str">
        <f>IFERROR(VLOOKUP(A135,'[1]SHOPP UPL SFY2021 Combined OUT'!$A:$F,6,FALSE),IFERROR(VLOOKUP(A135,'[1]SHOPP UPL SFY2021 Combined INP'!$A:$F,6,FALSE),VLOOKUP(A135,'[1]DRG UPL SFY21 Combined'!$A:$J,10,FALSE)))</f>
        <v>No</v>
      </c>
      <c r="D135" s="123">
        <v>2</v>
      </c>
      <c r="E135" s="50">
        <v>0</v>
      </c>
      <c r="F135" s="21">
        <f t="shared" si="58"/>
        <v>101090.64272740684</v>
      </c>
      <c r="G135" s="22">
        <f>IF(C135="No",(VLOOKUP($A135,'[1]Cost UPL SFY21 Combine'!$B:$AS,17,FALSE)+VLOOKUP($A135,'[1]Cost UPL SFY21 Combine'!$B:$AS,18,FALSE)+VLOOKUP($A135,'[1]Cost UPL SFY21 Combine'!$B:$AS,19,FALSE)),(VLOOKUP($A135,'[1]DRG UPL SFY21 Combined'!$A:$AZ,18,FALSE)+VLOOKUP($A135,'[1]DRG UPL SFY21 Combined'!$A:$AZ,19,FALSE)+VLOOKUP($A135,'[1]DRG UPL SFY21 Combined'!$A:$AZ,22,FALSE)))</f>
        <v>42988.39</v>
      </c>
      <c r="H135" s="22"/>
      <c r="I135" s="22">
        <f t="shared" si="59"/>
        <v>42988.39</v>
      </c>
      <c r="J135" s="23">
        <f>IF($E135=1,I135/$I$141,0)</f>
        <v>0</v>
      </c>
      <c r="K135" s="22">
        <f>IFERROR(IF(C135="No",(VLOOKUP($A135,'[1]SHOPP UPL SFY2021 Combined INP'!$A:$AL,36,FALSE)),VLOOKUP($A135,'[1]DRG UPL SFY21 Combined'!$A:$AW,48,FALSE)),0)</f>
        <v>4592.6518401852254</v>
      </c>
      <c r="L135" s="22">
        <f>IF($E135=1,ROUND($J135*(L$144+L$145),0),0)</f>
        <v>0</v>
      </c>
      <c r="M135" s="22">
        <f>(IFERROR(VLOOKUP($A135,'[1]CAH 101% of cost'!$A$3:$BJ$44,48,FALSE),0))</f>
        <v>37810</v>
      </c>
      <c r="N135" s="22">
        <f t="shared" si="60"/>
        <v>37810</v>
      </c>
      <c r="O135" s="22">
        <v>11882</v>
      </c>
      <c r="P135" s="22">
        <f t="shared" si="61"/>
        <v>9452.5</v>
      </c>
      <c r="Q135" s="22">
        <f t="shared" si="62"/>
        <v>7023</v>
      </c>
      <c r="R135" s="22">
        <f t="shared" si="63"/>
        <v>9452.5</v>
      </c>
      <c r="S135" s="22">
        <f t="shared" si="63"/>
        <v>9452.5</v>
      </c>
      <c r="T135" s="22">
        <v>0</v>
      </c>
      <c r="U135" s="22">
        <f t="shared" si="64"/>
        <v>-33217.348159814777</v>
      </c>
      <c r="V135" s="22"/>
      <c r="W135" s="22">
        <f>IFERROR(VLOOKUP($A135,'[1]Cost UPL SFY21 Combine'!$B:$AG,31,FALSE),0)+IFERROR(VLOOKUP($A135,'[1]Cost UPL SFY21 Combine'!$B:$AG,32,FALSE),0)</f>
        <v>58102.252727406849</v>
      </c>
      <c r="X135" s="23">
        <f>IF($E135=1,W135/$W$141,0)</f>
        <v>0</v>
      </c>
      <c r="Y135" s="22">
        <f>IFERROR(VLOOKUP($A135,'[1]SHOPP UPL SFY2021 Combined OUT'!$A:$AH,33,FALSE),0)</f>
        <v>178523.73378177115</v>
      </c>
      <c r="Z135" s="24">
        <f>IF($E135=1,ROUND($X135*(Z$144+Z$145),0),0)</f>
        <v>0</v>
      </c>
      <c r="AA135" s="22">
        <f>(IFERROR(VLOOKUP(A135,'[1]CAH 101% of cost'!$A$3:$BP$44,64,FALSE),0))</f>
        <v>140630</v>
      </c>
      <c r="AB135" s="22">
        <f t="shared" si="65"/>
        <v>140630</v>
      </c>
      <c r="AC135" s="22">
        <f>VLOOKUP(A135,'[2]2022 CAH Payments'!$B$2:$G$40,6,FALSE)</f>
        <v>34371.75</v>
      </c>
      <c r="AD135" s="22">
        <f t="shared" si="69"/>
        <v>35157.5</v>
      </c>
      <c r="AE135" s="22">
        <f t="shared" si="66"/>
        <v>35943.25</v>
      </c>
      <c r="AF135" s="22">
        <f t="shared" si="67"/>
        <v>35157.5</v>
      </c>
      <c r="AG135" s="22">
        <f t="shared" si="67"/>
        <v>35157.5</v>
      </c>
      <c r="AH135" s="22">
        <v>0</v>
      </c>
      <c r="AI135" s="22">
        <f t="shared" si="68"/>
        <v>37893.733781771152</v>
      </c>
      <c r="AJ135" s="44"/>
      <c r="AO135" s="26"/>
    </row>
    <row r="136" spans="1:41" x14ac:dyDescent="0.3">
      <c r="A136" s="109" t="s">
        <v>272</v>
      </c>
      <c r="B136" s="123" t="s">
        <v>273</v>
      </c>
      <c r="C136" s="128" t="str">
        <f>IFERROR(VLOOKUP(A136,'[1]SHOPP UPL SFY2021 Combined OUT'!$A:$F,6,FALSE),IFERROR(VLOOKUP(A136,'[1]SHOPP UPL SFY2021 Combined INP'!$A:$F,6,FALSE),VLOOKUP(A136,'[1]DRG UPL SFY21 Combined'!$A:$J,10,FALSE)))</f>
        <v>No</v>
      </c>
      <c r="D136" s="123">
        <v>2</v>
      </c>
      <c r="E136" s="20">
        <v>0</v>
      </c>
      <c r="F136" s="21">
        <f t="shared" si="58"/>
        <v>296659.45389351016</v>
      </c>
      <c r="G136" s="22">
        <f>IF(C136="No",(VLOOKUP($A136,'[1]Cost UPL SFY21 Combine'!$B:$AS,17,FALSE)+VLOOKUP($A136,'[1]Cost UPL SFY21 Combine'!$B:$AS,18,FALSE)+VLOOKUP($A136,'[1]Cost UPL SFY21 Combine'!$B:$AS,19,FALSE)),(VLOOKUP($A136,'[1]DRG UPL SFY21 Combined'!$A:$AZ,18,FALSE)+VLOOKUP($A136,'[1]DRG UPL SFY21 Combined'!$A:$AZ,19,FALSE)+VLOOKUP($A136,'[1]DRG UPL SFY21 Combined'!$A:$AZ,22,FALSE)))</f>
        <v>84725.040000000008</v>
      </c>
      <c r="H136" s="22"/>
      <c r="I136" s="22">
        <f t="shared" si="59"/>
        <v>84725.040000000008</v>
      </c>
      <c r="J136" s="23">
        <f>IF($E136=1,I136/$I$141,0)</f>
        <v>0</v>
      </c>
      <c r="K136" s="22">
        <f>IFERROR(IF(C136="No",(VLOOKUP($A136,'[1]SHOPP UPL SFY2021 Combined INP'!$A:$AL,36,FALSE)),VLOOKUP($A136,'[1]DRG UPL SFY21 Combined'!$A:$AW,48,FALSE)),0)</f>
        <v>62194.510021776594</v>
      </c>
      <c r="L136" s="22">
        <f>IF($E136=1,ROUND($J136*(L$144+L$145),0),0)</f>
        <v>0</v>
      </c>
      <c r="M136" s="22">
        <f>(IFERROR(VLOOKUP($A136,'[1]CAH 101% of cost'!$A$3:$BJ$44,48,FALSE),0))</f>
        <v>81964</v>
      </c>
      <c r="N136" s="22">
        <f t="shared" si="60"/>
        <v>81964</v>
      </c>
      <c r="O136" s="22">
        <v>14448.75</v>
      </c>
      <c r="P136" s="22">
        <f t="shared" si="61"/>
        <v>20491</v>
      </c>
      <c r="Q136" s="22">
        <f t="shared" si="62"/>
        <v>26533.25</v>
      </c>
      <c r="R136" s="22">
        <f t="shared" si="63"/>
        <v>20491</v>
      </c>
      <c r="S136" s="22">
        <f t="shared" si="63"/>
        <v>20491</v>
      </c>
      <c r="T136" s="22">
        <v>0</v>
      </c>
      <c r="U136" s="22">
        <f t="shared" si="64"/>
        <v>-19769.489978223406</v>
      </c>
      <c r="V136" s="22"/>
      <c r="W136" s="22">
        <f>IFERROR(VLOOKUP($A136,'[1]Cost UPL SFY21 Combine'!$B:$AG,31,FALSE),0)+IFERROR(VLOOKUP($A136,'[1]Cost UPL SFY21 Combine'!$B:$AG,32,FALSE),0)</f>
        <v>211934.41389351015</v>
      </c>
      <c r="X136" s="23">
        <f>IF($E136=1,W136/$W$141,0)</f>
        <v>0</v>
      </c>
      <c r="Y136" s="22">
        <f>IFERROR(VLOOKUP($A136,'[1]SHOPP UPL SFY2021 Combined OUT'!$A:$AH,33,FALSE),0)</f>
        <v>214834.27689216516</v>
      </c>
      <c r="Z136" s="24">
        <f>IF($E136=1,ROUND($X136*(Z$144+Z$145),0),0)</f>
        <v>0</v>
      </c>
      <c r="AA136" s="22">
        <f>(IFERROR(VLOOKUP(A136,'[1]CAH 101% of cost'!$A$3:$BP$44,64,FALSE),0))</f>
        <v>155862</v>
      </c>
      <c r="AB136" s="22">
        <f t="shared" si="65"/>
        <v>155862</v>
      </c>
      <c r="AC136" s="22">
        <f>VLOOKUP(A136,'[2]2022 CAH Payments'!$B$2:$G$40,6,FALSE)</f>
        <v>22138</v>
      </c>
      <c r="AD136" s="22">
        <f t="shared" si="69"/>
        <v>38965.5</v>
      </c>
      <c r="AE136" s="22">
        <f t="shared" si="66"/>
        <v>55793</v>
      </c>
      <c r="AF136" s="22">
        <f t="shared" si="67"/>
        <v>38965.5</v>
      </c>
      <c r="AG136" s="22">
        <f t="shared" si="67"/>
        <v>38965.5</v>
      </c>
      <c r="AH136" s="22">
        <v>0</v>
      </c>
      <c r="AI136" s="22">
        <f t="shared" si="68"/>
        <v>58972.276892165159</v>
      </c>
      <c r="AJ136" s="26"/>
      <c r="AO136" s="26"/>
    </row>
    <row r="137" spans="1:41" x14ac:dyDescent="0.3">
      <c r="A137" s="17" t="s">
        <v>274</v>
      </c>
      <c r="B137" s="18" t="s">
        <v>275</v>
      </c>
      <c r="C137" s="19" t="str">
        <f>IFERROR(VLOOKUP(A137,'[1]SHOPP UPL SFY2021 Combined OUT'!$A:$F,6,FALSE),IFERROR(VLOOKUP(A137,'[1]SHOPP UPL SFY2021 Combined INP'!$A:$F,6,FALSE),VLOOKUP(A137,'[1]DRG UPL SFY21 Combined'!$A:$J,10,FALSE)))</f>
        <v>No</v>
      </c>
      <c r="D137" s="18">
        <v>2</v>
      </c>
      <c r="E137" s="50">
        <v>0</v>
      </c>
      <c r="F137" s="21">
        <f t="shared" si="58"/>
        <v>1821285.9161976047</v>
      </c>
      <c r="G137" s="22">
        <f>IF(C137="No",(VLOOKUP($A137,'[1]Cost UPL SFY21 Combine'!$B:$AS,17,FALSE)+VLOOKUP($A137,'[1]Cost UPL SFY21 Combine'!$B:$AS,18,FALSE)+VLOOKUP($A137,'[1]Cost UPL SFY21 Combine'!$B:$AS,19,FALSE)),(VLOOKUP($A137,'[1]DRG UPL SFY21 Combined'!$A:$AZ,18,FALSE)+VLOOKUP($A137,'[1]DRG UPL SFY21 Combined'!$A:$AZ,19,FALSE)+VLOOKUP($A137,'[1]DRG UPL SFY21 Combined'!$A:$AZ,22,FALSE)))</f>
        <v>553026.99</v>
      </c>
      <c r="H137" s="22"/>
      <c r="I137" s="22">
        <f t="shared" si="59"/>
        <v>553026.99</v>
      </c>
      <c r="J137" s="23">
        <f>IF($E137=1,I137/$I$141,0)</f>
        <v>0</v>
      </c>
      <c r="K137" s="22">
        <f>IFERROR(IF(C137="No",(VLOOKUP($A137,'[1]SHOPP UPL SFY2021 Combined INP'!$A:$AL,36,FALSE)),VLOOKUP($A137,'[1]DRG UPL SFY21 Combined'!$A:$AW,48,FALSE)),0)</f>
        <v>408969.13369370974</v>
      </c>
      <c r="L137" s="22">
        <f>IF($E137=1,ROUND($J137*(L$144+L$145),0),0)</f>
        <v>0</v>
      </c>
      <c r="M137" s="22">
        <f>(IFERROR(VLOOKUP($A137,'[1]CAH 101% of cost'!$A$3:$BJ$44,48,FALSE),0))</f>
        <v>523175</v>
      </c>
      <c r="N137" s="22">
        <f t="shared" si="60"/>
        <v>523175</v>
      </c>
      <c r="O137" s="22">
        <v>172321.75</v>
      </c>
      <c r="P137" s="22">
        <f t="shared" si="61"/>
        <v>130793.75</v>
      </c>
      <c r="Q137" s="22">
        <f t="shared" si="62"/>
        <v>89265.75</v>
      </c>
      <c r="R137" s="22">
        <f t="shared" si="63"/>
        <v>130793.75</v>
      </c>
      <c r="S137" s="22">
        <f t="shared" si="63"/>
        <v>130793.75</v>
      </c>
      <c r="T137" s="22">
        <v>0</v>
      </c>
      <c r="U137" s="22">
        <f t="shared" si="64"/>
        <v>-114205.86630629026</v>
      </c>
      <c r="V137" s="22"/>
      <c r="W137" s="22">
        <f>IFERROR(VLOOKUP($A137,'[1]Cost UPL SFY21 Combine'!$B:$AG,31,FALSE),0)+IFERROR(VLOOKUP($A137,'[1]Cost UPL SFY21 Combine'!$B:$AG,32,FALSE),0)</f>
        <v>1268258.9261976047</v>
      </c>
      <c r="X137" s="23">
        <f>IF($E137=1,W137/$W$141,0)</f>
        <v>0</v>
      </c>
      <c r="Y137" s="22">
        <f>IFERROR(VLOOKUP($A137,'[1]SHOPP UPL SFY2021 Combined OUT'!$A:$AH,33,FALSE),0)</f>
        <v>907492.23543495196</v>
      </c>
      <c r="Z137" s="24">
        <f>IF($E137=1,ROUND($X137*(Z$144+Z$145),0),0)</f>
        <v>0</v>
      </c>
      <c r="AA137" s="22">
        <f>(IFERROR(VLOOKUP(A137,'[1]CAH 101% of cost'!$A$3:$BP$44,64,FALSE),0))</f>
        <v>724464</v>
      </c>
      <c r="AB137" s="22">
        <f t="shared" si="65"/>
        <v>724464</v>
      </c>
      <c r="AC137" s="22">
        <f>VLOOKUP(A137,'[2]2022 CAH Payments'!$B$2:$G$40,6,FALSE)</f>
        <v>129893.75</v>
      </c>
      <c r="AD137" s="22">
        <f t="shared" si="69"/>
        <v>181116</v>
      </c>
      <c r="AE137" s="22">
        <f t="shared" si="66"/>
        <v>232338.25</v>
      </c>
      <c r="AF137" s="22">
        <f t="shared" si="67"/>
        <v>181116</v>
      </c>
      <c r="AG137" s="22">
        <f t="shared" si="67"/>
        <v>181116</v>
      </c>
      <c r="AH137" s="22">
        <v>0</v>
      </c>
      <c r="AI137" s="22">
        <f t="shared" si="68"/>
        <v>183028.23543495196</v>
      </c>
      <c r="AJ137" s="26"/>
      <c r="AO137" s="26"/>
    </row>
    <row r="138" spans="1:41" x14ac:dyDescent="0.3">
      <c r="A138" s="17"/>
      <c r="C138" s="19"/>
      <c r="E138" s="50"/>
      <c r="F138" s="21"/>
      <c r="G138" s="22"/>
      <c r="H138" s="22"/>
      <c r="I138" s="22"/>
      <c r="J138" s="23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3"/>
      <c r="Y138" s="22"/>
      <c r="Z138" s="24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41" x14ac:dyDescent="0.3">
      <c r="A139" s="17"/>
      <c r="C139" s="19"/>
      <c r="E139" s="50"/>
      <c r="F139" s="21"/>
      <c r="G139" s="22"/>
      <c r="H139" s="22"/>
      <c r="I139" s="22"/>
      <c r="J139" s="23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3"/>
      <c r="Y139" s="22"/>
      <c r="Z139" s="24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41" x14ac:dyDescent="0.3">
      <c r="A140" s="17"/>
      <c r="E140" s="50"/>
      <c r="F140" s="21"/>
      <c r="G140" s="21"/>
      <c r="H140" s="21"/>
      <c r="I140" s="21"/>
      <c r="J140" s="23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3"/>
      <c r="Y140" s="22"/>
      <c r="Z140" s="24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41" hidden="1" x14ac:dyDescent="0.3">
      <c r="A141" s="17"/>
      <c r="E141" s="20"/>
      <c r="F141" s="21"/>
      <c r="G141" s="21">
        <f>SUM(G100:G114)</f>
        <v>62882728.890000001</v>
      </c>
      <c r="H141" s="21">
        <f>SUM(H100:H114)</f>
        <v>0</v>
      </c>
      <c r="I141" s="21">
        <f>SUM(I100:I114)</f>
        <v>62882728.890000001</v>
      </c>
      <c r="J141" s="43">
        <f>SUM(J100:J140)</f>
        <v>0.99999999999999989</v>
      </c>
      <c r="K141" s="22">
        <f>SUM(K100:K138)</f>
        <v>71153552.093828887</v>
      </c>
      <c r="L141" s="22">
        <f>SUM(L100:L138)</f>
        <v>75562567</v>
      </c>
      <c r="M141" s="22">
        <f>SUM(M100:M138)</f>
        <v>3628402</v>
      </c>
      <c r="N141" s="22">
        <f>SUM(N100:N138)</f>
        <v>79190969</v>
      </c>
      <c r="O141" s="22">
        <v>18534943.309999999</v>
      </c>
      <c r="P141" s="22">
        <f>SUM(P100:P138)</f>
        <v>18739866.300000001</v>
      </c>
      <c r="Q141" s="22">
        <f>SUM(Q100:Q138)</f>
        <v>20002665.239999998</v>
      </c>
      <c r="R141" s="22">
        <f>SUM(R100:R138)</f>
        <v>19797742.25</v>
      </c>
      <c r="S141" s="22">
        <f>SUM(S100:S138)</f>
        <v>19797742.25</v>
      </c>
      <c r="T141" s="22">
        <f>SUM(T100:T138)</f>
        <v>1057875.95</v>
      </c>
      <c r="U141" s="56">
        <f>SUM(U100:U138)</f>
        <v>-8037416.906171103</v>
      </c>
      <c r="V141" s="22"/>
      <c r="W141" s="21">
        <f>SUM(W100:W114)</f>
        <v>66262289.250037141</v>
      </c>
      <c r="X141" s="23">
        <f>SUM(X100:X138)</f>
        <v>1</v>
      </c>
      <c r="Y141" s="22">
        <f>SUM(Y100:Y138)</f>
        <v>35128292.416007623</v>
      </c>
      <c r="Z141" s="22">
        <f>SUM(Z100:Z138)</f>
        <v>19883938</v>
      </c>
      <c r="AA141" s="22">
        <f>SUM(AA100:AA138)</f>
        <v>11523710</v>
      </c>
      <c r="AB141" s="22">
        <f>SUM(AB100:AB138)</f>
        <v>31407648</v>
      </c>
      <c r="AC141" s="22">
        <f>SUM(AC100:AC138)</f>
        <v>6799352.1499999994</v>
      </c>
      <c r="AD141" s="22">
        <f>SUM(AD100:AD138)</f>
        <v>7573536.8700000001</v>
      </c>
      <c r="AE141" s="22">
        <f>SUM(AE100:AE138)</f>
        <v>8626096.7200000007</v>
      </c>
      <c r="AF141" s="22">
        <f>SUM(AF100:AF138)</f>
        <v>7851912</v>
      </c>
      <c r="AG141" s="22">
        <f>SUM(AG100:AG138)</f>
        <v>7851912</v>
      </c>
      <c r="AH141" s="22">
        <f>SUM(AH100:AH138)</f>
        <v>278375.13</v>
      </c>
      <c r="AI141" s="56">
        <f>SUM(AI100:AI138)</f>
        <v>3720644.4160076249</v>
      </c>
    </row>
    <row r="142" spans="1:41" hidden="1" x14ac:dyDescent="0.3">
      <c r="A142" s="17"/>
      <c r="E142" s="20"/>
      <c r="F142" s="43"/>
      <c r="G142" s="61">
        <f>SUM(G100:G138)</f>
        <v>66233946.480000004</v>
      </c>
      <c r="H142" s="61">
        <f>SUM(H100:H138)</f>
        <v>0</v>
      </c>
      <c r="I142" s="61">
        <f>SUM(I100:I138)</f>
        <v>66233946.480000004</v>
      </c>
      <c r="J142" s="21"/>
      <c r="K142" s="43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61">
        <f>SUM(W100:W138)</f>
        <v>74851249.606633678</v>
      </c>
      <c r="Y142" s="43"/>
      <c r="AI142" s="21"/>
    </row>
    <row r="143" spans="1:41" x14ac:dyDescent="0.3">
      <c r="A143" s="17"/>
      <c r="E143" s="20"/>
      <c r="F143" s="20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Y143" s="21"/>
      <c r="AI143" s="21"/>
    </row>
    <row r="144" spans="1:41" x14ac:dyDescent="0.3">
      <c r="A144" s="17"/>
      <c r="E144" s="20"/>
      <c r="F144" s="21"/>
      <c r="G144" s="21"/>
      <c r="H144" s="21"/>
      <c r="I144" s="21"/>
      <c r="J144" s="57" t="s">
        <v>276</v>
      </c>
      <c r="K144" s="57"/>
      <c r="L144" s="57">
        <f>ROUND(L1*'[1]UPL Gap Summary'!$E$19,0)</f>
        <v>75562567</v>
      </c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58"/>
      <c r="X144" s="62" t="s">
        <v>277</v>
      </c>
      <c r="Y144" s="62"/>
      <c r="Z144" s="59">
        <f>ROUND(Z1*'[1]UPL Gap Summary'!$G$19,0)</f>
        <v>19883938</v>
      </c>
      <c r="AA144" s="24"/>
      <c r="AB144" s="24"/>
      <c r="AC144" s="24"/>
      <c r="AD144" s="24"/>
      <c r="AE144" s="24"/>
      <c r="AF144" s="24"/>
      <c r="AG144" s="24"/>
      <c r="AH144" s="24"/>
      <c r="AI144" s="21"/>
    </row>
    <row r="145" spans="1:35" x14ac:dyDescent="0.3">
      <c r="A145" s="17"/>
      <c r="E145" s="20"/>
      <c r="F145" s="20"/>
      <c r="G145" s="21"/>
      <c r="H145" s="21"/>
      <c r="I145" s="21"/>
      <c r="J145" s="57" t="s">
        <v>278</v>
      </c>
      <c r="K145" s="57"/>
      <c r="L145" s="60">
        <v>-0.5</v>
      </c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62" t="s">
        <v>278</v>
      </c>
      <c r="Y145" s="62"/>
      <c r="Z145" s="60">
        <v>0.1</v>
      </c>
      <c r="AI145" s="21"/>
    </row>
    <row r="146" spans="1:35" x14ac:dyDescent="0.3">
      <c r="A146" s="18"/>
      <c r="D146" s="63"/>
      <c r="E146" s="2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X146" s="21"/>
      <c r="AA146" s="21"/>
      <c r="AB146" s="21"/>
      <c r="AC146" s="21"/>
      <c r="AD146" s="21"/>
      <c r="AE146" s="21"/>
      <c r="AF146" s="21"/>
      <c r="AG146" s="21"/>
      <c r="AH146" s="21"/>
    </row>
    <row r="147" spans="1:35" x14ac:dyDescent="0.3">
      <c r="A147" s="17"/>
      <c r="E147" s="20"/>
      <c r="F147" s="20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Y147" s="21"/>
      <c r="AI147" s="21"/>
    </row>
    <row r="148" spans="1:35" x14ac:dyDescent="0.3">
      <c r="A148" s="17"/>
      <c r="E148" s="20"/>
      <c r="F148" s="20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Y148" s="21"/>
      <c r="AI148" s="21"/>
    </row>
    <row r="149" spans="1:35" hidden="1" x14ac:dyDescent="0.3">
      <c r="A149" s="17"/>
      <c r="E149" s="20"/>
      <c r="F149" s="20" t="s">
        <v>279</v>
      </c>
      <c r="G149" s="21">
        <f>G94+G142</f>
        <v>606961857.70999992</v>
      </c>
      <c r="H149" s="21"/>
      <c r="I149" s="21"/>
      <c r="J149" s="21"/>
      <c r="K149" s="21">
        <f>K93+K141</f>
        <v>527019613.19341147</v>
      </c>
      <c r="L149" s="21">
        <f>L93+L141</f>
        <v>530850181</v>
      </c>
      <c r="M149" s="21">
        <f>M93+M141</f>
        <v>6836250</v>
      </c>
      <c r="N149" s="21">
        <f>N93+N141</f>
        <v>537686431</v>
      </c>
      <c r="O149" s="21">
        <v>126341431.66999999</v>
      </c>
      <c r="P149" s="21">
        <f>P93+P141</f>
        <v>126989705.22999997</v>
      </c>
      <c r="Q149" s="21">
        <f>Q93+Q141</f>
        <v>135069881.31000003</v>
      </c>
      <c r="R149" s="21">
        <f>R93+R141</f>
        <v>134421607.75</v>
      </c>
      <c r="S149" s="21">
        <f>S93+S141</f>
        <v>134421607.75</v>
      </c>
      <c r="T149" s="21">
        <f>T93+T141</f>
        <v>7431902.5200000005</v>
      </c>
      <c r="U149" s="21">
        <f>U93+U141</f>
        <v>-10666817.806588523</v>
      </c>
      <c r="V149" s="21"/>
      <c r="W149" s="21">
        <f>W94+W142</f>
        <v>404096497.08415061</v>
      </c>
      <c r="X149" s="24"/>
      <c r="Y149" s="21">
        <f>Y93+Y141</f>
        <v>149453280.00456029</v>
      </c>
      <c r="Z149" s="21">
        <f>Z93+Z141</f>
        <v>94900276</v>
      </c>
      <c r="AA149" s="21">
        <f>AA93+AA141</f>
        <v>27859542</v>
      </c>
      <c r="AB149" s="21">
        <f>AB93+AB141</f>
        <v>122759818</v>
      </c>
      <c r="AC149" s="21">
        <f>AC93+AC141</f>
        <v>27537215.18</v>
      </c>
      <c r="AD149" s="21">
        <f>AD93+AD141</f>
        <v>29361350.649999999</v>
      </c>
      <c r="AE149" s="21">
        <f>AE93+AE141</f>
        <v>32516938.960000001</v>
      </c>
      <c r="AF149" s="21">
        <f>AF93+AF141</f>
        <v>30689954.5</v>
      </c>
      <c r="AG149" s="21">
        <f>AG93+AG141</f>
        <v>30689954.5</v>
      </c>
      <c r="AH149" s="21">
        <f>AH93+AH141</f>
        <v>1328603.8500000001</v>
      </c>
      <c r="AI149" s="21">
        <f>AI93+AI141</f>
        <v>26693462.004560284</v>
      </c>
    </row>
    <row r="153" spans="1:35" x14ac:dyDescent="0.3">
      <c r="J153" s="65" t="s">
        <v>280</v>
      </c>
      <c r="K153" s="65"/>
      <c r="L153" s="66">
        <f>L149+M149</f>
        <v>537686431</v>
      </c>
      <c r="X153" s="67" t="s">
        <v>281</v>
      </c>
      <c r="Y153" s="67"/>
      <c r="Z153" s="66">
        <f>Z149+AA149</f>
        <v>122759818</v>
      </c>
    </row>
    <row r="160" spans="1:35" x14ac:dyDescent="0.3">
      <c r="B160" s="25"/>
      <c r="C160" s="25"/>
      <c r="D160" s="25"/>
      <c r="E160" s="68"/>
      <c r="F160" s="68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Y160" s="22"/>
      <c r="AI160" s="22"/>
    </row>
    <row r="161" spans="2:6" x14ac:dyDescent="0.3">
      <c r="B161" s="25"/>
      <c r="C161" s="25"/>
      <c r="D161" s="25"/>
      <c r="E161" s="68"/>
      <c r="F161" s="68"/>
    </row>
    <row r="162" spans="2:6" x14ac:dyDescent="0.3">
      <c r="B162" s="25"/>
      <c r="C162" s="25"/>
      <c r="D162" s="25"/>
      <c r="E162" s="68"/>
      <c r="F162" s="68"/>
    </row>
    <row r="163" spans="2:6" x14ac:dyDescent="0.3">
      <c r="B163" s="25"/>
      <c r="C163" s="25"/>
      <c r="D163" s="25"/>
      <c r="E163" s="68"/>
      <c r="F163" s="68"/>
    </row>
    <row r="164" spans="2:6" x14ac:dyDescent="0.3">
      <c r="B164" s="25"/>
      <c r="C164" s="25"/>
      <c r="D164" s="25"/>
      <c r="E164" s="68"/>
      <c r="F164" s="68"/>
    </row>
    <row r="165" spans="2:6" x14ac:dyDescent="0.3">
      <c r="B165" s="25"/>
      <c r="C165" s="25"/>
      <c r="D165" s="25"/>
      <c r="E165" s="68"/>
      <c r="F165" s="68"/>
    </row>
    <row r="166" spans="2:6" x14ac:dyDescent="0.3">
      <c r="B166" s="25"/>
      <c r="C166" s="25"/>
      <c r="D166" s="25"/>
      <c r="E166" s="68"/>
      <c r="F166" s="68"/>
    </row>
    <row r="167" spans="2:6" x14ac:dyDescent="0.3">
      <c r="B167" s="25"/>
      <c r="C167" s="25"/>
      <c r="D167" s="25"/>
      <c r="E167" s="68"/>
      <c r="F167" s="68"/>
    </row>
    <row r="168" spans="2:6" x14ac:dyDescent="0.3">
      <c r="B168" s="25"/>
      <c r="C168" s="25"/>
      <c r="D168" s="25"/>
      <c r="E168" s="68"/>
      <c r="F168" s="68"/>
    </row>
    <row r="169" spans="2:6" x14ac:dyDescent="0.3">
      <c r="E169" s="68"/>
      <c r="F169" s="68"/>
    </row>
    <row r="170" spans="2:6" x14ac:dyDescent="0.3">
      <c r="E170" s="58"/>
      <c r="F170" s="58"/>
    </row>
    <row r="180" spans="1:41" s="64" customFormat="1" x14ac:dyDescent="0.3">
      <c r="A180" s="25"/>
      <c r="B180" s="18"/>
      <c r="C180" s="18"/>
      <c r="D180" s="18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6"/>
      <c r="AL180" s="26"/>
      <c r="AO180" s="25"/>
    </row>
    <row r="181" spans="1:41" s="64" customFormat="1" x14ac:dyDescent="0.3">
      <c r="A181" s="25"/>
      <c r="B181" s="18"/>
      <c r="C181" s="18"/>
      <c r="D181" s="18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6"/>
      <c r="AL181" s="26"/>
      <c r="AO181" s="25"/>
    </row>
    <row r="182" spans="1:41" s="64" customFormat="1" x14ac:dyDescent="0.3">
      <c r="A182" s="25"/>
      <c r="B182" s="18"/>
      <c r="C182" s="18"/>
      <c r="D182" s="18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6"/>
      <c r="AL182" s="26"/>
      <c r="AO182" s="25"/>
    </row>
    <row r="183" spans="1:41" s="64" customFormat="1" x14ac:dyDescent="0.3">
      <c r="A183" s="25"/>
      <c r="B183" s="18"/>
      <c r="C183" s="18"/>
      <c r="D183" s="18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6"/>
      <c r="AL183" s="26"/>
      <c r="AO183" s="25"/>
    </row>
    <row r="184" spans="1:41" s="64" customFormat="1" x14ac:dyDescent="0.3">
      <c r="A184" s="25"/>
      <c r="B184" s="18"/>
      <c r="C184" s="18"/>
      <c r="D184" s="18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6"/>
      <c r="AL184" s="26"/>
      <c r="AO184" s="25"/>
    </row>
    <row r="185" spans="1:41" s="64" customFormat="1" x14ac:dyDescent="0.3">
      <c r="A185" s="25"/>
      <c r="B185" s="18"/>
      <c r="C185" s="18"/>
      <c r="D185" s="18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6"/>
      <c r="AL185" s="26"/>
      <c r="AO185" s="25"/>
    </row>
    <row r="186" spans="1:41" s="64" customFormat="1" x14ac:dyDescent="0.3">
      <c r="A186" s="25"/>
      <c r="B186" s="18"/>
      <c r="C186" s="18"/>
      <c r="D186" s="18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6"/>
      <c r="AL186" s="26"/>
      <c r="AO186" s="25"/>
    </row>
    <row r="187" spans="1:41" s="64" customFormat="1" x14ac:dyDescent="0.3">
      <c r="A187" s="25"/>
      <c r="B187" s="18"/>
      <c r="C187" s="18"/>
      <c r="D187" s="18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6"/>
      <c r="AL187" s="26"/>
      <c r="AO187" s="25"/>
    </row>
    <row r="188" spans="1:41" s="64" customFormat="1" x14ac:dyDescent="0.3">
      <c r="A188" s="25"/>
      <c r="B188" s="18"/>
      <c r="C188" s="18"/>
      <c r="D188" s="18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6"/>
      <c r="AL188" s="26"/>
      <c r="AO188" s="25"/>
    </row>
    <row r="189" spans="1:41" s="64" customFormat="1" x14ac:dyDescent="0.3">
      <c r="A189" s="25"/>
      <c r="B189" s="18"/>
      <c r="C189" s="18"/>
      <c r="D189" s="18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6"/>
      <c r="AL189" s="26"/>
      <c r="AO189" s="25"/>
    </row>
    <row r="190" spans="1:41" s="64" customFormat="1" x14ac:dyDescent="0.3">
      <c r="A190" s="25"/>
      <c r="B190" s="18"/>
      <c r="C190" s="18"/>
      <c r="D190" s="18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6"/>
      <c r="AL190" s="26"/>
      <c r="AO190" s="25"/>
    </row>
    <row r="191" spans="1:41" s="64" customFormat="1" x14ac:dyDescent="0.3">
      <c r="A191" s="25"/>
      <c r="B191" s="18"/>
      <c r="C191" s="18"/>
      <c r="D191" s="18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6"/>
      <c r="AL191" s="26"/>
      <c r="AO191" s="25"/>
    </row>
    <row r="192" spans="1:41" s="64" customFormat="1" x14ac:dyDescent="0.3">
      <c r="A192" s="25"/>
      <c r="B192" s="18"/>
      <c r="C192" s="18"/>
      <c r="D192" s="18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6"/>
      <c r="AL192" s="26"/>
      <c r="AO192" s="25"/>
    </row>
    <row r="193" spans="1:41" s="64" customFormat="1" x14ac:dyDescent="0.3">
      <c r="A193" s="25"/>
      <c r="B193" s="18"/>
      <c r="C193" s="18"/>
      <c r="D193" s="18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6"/>
      <c r="AL193" s="26"/>
      <c r="AO193" s="25"/>
    </row>
    <row r="194" spans="1:41" s="64" customFormat="1" x14ac:dyDescent="0.3">
      <c r="A194" s="25"/>
      <c r="B194" s="18"/>
      <c r="C194" s="18"/>
      <c r="D194" s="18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6"/>
      <c r="AL194" s="26"/>
      <c r="AO194" s="25"/>
    </row>
    <row r="195" spans="1:41" s="64" customFormat="1" x14ac:dyDescent="0.3">
      <c r="A195" s="25"/>
      <c r="B195" s="18"/>
      <c r="C195" s="18"/>
      <c r="D195" s="18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6"/>
      <c r="AL195" s="26"/>
      <c r="AO195" s="25"/>
    </row>
    <row r="196" spans="1:41" s="64" customFormat="1" x14ac:dyDescent="0.3">
      <c r="A196" s="25"/>
      <c r="B196" s="18"/>
      <c r="C196" s="18"/>
      <c r="D196" s="18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6"/>
      <c r="AL196" s="26"/>
      <c r="AO196" s="25"/>
    </row>
    <row r="197" spans="1:41" s="64" customFormat="1" x14ac:dyDescent="0.3">
      <c r="A197" s="25"/>
      <c r="B197" s="18"/>
      <c r="C197" s="18"/>
      <c r="D197" s="18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6"/>
      <c r="AL197" s="26"/>
      <c r="AO197" s="25"/>
    </row>
    <row r="198" spans="1:41" s="64" customFormat="1" x14ac:dyDescent="0.3">
      <c r="A198" s="25"/>
      <c r="B198" s="18"/>
      <c r="C198" s="18"/>
      <c r="D198" s="18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6"/>
      <c r="AL198" s="26"/>
      <c r="AO198" s="25"/>
    </row>
    <row r="199" spans="1:41" s="64" customFormat="1" x14ac:dyDescent="0.3">
      <c r="A199" s="25"/>
      <c r="B199" s="18"/>
      <c r="C199" s="18"/>
      <c r="D199" s="18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6"/>
      <c r="AL199" s="26"/>
      <c r="AO199" s="25"/>
    </row>
    <row r="200" spans="1:41" s="64" customFormat="1" x14ac:dyDescent="0.3">
      <c r="A200" s="25"/>
      <c r="B200" s="18"/>
      <c r="C200" s="18"/>
      <c r="D200" s="18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6"/>
      <c r="AL200" s="26"/>
      <c r="AO200" s="25"/>
    </row>
    <row r="201" spans="1:41" s="64" customFormat="1" x14ac:dyDescent="0.3">
      <c r="A201" s="25"/>
      <c r="B201" s="18"/>
      <c r="C201" s="18"/>
      <c r="D201" s="18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6"/>
      <c r="AL201" s="26"/>
      <c r="AO201" s="25"/>
    </row>
    <row r="202" spans="1:41" s="64" customFormat="1" x14ac:dyDescent="0.3">
      <c r="A202" s="25"/>
      <c r="B202" s="18"/>
      <c r="C202" s="18"/>
      <c r="D202" s="18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6"/>
      <c r="AL202" s="26"/>
      <c r="AO202" s="25"/>
    </row>
    <row r="203" spans="1:41" s="64" customFormat="1" x14ac:dyDescent="0.3">
      <c r="A203" s="25"/>
      <c r="B203" s="18"/>
      <c r="C203" s="18"/>
      <c r="D203" s="18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6"/>
      <c r="AL203" s="26"/>
      <c r="AO203" s="25"/>
    </row>
    <row r="204" spans="1:41" s="64" customFormat="1" x14ac:dyDescent="0.3">
      <c r="A204" s="25"/>
      <c r="B204" s="18"/>
      <c r="C204" s="18"/>
      <c r="D204" s="18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6"/>
      <c r="AL204" s="26"/>
      <c r="AO204" s="25"/>
    </row>
    <row r="205" spans="1:41" s="64" customFormat="1" x14ac:dyDescent="0.3">
      <c r="A205" s="25"/>
      <c r="B205" s="18"/>
      <c r="C205" s="18"/>
      <c r="D205" s="18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6"/>
      <c r="AL205" s="26"/>
      <c r="AO205" s="25"/>
    </row>
    <row r="206" spans="1:41" s="64" customFormat="1" x14ac:dyDescent="0.3">
      <c r="A206" s="25"/>
      <c r="B206" s="18"/>
      <c r="C206" s="18"/>
      <c r="D206" s="18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6"/>
      <c r="AL206" s="26"/>
      <c r="AO206" s="25"/>
    </row>
    <row r="207" spans="1:41" s="64" customFormat="1" x14ac:dyDescent="0.3">
      <c r="A207" s="25"/>
      <c r="B207" s="18"/>
      <c r="C207" s="18"/>
      <c r="D207" s="18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6"/>
      <c r="AL207" s="26"/>
      <c r="AO207" s="25"/>
    </row>
    <row r="208" spans="1:41" s="64" customFormat="1" x14ac:dyDescent="0.3">
      <c r="A208" s="25"/>
      <c r="B208" s="18"/>
      <c r="C208" s="18"/>
      <c r="D208" s="18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6"/>
      <c r="AL208" s="26"/>
      <c r="AO208" s="25"/>
    </row>
    <row r="209" spans="1:41" s="64" customFormat="1" x14ac:dyDescent="0.3">
      <c r="A209" s="25"/>
      <c r="B209" s="18"/>
      <c r="C209" s="18"/>
      <c r="D209" s="18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6"/>
      <c r="AL209" s="26"/>
      <c r="AO209" s="25"/>
    </row>
    <row r="210" spans="1:41" s="64" customFormat="1" x14ac:dyDescent="0.3">
      <c r="A210" s="25"/>
      <c r="B210" s="18"/>
      <c r="C210" s="18"/>
      <c r="D210" s="18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6"/>
      <c r="AL210" s="26"/>
      <c r="AO210" s="25"/>
    </row>
    <row r="211" spans="1:41" s="64" customFormat="1" x14ac:dyDescent="0.3">
      <c r="A211" s="25"/>
      <c r="B211" s="18"/>
      <c r="C211" s="18"/>
      <c r="D211" s="18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6"/>
      <c r="AL211" s="26"/>
      <c r="AO211" s="25"/>
    </row>
    <row r="212" spans="1:41" s="64" customFormat="1" x14ac:dyDescent="0.3">
      <c r="A212" s="25"/>
      <c r="B212" s="18"/>
      <c r="C212" s="18"/>
      <c r="D212" s="18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6"/>
      <c r="AL212" s="26"/>
      <c r="AO212" s="25"/>
    </row>
    <row r="213" spans="1:41" s="64" customFormat="1" x14ac:dyDescent="0.3">
      <c r="A213" s="25"/>
      <c r="B213" s="18"/>
      <c r="C213" s="18"/>
      <c r="D213" s="18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6"/>
      <c r="AL213" s="26"/>
      <c r="AO213" s="25"/>
    </row>
    <row r="214" spans="1:41" s="64" customFormat="1" x14ac:dyDescent="0.3">
      <c r="A214" s="25"/>
      <c r="B214" s="18"/>
      <c r="C214" s="18"/>
      <c r="D214" s="18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6"/>
      <c r="AL214" s="26"/>
      <c r="AO214" s="25"/>
    </row>
    <row r="215" spans="1:41" s="64" customFormat="1" x14ac:dyDescent="0.3">
      <c r="A215" s="25"/>
      <c r="B215" s="18"/>
      <c r="C215" s="18"/>
      <c r="D215" s="18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6"/>
      <c r="AL215" s="26"/>
      <c r="AO215" s="25"/>
    </row>
    <row r="216" spans="1:41" s="64" customFormat="1" x14ac:dyDescent="0.3">
      <c r="A216" s="25"/>
      <c r="B216" s="18"/>
      <c r="C216" s="18"/>
      <c r="D216" s="18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6"/>
      <c r="AL216" s="26"/>
      <c r="AO216" s="25"/>
    </row>
    <row r="217" spans="1:41" s="64" customFormat="1" x14ac:dyDescent="0.3">
      <c r="A217" s="25"/>
      <c r="B217" s="18"/>
      <c r="C217" s="18"/>
      <c r="D217" s="18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6"/>
      <c r="AL217" s="26"/>
      <c r="AO217" s="25"/>
    </row>
    <row r="218" spans="1:41" s="64" customFormat="1" x14ac:dyDescent="0.3">
      <c r="A218" s="25"/>
      <c r="B218" s="18"/>
      <c r="C218" s="18"/>
      <c r="D218" s="18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6"/>
      <c r="AL218" s="26"/>
      <c r="AO218" s="25"/>
    </row>
    <row r="219" spans="1:41" s="64" customFormat="1" x14ac:dyDescent="0.3">
      <c r="A219" s="25"/>
      <c r="B219" s="18"/>
      <c r="C219" s="18"/>
      <c r="D219" s="18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6"/>
      <c r="AL219" s="26"/>
      <c r="AO219" s="25"/>
    </row>
    <row r="220" spans="1:41" s="64" customFormat="1" x14ac:dyDescent="0.3">
      <c r="A220" s="25"/>
      <c r="B220" s="18"/>
      <c r="C220" s="18"/>
      <c r="D220" s="18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6"/>
      <c r="AL220" s="26"/>
      <c r="AO220" s="25"/>
    </row>
    <row r="221" spans="1:41" s="64" customFormat="1" x14ac:dyDescent="0.3">
      <c r="A221" s="25"/>
      <c r="B221" s="18"/>
      <c r="C221" s="18"/>
      <c r="D221" s="18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6"/>
      <c r="AL221" s="26"/>
      <c r="AO221" s="25"/>
    </row>
    <row r="222" spans="1:41" s="64" customFormat="1" x14ac:dyDescent="0.3">
      <c r="A222" s="25"/>
      <c r="B222" s="18"/>
      <c r="C222" s="18"/>
      <c r="D222" s="18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6"/>
      <c r="AL222" s="26"/>
      <c r="AO222" s="25"/>
    </row>
    <row r="223" spans="1:41" s="64" customFormat="1" x14ac:dyDescent="0.3">
      <c r="A223" s="25"/>
      <c r="B223" s="18"/>
      <c r="C223" s="18"/>
      <c r="D223" s="18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6"/>
      <c r="AL223" s="26"/>
      <c r="AO223" s="25"/>
    </row>
    <row r="224" spans="1:41" s="64" customFormat="1" x14ac:dyDescent="0.3">
      <c r="A224" s="25"/>
      <c r="B224" s="18"/>
      <c r="C224" s="18"/>
      <c r="D224" s="18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6"/>
      <c r="AL224" s="26"/>
      <c r="AO224" s="25"/>
    </row>
    <row r="225" spans="1:41" s="64" customFormat="1" x14ac:dyDescent="0.3">
      <c r="A225" s="25"/>
      <c r="B225" s="18"/>
      <c r="C225" s="18"/>
      <c r="D225" s="18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6"/>
      <c r="AL225" s="26"/>
      <c r="AO225" s="25"/>
    </row>
    <row r="226" spans="1:41" s="64" customFormat="1" x14ac:dyDescent="0.3">
      <c r="A226" s="25"/>
      <c r="B226" s="18"/>
      <c r="C226" s="18"/>
      <c r="D226" s="18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6"/>
      <c r="AL226" s="26"/>
      <c r="AO226" s="25"/>
    </row>
    <row r="227" spans="1:41" s="64" customFormat="1" x14ac:dyDescent="0.3">
      <c r="A227" s="25"/>
      <c r="B227" s="18"/>
      <c r="C227" s="18"/>
      <c r="D227" s="18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6"/>
      <c r="AL227" s="26"/>
      <c r="AO227" s="25"/>
    </row>
    <row r="228" spans="1:41" s="64" customFormat="1" x14ac:dyDescent="0.3">
      <c r="A228" s="25"/>
      <c r="B228" s="18"/>
      <c r="C228" s="18"/>
      <c r="D228" s="18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6"/>
      <c r="AL228" s="26"/>
      <c r="AO228" s="25"/>
    </row>
    <row r="229" spans="1:41" s="64" customFormat="1" x14ac:dyDescent="0.3">
      <c r="A229" s="25"/>
      <c r="B229" s="18"/>
      <c r="C229" s="18"/>
      <c r="D229" s="18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6"/>
      <c r="AL229" s="26"/>
      <c r="AO229" s="25"/>
    </row>
    <row r="230" spans="1:41" s="64" customFormat="1" x14ac:dyDescent="0.3">
      <c r="A230" s="25"/>
      <c r="B230" s="18"/>
      <c r="C230" s="18"/>
      <c r="D230" s="18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6"/>
      <c r="AL230" s="26"/>
      <c r="AO230" s="25"/>
    </row>
    <row r="231" spans="1:41" s="64" customFormat="1" x14ac:dyDescent="0.3">
      <c r="A231" s="25"/>
      <c r="B231" s="18"/>
      <c r="C231" s="18"/>
      <c r="D231" s="18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6"/>
      <c r="AL231" s="26"/>
      <c r="AO231" s="25"/>
    </row>
    <row r="232" spans="1:41" s="64" customFormat="1" x14ac:dyDescent="0.3">
      <c r="A232" s="25"/>
      <c r="B232" s="18"/>
      <c r="C232" s="18"/>
      <c r="D232" s="18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6"/>
      <c r="AL232" s="26"/>
      <c r="AO232" s="25"/>
    </row>
    <row r="233" spans="1:41" s="64" customFormat="1" x14ac:dyDescent="0.3">
      <c r="A233" s="25"/>
      <c r="B233" s="18"/>
      <c r="C233" s="18"/>
      <c r="D233" s="18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6"/>
      <c r="AL233" s="26"/>
      <c r="AO233" s="25"/>
    </row>
    <row r="234" spans="1:41" s="64" customFormat="1" x14ac:dyDescent="0.3">
      <c r="A234" s="25"/>
      <c r="B234" s="18"/>
      <c r="C234" s="18"/>
      <c r="D234" s="18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6"/>
      <c r="AL234" s="26"/>
      <c r="AO234" s="25"/>
    </row>
    <row r="235" spans="1:41" s="64" customFormat="1" x14ac:dyDescent="0.3">
      <c r="A235" s="25"/>
      <c r="B235" s="18"/>
      <c r="C235" s="18"/>
      <c r="D235" s="18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6"/>
      <c r="AL235" s="26"/>
      <c r="AO235" s="25"/>
    </row>
    <row r="236" spans="1:41" s="64" customFormat="1" x14ac:dyDescent="0.3">
      <c r="A236" s="25"/>
      <c r="B236" s="18"/>
      <c r="C236" s="18"/>
      <c r="D236" s="18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6"/>
      <c r="AL236" s="26"/>
      <c r="AO236" s="25"/>
    </row>
    <row r="237" spans="1:41" s="64" customFormat="1" x14ac:dyDescent="0.3">
      <c r="A237" s="25"/>
      <c r="B237" s="18"/>
      <c r="C237" s="18"/>
      <c r="D237" s="18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6"/>
      <c r="AL237" s="26"/>
      <c r="AO237" s="25"/>
    </row>
    <row r="238" spans="1:41" s="64" customFormat="1" x14ac:dyDescent="0.3">
      <c r="A238" s="25"/>
      <c r="B238" s="18"/>
      <c r="C238" s="18"/>
      <c r="D238" s="18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6"/>
      <c r="AL238" s="26"/>
      <c r="AO238" s="25"/>
    </row>
    <row r="239" spans="1:41" s="64" customFormat="1" x14ac:dyDescent="0.3">
      <c r="A239" s="25"/>
      <c r="B239" s="18"/>
      <c r="C239" s="18"/>
      <c r="D239" s="18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6"/>
      <c r="AL239" s="26"/>
      <c r="AO239" s="25"/>
    </row>
    <row r="240" spans="1:41" s="64" customFormat="1" x14ac:dyDescent="0.3">
      <c r="A240" s="25"/>
      <c r="B240" s="18"/>
      <c r="C240" s="18"/>
      <c r="D240" s="18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6"/>
      <c r="AL240" s="26"/>
      <c r="AO240" s="25"/>
    </row>
    <row r="241" spans="1:41" s="64" customFormat="1" x14ac:dyDescent="0.3">
      <c r="A241" s="25"/>
      <c r="B241" s="18"/>
      <c r="C241" s="18"/>
      <c r="D241" s="18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6"/>
      <c r="AL241" s="26"/>
      <c r="AO241" s="25"/>
    </row>
    <row r="242" spans="1:41" s="64" customFormat="1" x14ac:dyDescent="0.3">
      <c r="A242" s="25"/>
      <c r="B242" s="18"/>
      <c r="C242" s="18"/>
      <c r="D242" s="18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6"/>
      <c r="AL242" s="26"/>
      <c r="AO242" s="25"/>
    </row>
    <row r="243" spans="1:41" s="64" customFormat="1" x14ac:dyDescent="0.3">
      <c r="A243" s="25"/>
      <c r="B243" s="18"/>
      <c r="C243" s="18"/>
      <c r="D243" s="18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6"/>
      <c r="AL243" s="26"/>
      <c r="AO243" s="25"/>
    </row>
    <row r="244" spans="1:41" s="64" customFormat="1" x14ac:dyDescent="0.3">
      <c r="A244" s="25"/>
      <c r="B244" s="18"/>
      <c r="C244" s="18"/>
      <c r="D244" s="18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6"/>
      <c r="AL244" s="26"/>
      <c r="AO244" s="25"/>
    </row>
    <row r="245" spans="1:41" s="64" customFormat="1" x14ac:dyDescent="0.3">
      <c r="A245" s="25"/>
      <c r="B245" s="18"/>
      <c r="C245" s="18"/>
      <c r="D245" s="18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6"/>
      <c r="AL245" s="26"/>
      <c r="AO245" s="25"/>
    </row>
    <row r="246" spans="1:41" s="64" customFormat="1" x14ac:dyDescent="0.3">
      <c r="A246" s="25"/>
      <c r="B246" s="18"/>
      <c r="C246" s="18"/>
      <c r="D246" s="18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6"/>
      <c r="AL246" s="26"/>
      <c r="AO246" s="25"/>
    </row>
    <row r="247" spans="1:41" s="64" customFormat="1" x14ac:dyDescent="0.3">
      <c r="A247" s="25"/>
      <c r="B247" s="18"/>
      <c r="C247" s="18"/>
      <c r="D247" s="18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6"/>
      <c r="AL247" s="26"/>
      <c r="AO247" s="25"/>
    </row>
    <row r="248" spans="1:41" s="64" customFormat="1" x14ac:dyDescent="0.3">
      <c r="A248" s="25"/>
      <c r="B248" s="18"/>
      <c r="C248" s="18"/>
      <c r="D248" s="18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6"/>
      <c r="AL248" s="26"/>
      <c r="AO248" s="25"/>
    </row>
    <row r="249" spans="1:41" s="64" customFormat="1" x14ac:dyDescent="0.3">
      <c r="A249" s="25"/>
      <c r="B249" s="18"/>
      <c r="C249" s="18"/>
      <c r="D249" s="18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6"/>
      <c r="AL249" s="26"/>
      <c r="AO249" s="25"/>
    </row>
    <row r="250" spans="1:41" s="64" customFormat="1" x14ac:dyDescent="0.3">
      <c r="A250" s="25"/>
      <c r="B250" s="18"/>
      <c r="C250" s="18"/>
      <c r="D250" s="18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6"/>
      <c r="AL250" s="26"/>
      <c r="AO250" s="25"/>
    </row>
    <row r="251" spans="1:41" s="64" customFormat="1" x14ac:dyDescent="0.3">
      <c r="A251" s="25"/>
      <c r="B251" s="18"/>
      <c r="C251" s="18"/>
      <c r="D251" s="18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6"/>
      <c r="AL251" s="26"/>
      <c r="AO251" s="25"/>
    </row>
    <row r="252" spans="1:41" s="64" customFormat="1" x14ac:dyDescent="0.3">
      <c r="A252" s="25"/>
      <c r="B252" s="18"/>
      <c r="C252" s="18"/>
      <c r="D252" s="18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6"/>
      <c r="AL252" s="26"/>
      <c r="AO252" s="25"/>
    </row>
    <row r="253" spans="1:41" s="64" customFormat="1" x14ac:dyDescent="0.3">
      <c r="A253" s="25"/>
      <c r="B253" s="18"/>
      <c r="C253" s="18"/>
      <c r="D253" s="18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6"/>
      <c r="AL253" s="26"/>
      <c r="AO253" s="25"/>
    </row>
    <row r="254" spans="1:41" s="64" customFormat="1" x14ac:dyDescent="0.3">
      <c r="A254" s="25"/>
      <c r="B254" s="18"/>
      <c r="C254" s="18"/>
      <c r="D254" s="18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6"/>
      <c r="AL254" s="26"/>
      <c r="AO254" s="25"/>
    </row>
    <row r="255" spans="1:41" s="64" customFormat="1" x14ac:dyDescent="0.3">
      <c r="A255" s="25"/>
      <c r="B255" s="18"/>
      <c r="C255" s="18"/>
      <c r="D255" s="18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6"/>
      <c r="AL255" s="26"/>
      <c r="AO255" s="25"/>
    </row>
    <row r="256" spans="1:41" s="64" customFormat="1" x14ac:dyDescent="0.3">
      <c r="A256" s="25"/>
      <c r="B256" s="18"/>
      <c r="C256" s="18"/>
      <c r="D256" s="18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6"/>
      <c r="AL256" s="26"/>
      <c r="AO256" s="25"/>
    </row>
    <row r="257" spans="1:41" s="64" customFormat="1" x14ac:dyDescent="0.3">
      <c r="A257" s="25"/>
      <c r="B257" s="18"/>
      <c r="C257" s="18"/>
      <c r="D257" s="18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6"/>
      <c r="AL257" s="26"/>
      <c r="AO257" s="25"/>
    </row>
    <row r="258" spans="1:41" s="64" customFormat="1" x14ac:dyDescent="0.3">
      <c r="A258" s="25"/>
      <c r="B258" s="18"/>
      <c r="C258" s="18"/>
      <c r="D258" s="18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6"/>
      <c r="AL258" s="26"/>
      <c r="AO258" s="25"/>
    </row>
    <row r="259" spans="1:41" s="64" customFormat="1" x14ac:dyDescent="0.3">
      <c r="A259" s="25"/>
      <c r="B259" s="18"/>
      <c r="C259" s="18"/>
      <c r="D259" s="18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6"/>
      <c r="AL259" s="26"/>
      <c r="AO259" s="25"/>
    </row>
    <row r="260" spans="1:41" s="64" customFormat="1" x14ac:dyDescent="0.3">
      <c r="A260" s="25"/>
      <c r="B260" s="18"/>
      <c r="C260" s="18"/>
      <c r="D260" s="18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6"/>
      <c r="AL260" s="26"/>
      <c r="AO260" s="25"/>
    </row>
    <row r="261" spans="1:41" s="64" customFormat="1" x14ac:dyDescent="0.3">
      <c r="A261" s="25"/>
      <c r="B261" s="18"/>
      <c r="C261" s="18"/>
      <c r="D261" s="18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6"/>
      <c r="AL261" s="26"/>
      <c r="AO261" s="25"/>
    </row>
    <row r="262" spans="1:41" s="64" customFormat="1" x14ac:dyDescent="0.3">
      <c r="A262" s="25"/>
      <c r="B262" s="18"/>
      <c r="C262" s="18"/>
      <c r="D262" s="18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6"/>
      <c r="AL262" s="26"/>
      <c r="AO262" s="25"/>
    </row>
    <row r="263" spans="1:41" s="64" customFormat="1" x14ac:dyDescent="0.3">
      <c r="A263" s="25"/>
      <c r="B263" s="18"/>
      <c r="C263" s="18"/>
      <c r="D263" s="18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6"/>
      <c r="AL263" s="26"/>
      <c r="AO263" s="25"/>
    </row>
    <row r="264" spans="1:41" s="64" customFormat="1" x14ac:dyDescent="0.3">
      <c r="A264" s="25"/>
      <c r="B264" s="18"/>
      <c r="C264" s="18"/>
      <c r="D264" s="18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6"/>
      <c r="AL264" s="26"/>
      <c r="AO264" s="25"/>
    </row>
    <row r="265" spans="1:41" s="64" customFormat="1" x14ac:dyDescent="0.3">
      <c r="A265" s="25"/>
      <c r="B265" s="18"/>
      <c r="C265" s="18"/>
      <c r="D265" s="18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6"/>
      <c r="AL265" s="26"/>
      <c r="AO265" s="25"/>
    </row>
    <row r="266" spans="1:41" s="64" customFormat="1" x14ac:dyDescent="0.3">
      <c r="A266" s="25"/>
      <c r="B266" s="18"/>
      <c r="C266" s="18"/>
      <c r="D266" s="18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6"/>
      <c r="AL266" s="26"/>
      <c r="AO266" s="25"/>
    </row>
    <row r="267" spans="1:41" s="64" customFormat="1" x14ac:dyDescent="0.3">
      <c r="A267" s="25"/>
      <c r="B267" s="18"/>
      <c r="C267" s="18"/>
      <c r="D267" s="18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6"/>
      <c r="AL267" s="26"/>
      <c r="AO267" s="25"/>
    </row>
    <row r="268" spans="1:41" s="64" customFormat="1" x14ac:dyDescent="0.3">
      <c r="A268" s="25"/>
      <c r="B268" s="18"/>
      <c r="C268" s="18"/>
      <c r="D268" s="18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6"/>
      <c r="AL268" s="26"/>
      <c r="AO268" s="25"/>
    </row>
    <row r="269" spans="1:41" s="64" customFormat="1" x14ac:dyDescent="0.3">
      <c r="A269" s="25"/>
      <c r="B269" s="18"/>
      <c r="C269" s="18"/>
      <c r="D269" s="18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6"/>
      <c r="AL269" s="26"/>
      <c r="AO269" s="25"/>
    </row>
    <row r="270" spans="1:41" s="64" customFormat="1" x14ac:dyDescent="0.3">
      <c r="A270" s="25"/>
      <c r="B270" s="18"/>
      <c r="C270" s="18"/>
      <c r="D270" s="18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6"/>
      <c r="AL270" s="26"/>
      <c r="AO270" s="25"/>
    </row>
    <row r="271" spans="1:41" s="64" customFormat="1" x14ac:dyDescent="0.3">
      <c r="A271" s="25"/>
      <c r="B271" s="18"/>
      <c r="C271" s="18"/>
      <c r="D271" s="18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6"/>
      <c r="AL271" s="26"/>
      <c r="AO271" s="25"/>
    </row>
    <row r="272" spans="1:41" s="64" customFormat="1" x14ac:dyDescent="0.3">
      <c r="A272" s="25"/>
      <c r="B272" s="18"/>
      <c r="C272" s="18"/>
      <c r="D272" s="18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6"/>
      <c r="AL272" s="26"/>
      <c r="AO272" s="25"/>
    </row>
    <row r="273" spans="1:41" s="64" customFormat="1" x14ac:dyDescent="0.3">
      <c r="A273" s="25"/>
      <c r="B273" s="18"/>
      <c r="C273" s="18"/>
      <c r="D273" s="18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6"/>
      <c r="AL273" s="26"/>
      <c r="AO273" s="25"/>
    </row>
    <row r="274" spans="1:41" s="64" customFormat="1" x14ac:dyDescent="0.3">
      <c r="A274" s="25"/>
      <c r="B274" s="18"/>
      <c r="C274" s="18"/>
      <c r="D274" s="18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6"/>
      <c r="AL274" s="26"/>
      <c r="AO274" s="25"/>
    </row>
    <row r="275" spans="1:41" s="64" customFormat="1" x14ac:dyDescent="0.3">
      <c r="A275" s="25"/>
      <c r="B275" s="18"/>
      <c r="C275" s="18"/>
      <c r="D275" s="18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6"/>
      <c r="AL275" s="26"/>
      <c r="AO275" s="25"/>
    </row>
    <row r="276" spans="1:41" s="64" customFormat="1" x14ac:dyDescent="0.3">
      <c r="A276" s="25"/>
      <c r="B276" s="18"/>
      <c r="C276" s="18"/>
      <c r="D276" s="18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6"/>
      <c r="AL276" s="26"/>
      <c r="AO276" s="25"/>
    </row>
    <row r="277" spans="1:41" s="64" customFormat="1" x14ac:dyDescent="0.3">
      <c r="A277" s="25"/>
      <c r="B277" s="18"/>
      <c r="C277" s="18"/>
      <c r="D277" s="18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6"/>
      <c r="AL277" s="26"/>
      <c r="AO277" s="25"/>
    </row>
    <row r="278" spans="1:41" s="64" customFormat="1" x14ac:dyDescent="0.3">
      <c r="A278" s="25"/>
      <c r="B278" s="18"/>
      <c r="C278" s="18"/>
      <c r="D278" s="18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6"/>
      <c r="AL278" s="26"/>
      <c r="AO278" s="25"/>
    </row>
    <row r="279" spans="1:41" s="64" customFormat="1" x14ac:dyDescent="0.3">
      <c r="A279" s="25"/>
      <c r="B279" s="18"/>
      <c r="C279" s="18"/>
      <c r="D279" s="18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6"/>
      <c r="AL279" s="26"/>
      <c r="AO279" s="25"/>
    </row>
    <row r="280" spans="1:41" s="64" customFormat="1" x14ac:dyDescent="0.3">
      <c r="A280" s="25"/>
      <c r="B280" s="18"/>
      <c r="C280" s="18"/>
      <c r="D280" s="18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6"/>
      <c r="AL280" s="26"/>
      <c r="AO280" s="25"/>
    </row>
    <row r="281" spans="1:41" s="64" customFormat="1" x14ac:dyDescent="0.3">
      <c r="A281" s="25"/>
      <c r="B281" s="18"/>
      <c r="C281" s="18"/>
      <c r="D281" s="18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6"/>
      <c r="AL281" s="26"/>
      <c r="AO281" s="25"/>
    </row>
    <row r="282" spans="1:41" s="64" customFormat="1" x14ac:dyDescent="0.3">
      <c r="A282" s="25"/>
      <c r="B282" s="18"/>
      <c r="C282" s="18"/>
      <c r="D282" s="18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6"/>
      <c r="AL282" s="26"/>
      <c r="AO282" s="25"/>
    </row>
    <row r="283" spans="1:41" s="64" customFormat="1" x14ac:dyDescent="0.3">
      <c r="A283" s="25"/>
      <c r="B283" s="18"/>
      <c r="C283" s="18"/>
      <c r="D283" s="18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6"/>
      <c r="AL283" s="26"/>
      <c r="AO283" s="25"/>
    </row>
    <row r="284" spans="1:41" s="64" customFormat="1" x14ac:dyDescent="0.3">
      <c r="A284" s="25"/>
      <c r="B284" s="18"/>
      <c r="C284" s="18"/>
      <c r="D284" s="18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6"/>
      <c r="AL284" s="26"/>
      <c r="AO284" s="25"/>
    </row>
    <row r="285" spans="1:41" s="64" customFormat="1" x14ac:dyDescent="0.3">
      <c r="A285" s="25"/>
      <c r="B285" s="18"/>
      <c r="C285" s="18"/>
      <c r="D285" s="18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6"/>
      <c r="AL285" s="26"/>
      <c r="AO285" s="25"/>
    </row>
    <row r="286" spans="1:41" s="64" customFormat="1" x14ac:dyDescent="0.3">
      <c r="A286" s="25"/>
      <c r="B286" s="18"/>
      <c r="C286" s="18"/>
      <c r="D286" s="18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6"/>
      <c r="AL286" s="26"/>
      <c r="AO286" s="25"/>
    </row>
    <row r="287" spans="1:41" s="64" customFormat="1" x14ac:dyDescent="0.3">
      <c r="A287" s="25"/>
      <c r="B287" s="18"/>
      <c r="C287" s="18"/>
      <c r="D287" s="18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6"/>
      <c r="AL287" s="26"/>
      <c r="AO287" s="25"/>
    </row>
    <row r="288" spans="1:41" s="64" customFormat="1" x14ac:dyDescent="0.3">
      <c r="A288" s="25"/>
      <c r="B288" s="18"/>
      <c r="C288" s="18"/>
      <c r="D288" s="18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6"/>
      <c r="AL288" s="26"/>
      <c r="AO288" s="25"/>
    </row>
    <row r="289" spans="1:41" s="64" customFormat="1" x14ac:dyDescent="0.3">
      <c r="A289" s="25"/>
      <c r="B289" s="18"/>
      <c r="C289" s="18"/>
      <c r="D289" s="18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6"/>
      <c r="AL289" s="26"/>
      <c r="AO289" s="25"/>
    </row>
    <row r="290" spans="1:41" s="64" customFormat="1" x14ac:dyDescent="0.3">
      <c r="A290" s="25"/>
      <c r="B290" s="18"/>
      <c r="C290" s="18"/>
      <c r="D290" s="18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6"/>
      <c r="AL290" s="26"/>
      <c r="AO290" s="25"/>
    </row>
    <row r="291" spans="1:41" s="64" customFormat="1" x14ac:dyDescent="0.3">
      <c r="A291" s="25"/>
      <c r="B291" s="18"/>
      <c r="C291" s="18"/>
      <c r="D291" s="18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6"/>
      <c r="AL291" s="26"/>
      <c r="AO291" s="25"/>
    </row>
    <row r="292" spans="1:41" s="64" customFormat="1" x14ac:dyDescent="0.3">
      <c r="A292" s="25"/>
      <c r="B292" s="18"/>
      <c r="C292" s="18"/>
      <c r="D292" s="18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6"/>
      <c r="AL292" s="26"/>
      <c r="AO292" s="25"/>
    </row>
    <row r="293" spans="1:41" s="64" customFormat="1" x14ac:dyDescent="0.3">
      <c r="A293" s="25"/>
      <c r="B293" s="18"/>
      <c r="C293" s="18"/>
      <c r="D293" s="18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6"/>
      <c r="AL293" s="26"/>
      <c r="AO293" s="25"/>
    </row>
    <row r="294" spans="1:41" s="64" customFormat="1" x14ac:dyDescent="0.3">
      <c r="A294" s="25"/>
      <c r="B294" s="18"/>
      <c r="C294" s="18"/>
      <c r="D294" s="18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6"/>
      <c r="AL294" s="26"/>
      <c r="AO294" s="25"/>
    </row>
    <row r="295" spans="1:41" s="64" customFormat="1" x14ac:dyDescent="0.3">
      <c r="A295" s="25"/>
      <c r="B295" s="18"/>
      <c r="C295" s="18"/>
      <c r="D295" s="18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6"/>
      <c r="AL295" s="26"/>
      <c r="AO295" s="25"/>
    </row>
    <row r="296" spans="1:41" s="64" customFormat="1" x14ac:dyDescent="0.3">
      <c r="A296" s="25"/>
      <c r="B296" s="18"/>
      <c r="C296" s="18"/>
      <c r="D296" s="18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6"/>
      <c r="AL296" s="26"/>
      <c r="AO296" s="25"/>
    </row>
    <row r="297" spans="1:41" s="64" customFormat="1" x14ac:dyDescent="0.3">
      <c r="A297" s="25"/>
      <c r="B297" s="18"/>
      <c r="C297" s="18"/>
      <c r="D297" s="18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6"/>
      <c r="AL297" s="26"/>
      <c r="AO297" s="25"/>
    </row>
    <row r="298" spans="1:41" s="64" customFormat="1" x14ac:dyDescent="0.3">
      <c r="A298" s="25"/>
      <c r="B298" s="18"/>
      <c r="C298" s="18"/>
      <c r="D298" s="18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6"/>
      <c r="AL298" s="26"/>
      <c r="AO298" s="25"/>
    </row>
    <row r="299" spans="1:41" s="64" customFormat="1" x14ac:dyDescent="0.3">
      <c r="A299" s="25"/>
      <c r="B299" s="18"/>
      <c r="C299" s="18"/>
      <c r="D299" s="18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6"/>
      <c r="AL299" s="26"/>
      <c r="AO299" s="25"/>
    </row>
    <row r="300" spans="1:41" s="64" customFormat="1" x14ac:dyDescent="0.3">
      <c r="A300" s="25"/>
      <c r="B300" s="18"/>
      <c r="C300" s="18"/>
      <c r="D300" s="18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6"/>
      <c r="AL300" s="26"/>
      <c r="AO300" s="25"/>
    </row>
    <row r="301" spans="1:41" s="64" customFormat="1" x14ac:dyDescent="0.3">
      <c r="A301" s="25"/>
      <c r="B301" s="18"/>
      <c r="C301" s="18"/>
      <c r="D301" s="18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6"/>
      <c r="AL301" s="26"/>
      <c r="AO301" s="25"/>
    </row>
    <row r="302" spans="1:41" s="64" customFormat="1" x14ac:dyDescent="0.3">
      <c r="A302" s="25"/>
      <c r="B302" s="18"/>
      <c r="C302" s="18"/>
      <c r="D302" s="18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6"/>
      <c r="AL302" s="26"/>
      <c r="AO302" s="25"/>
    </row>
    <row r="303" spans="1:41" s="64" customFormat="1" x14ac:dyDescent="0.3">
      <c r="A303" s="25"/>
      <c r="B303" s="18"/>
      <c r="C303" s="18"/>
      <c r="D303" s="18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6"/>
      <c r="AL303" s="26"/>
      <c r="AO303" s="25"/>
    </row>
    <row r="304" spans="1:41" s="64" customFormat="1" x14ac:dyDescent="0.3">
      <c r="A304" s="25"/>
      <c r="B304" s="18"/>
      <c r="C304" s="18"/>
      <c r="D304" s="18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6"/>
      <c r="AL304" s="26"/>
      <c r="AO304" s="25"/>
    </row>
    <row r="305" spans="1:41" s="64" customFormat="1" x14ac:dyDescent="0.3">
      <c r="A305" s="25"/>
      <c r="B305" s="18"/>
      <c r="C305" s="18"/>
      <c r="D305" s="18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6"/>
      <c r="AL305" s="26"/>
      <c r="AO305" s="25"/>
    </row>
    <row r="306" spans="1:41" s="64" customFormat="1" x14ac:dyDescent="0.3">
      <c r="A306" s="25"/>
      <c r="B306" s="18"/>
      <c r="C306" s="18"/>
      <c r="D306" s="18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6"/>
      <c r="AL306" s="26"/>
      <c r="AO306" s="25"/>
    </row>
    <row r="307" spans="1:41" s="64" customFormat="1" x14ac:dyDescent="0.3">
      <c r="A307" s="25"/>
      <c r="B307" s="18"/>
      <c r="C307" s="18"/>
      <c r="D307" s="18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6"/>
      <c r="AL307" s="26"/>
      <c r="AO307" s="25"/>
    </row>
    <row r="308" spans="1:41" s="64" customFormat="1" x14ac:dyDescent="0.3">
      <c r="A308" s="25"/>
      <c r="B308" s="18"/>
      <c r="C308" s="18"/>
      <c r="D308" s="18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6"/>
      <c r="AL308" s="26"/>
      <c r="AO308" s="25"/>
    </row>
    <row r="309" spans="1:41" s="64" customFormat="1" x14ac:dyDescent="0.3">
      <c r="A309" s="25"/>
      <c r="B309" s="18"/>
      <c r="C309" s="18"/>
      <c r="D309" s="18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6"/>
      <c r="AL309" s="26"/>
      <c r="AO309" s="25"/>
    </row>
    <row r="310" spans="1:41" s="64" customFormat="1" x14ac:dyDescent="0.3">
      <c r="A310" s="25"/>
      <c r="B310" s="18"/>
      <c r="C310" s="18"/>
      <c r="D310" s="18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6"/>
      <c r="AL310" s="26"/>
      <c r="AO310" s="25"/>
    </row>
    <row r="311" spans="1:41" s="64" customFormat="1" x14ac:dyDescent="0.3">
      <c r="A311" s="25"/>
      <c r="B311" s="18"/>
      <c r="C311" s="18"/>
      <c r="D311" s="18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6"/>
      <c r="AL311" s="26"/>
      <c r="AO311" s="25"/>
    </row>
    <row r="312" spans="1:41" s="64" customFormat="1" x14ac:dyDescent="0.3">
      <c r="A312" s="25"/>
      <c r="B312" s="18"/>
      <c r="C312" s="18"/>
      <c r="D312" s="18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6"/>
      <c r="AL312" s="26"/>
      <c r="AO312" s="25"/>
    </row>
    <row r="313" spans="1:41" s="64" customFormat="1" x14ac:dyDescent="0.3">
      <c r="A313" s="25"/>
      <c r="B313" s="18"/>
      <c r="C313" s="18"/>
      <c r="D313" s="18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6"/>
      <c r="AL313" s="26"/>
      <c r="AO313" s="25"/>
    </row>
    <row r="314" spans="1:41" s="64" customFormat="1" x14ac:dyDescent="0.3">
      <c r="A314" s="25"/>
      <c r="B314" s="18"/>
      <c r="C314" s="18"/>
      <c r="D314" s="18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6"/>
      <c r="AL314" s="26"/>
      <c r="AO314" s="25"/>
    </row>
    <row r="315" spans="1:41" s="64" customFormat="1" x14ac:dyDescent="0.3">
      <c r="A315" s="25"/>
      <c r="B315" s="18"/>
      <c r="C315" s="18"/>
      <c r="D315" s="18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6"/>
      <c r="AL315" s="26"/>
      <c r="AO315" s="25"/>
    </row>
    <row r="316" spans="1:41" s="64" customFormat="1" x14ac:dyDescent="0.3">
      <c r="A316" s="25"/>
      <c r="B316" s="18"/>
      <c r="C316" s="18"/>
      <c r="D316" s="18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6"/>
      <c r="AL316" s="26"/>
      <c r="AO316" s="25"/>
    </row>
    <row r="317" spans="1:41" s="64" customFormat="1" x14ac:dyDescent="0.3">
      <c r="A317" s="25"/>
      <c r="B317" s="18"/>
      <c r="C317" s="18"/>
      <c r="D317" s="18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6"/>
      <c r="AL317" s="26"/>
      <c r="AO317" s="25"/>
    </row>
    <row r="318" spans="1:41" s="64" customFormat="1" x14ac:dyDescent="0.3">
      <c r="A318" s="25"/>
      <c r="B318" s="18"/>
      <c r="C318" s="18"/>
      <c r="D318" s="18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6"/>
      <c r="AL318" s="26"/>
      <c r="AO318" s="25"/>
    </row>
    <row r="319" spans="1:41" s="64" customFormat="1" x14ac:dyDescent="0.3">
      <c r="A319" s="25"/>
      <c r="B319" s="18"/>
      <c r="C319" s="18"/>
      <c r="D319" s="18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6"/>
      <c r="AL319" s="26"/>
      <c r="AO319" s="25"/>
    </row>
    <row r="320" spans="1:41" s="64" customFormat="1" x14ac:dyDescent="0.3">
      <c r="A320" s="25"/>
      <c r="B320" s="18"/>
      <c r="C320" s="18"/>
      <c r="D320" s="18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6"/>
      <c r="AL320" s="26"/>
      <c r="AO320" s="25"/>
    </row>
    <row r="321" spans="1:41" s="64" customFormat="1" x14ac:dyDescent="0.3">
      <c r="A321" s="25"/>
      <c r="B321" s="18"/>
      <c r="C321" s="18"/>
      <c r="D321" s="18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6"/>
      <c r="AL321" s="26"/>
      <c r="AO321" s="25"/>
    </row>
    <row r="322" spans="1:41" s="64" customFormat="1" x14ac:dyDescent="0.3">
      <c r="A322" s="25"/>
      <c r="B322" s="18"/>
      <c r="C322" s="18"/>
      <c r="D322" s="18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6"/>
      <c r="AL322" s="26"/>
      <c r="AO322" s="25"/>
    </row>
    <row r="323" spans="1:41" s="64" customFormat="1" x14ac:dyDescent="0.3">
      <c r="A323" s="25"/>
      <c r="B323" s="18"/>
      <c r="C323" s="18"/>
      <c r="D323" s="18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6"/>
      <c r="AL323" s="26"/>
      <c r="AO323" s="25"/>
    </row>
    <row r="324" spans="1:41" s="64" customFormat="1" x14ac:dyDescent="0.3">
      <c r="A324" s="25"/>
      <c r="B324" s="18"/>
      <c r="C324" s="18"/>
      <c r="D324" s="18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6"/>
      <c r="AL324" s="26"/>
      <c r="AO324" s="25"/>
    </row>
    <row r="325" spans="1:41" s="64" customFormat="1" x14ac:dyDescent="0.3">
      <c r="A325" s="25"/>
      <c r="B325" s="18"/>
      <c r="C325" s="18"/>
      <c r="D325" s="18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6"/>
      <c r="AL325" s="26"/>
      <c r="AO325" s="25"/>
    </row>
    <row r="326" spans="1:41" s="64" customFormat="1" x14ac:dyDescent="0.3">
      <c r="A326" s="25"/>
      <c r="B326" s="18"/>
      <c r="C326" s="18"/>
      <c r="D326" s="18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6"/>
      <c r="AL326" s="26"/>
      <c r="AO326" s="25"/>
    </row>
  </sheetData>
  <mergeCells count="3">
    <mergeCell ref="X144:Y144"/>
    <mergeCell ref="X145:Y145"/>
    <mergeCell ref="X153:Y153"/>
  </mergeCells>
  <conditionalFormatting sqref="U93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AI93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U141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AI141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B102">
    <cfRule type="cellIs" dxfId="0" priority="1" operator="equal">
      <formula>XCF102</formula>
    </cfRule>
  </conditionalFormatting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269231-1FB6-4F1B-9062-F09FF9553093}"/>
</file>

<file path=customXml/itemProps2.xml><?xml version="1.0" encoding="utf-8"?>
<ds:datastoreItem xmlns:ds="http://schemas.openxmlformats.org/officeDocument/2006/customXml" ds:itemID="{9D33189C-858B-4E4E-85F7-1F25D026150B}"/>
</file>

<file path=customXml/itemProps3.xml><?xml version="1.0" encoding="utf-8"?>
<ds:datastoreItem xmlns:ds="http://schemas.openxmlformats.org/officeDocument/2006/customXml" ds:itemID="{713846EF-61A5-4558-A6FB-FBE3882D3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Hospital Access Payments</vt:lpstr>
      <vt:lpstr>2022 CAH Payments</vt:lpstr>
      <vt:lpstr>Hosp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2022-04-14T19:56:41Z</dcterms:created>
  <dcterms:modified xsi:type="dcterms:W3CDTF">2022-04-14T21:52:12Z</dcterms:modified>
</cp:coreProperties>
</file>