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INANCIAL SERVICES\FINANCIAL MANAGEMENT\DSH\FFY22\"/>
    </mc:Choice>
  </mc:AlternateContent>
  <xr:revisionPtr revIDLastSave="0" documentId="13_ncr:1_{252387FB-2012-4ADA-8338-81DB7C6BB4C1}" xr6:coauthVersionLast="47" xr6:coauthVersionMax="47" xr10:uidLastSave="{00000000-0000-0000-0000-000000000000}"/>
  <bookViews>
    <workbookView xWindow="28680" yWindow="-120" windowWidth="29040" windowHeight="15840" xr2:uid="{17D3F354-9396-48FD-9D41-652D37DDA15D}"/>
  </bookViews>
  <sheets>
    <sheet name="ALLOCATIONS" sheetId="2" r:id="rId1"/>
  </sheets>
  <externalReferences>
    <externalReference r:id="rId2"/>
    <externalReference r:id="rId3"/>
    <externalReference r:id="rId4"/>
    <externalReference r:id="rId5"/>
  </externalReferences>
  <definedNames>
    <definedName name="__Tab2" localSheetId="0">#REF!</definedName>
    <definedName name="__Tab2">#REF!</definedName>
    <definedName name="_Fill" localSheetId="0" hidden="1">#REF!</definedName>
    <definedName name="_Fill" hidden="1">#REF!</definedName>
    <definedName name="_Key1" localSheetId="0" hidden="1">'[1]Hospital Facility Data'!#REF!</definedName>
    <definedName name="_Key1" hidden="1">'[1]Hospital Facility Data'!#REF!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2" localSheetId="0">#REF!</definedName>
    <definedName name="_Tab2">#REF!</definedName>
    <definedName name="A" localSheetId="0">#REF!</definedName>
    <definedName name="A">#REF!</definedName>
    <definedName name="A_GME_wo_MC">[2]Hospital_Details!$A$158:$IV$158</definedName>
    <definedName name="AlphaList" localSheetId="0">#REF!</definedName>
    <definedName name="AlphaList">#REF!</definedName>
    <definedName name="B" localSheetId="0">#REF!</definedName>
    <definedName name="B">#REF!</definedName>
    <definedName name="B_GME_wo_MC">[2]Hospital_Details!$A$159:$IV$159</definedName>
    <definedName name="BaseLineMatrix" localSheetId="0">{1,2;3,4}</definedName>
    <definedName name="BaseLineMatrix">{1,2;3,4}</definedName>
    <definedName name="Bx" localSheetId="0">#REF!</definedName>
    <definedName name="Bx">#REF!</definedName>
    <definedName name="CCR_OUTPUT_SHOPP3" localSheetId="0">#REF!</definedName>
    <definedName name="CCR_OUTPUT_SHOPP3">#REF!</definedName>
    <definedName name="CCR_OUTPUT_SHOPP4" localSheetId="0">#REF!</definedName>
    <definedName name="CCR_OUTPUT_SHOPP4">#REF!</definedName>
    <definedName name="COMBO">#REF!</definedName>
    <definedName name="Cost_Add_Back">[2]Hospital_Details!$A$138:$IV$138</definedName>
    <definedName name="Cost_Red_Fact">[2]Hospital_Details!$A$137:$IV$137</definedName>
    <definedName name="cost_UPL_sfy11" localSheetId="0">#REF!</definedName>
    <definedName name="cost_UPL_sfy11">#REF!</definedName>
    <definedName name="d" localSheetId="0">#REF!</definedName>
    <definedName name="d">#REF!</definedName>
    <definedName name="Density_per_Discharge__Facility__Top_75_PCT__0_density_removed_" localSheetId="0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0">[2]Hospital_Details!#REF!</definedName>
    <definedName name="F_1827">[2]Hospital_Details!#REF!</definedName>
    <definedName name="F_1827x" localSheetId="0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0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0">[2]Hospital_Details!#REF!</definedName>
    <definedName name="H_627">[2]Hospital_Details!#REF!</definedName>
    <definedName name="H_628" localSheetId="0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0">[2]Hospital_Details!#REF!</definedName>
    <definedName name="H_805">[2]Hospital_Details!#REF!</definedName>
    <definedName name="H_806" localSheetId="0">[2]Hospital_Details!#REF!</definedName>
    <definedName name="H_806">[2]Hospital_Details!#REF!</definedName>
    <definedName name="H_83">[2]Hospital_Details!$A$368:$IV$368</definedName>
    <definedName name="H_93" localSheetId="0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0">#REF!</definedName>
    <definedName name="HospName">#REF!</definedName>
    <definedName name="HospNum" localSheetId="0">#REF!</definedName>
    <definedName name="HospNum">#REF!</definedName>
    <definedName name="HTML_CodePage" hidden="1">1252</definedName>
    <definedName name="HTML_Control" localSheetId="0" hidden="1">{"'data dictionary'!$A$1:$C$26"}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 localSheetId="0">#REF!</definedName>
    <definedName name="OkDataSet">#REF!</definedName>
    <definedName name="OKLAHOMA" localSheetId="0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 localSheetId="0">#REF!</definedName>
    <definedName name="PaymentDataSet">#REF!</definedName>
    <definedName name="Print_Area_1" localSheetId="0">#REF!</definedName>
    <definedName name="Print_Area_1">#REF!</definedName>
    <definedName name="Print_Area_MI">'[3]table 2.5'!$B$4:$T$154</definedName>
    <definedName name="_xlnm.Print_Titles" localSheetId="0">ALLOCATIONS!$1:$12</definedName>
    <definedName name="PUBUSE" localSheetId="0">#REF!</definedName>
    <definedName name="PUBUSE">#REF!</definedName>
    <definedName name="q_sum_ex" localSheetId="0">#REF!</definedName>
    <definedName name="q_sum_ex">#REF!</definedName>
    <definedName name="second_version" localSheetId="0" hidden="1">{"'data dictionary'!$A$1:$C$26"}</definedName>
    <definedName name="second_version" hidden="1">{"'data dictionary'!$A$1:$C$26"}</definedName>
    <definedName name="shopp_ccr_20140618" localSheetId="0">#REF!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0">#REF!</definedName>
    <definedName name="TABLE4J_FY07">#REF!</definedName>
    <definedName name="TaxDataSet" localSheetId="0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" i="2" l="1"/>
  <c r="N98" i="2"/>
  <c r="H93" i="2"/>
  <c r="B93" i="2"/>
  <c r="N92" i="2"/>
  <c r="N91" i="2"/>
  <c r="N90" i="2"/>
  <c r="N89" i="2"/>
  <c r="N88" i="2"/>
  <c r="B85" i="2"/>
  <c r="N80" i="2"/>
  <c r="Q79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B81" i="2"/>
  <c r="N51" i="2"/>
  <c r="N50" i="2"/>
  <c r="H81" i="2"/>
  <c r="N49" i="2"/>
  <c r="B83" i="2"/>
  <c r="N41" i="2"/>
  <c r="N40" i="2"/>
  <c r="N39" i="2"/>
  <c r="N38" i="2"/>
  <c r="N37" i="2"/>
  <c r="N36" i="2"/>
  <c r="N35" i="2"/>
  <c r="N34" i="2"/>
  <c r="B42" i="2"/>
  <c r="N33" i="2"/>
  <c r="N32" i="2"/>
  <c r="H42" i="2"/>
  <c r="N31" i="2"/>
  <c r="N30" i="2"/>
  <c r="B44" i="2"/>
  <c r="B27" i="2"/>
  <c r="N22" i="2"/>
  <c r="N21" i="2"/>
  <c r="N20" i="2"/>
  <c r="Q19" i="2"/>
  <c r="N19" i="2"/>
  <c r="N18" i="2"/>
  <c r="N17" i="2"/>
  <c r="N16" i="2"/>
  <c r="B23" i="2"/>
  <c r="N15" i="2"/>
  <c r="N14" i="2"/>
  <c r="H23" i="2"/>
  <c r="C6" i="2"/>
  <c r="B6" i="2"/>
  <c r="G4" i="2"/>
  <c r="C4" i="2"/>
  <c r="B3" i="2"/>
  <c r="G3" i="2" s="1"/>
  <c r="B8" i="2" l="1"/>
  <c r="N81" i="2"/>
  <c r="O67" i="2" s="1"/>
  <c r="O55" i="2"/>
  <c r="O56" i="2"/>
  <c r="B9" i="2"/>
  <c r="B24" i="2" s="1"/>
  <c r="B26" i="2" s="1"/>
  <c r="N42" i="2"/>
  <c r="O34" i="2" s="1"/>
  <c r="N93" i="2"/>
  <c r="O91" i="2" s="1"/>
  <c r="P91" i="2" s="1"/>
  <c r="Q91" i="2" s="1"/>
  <c r="O90" i="2"/>
  <c r="P90" i="2" s="1"/>
  <c r="Q90" i="2" s="1"/>
  <c r="B43" i="2"/>
  <c r="B10" i="2"/>
  <c r="B82" i="2" s="1"/>
  <c r="N23" i="2"/>
  <c r="O19" i="2" s="1"/>
  <c r="O31" i="2"/>
  <c r="O32" i="2"/>
  <c r="O76" i="2"/>
  <c r="O77" i="2"/>
  <c r="N99" i="2"/>
  <c r="O98" i="2" s="1"/>
  <c r="G6" i="2"/>
  <c r="O66" i="2"/>
  <c r="O78" i="2"/>
  <c r="O80" i="2"/>
  <c r="O39" i="2"/>
  <c r="O40" i="2"/>
  <c r="O72" i="2"/>
  <c r="D6" i="2"/>
  <c r="D2" i="2" s="1"/>
  <c r="B25" i="2"/>
  <c r="O89" i="2" l="1"/>
  <c r="P89" i="2" s="1"/>
  <c r="Q89" i="2" s="1"/>
  <c r="O88" i="2"/>
  <c r="P88" i="2" s="1"/>
  <c r="O65" i="2"/>
  <c r="O59" i="2"/>
  <c r="O58" i="2"/>
  <c r="O61" i="2"/>
  <c r="O71" i="2"/>
  <c r="O70" i="2"/>
  <c r="O53" i="2"/>
  <c r="O52" i="2"/>
  <c r="O60" i="2"/>
  <c r="O79" i="2"/>
  <c r="O62" i="2"/>
  <c r="O54" i="2"/>
  <c r="O30" i="2"/>
  <c r="O22" i="2"/>
  <c r="P22" i="2" s="1"/>
  <c r="Q22" i="2" s="1"/>
  <c r="O17" i="2"/>
  <c r="P17" i="2" s="1"/>
  <c r="Q17" i="2" s="1"/>
  <c r="O16" i="2"/>
  <c r="P16" i="2" s="1"/>
  <c r="Q16" i="2" s="1"/>
  <c r="O33" i="2"/>
  <c r="O99" i="2"/>
  <c r="P98" i="2"/>
  <c r="O35" i="2"/>
  <c r="O15" i="2"/>
  <c r="P15" i="2" s="1"/>
  <c r="Q15" i="2" s="1"/>
  <c r="O75" i="2"/>
  <c r="O41" i="2"/>
  <c r="B99" i="2"/>
  <c r="G2" i="2"/>
  <c r="D5" i="2"/>
  <c r="G5" i="2" s="1"/>
  <c r="B45" i="2"/>
  <c r="P34" i="2" s="1"/>
  <c r="Q34" i="2" s="1"/>
  <c r="B84" i="2"/>
  <c r="P62" i="2" s="1"/>
  <c r="Q62" i="2" s="1"/>
  <c r="O74" i="2"/>
  <c r="O36" i="2"/>
  <c r="O20" i="2"/>
  <c r="P20" i="2" s="1"/>
  <c r="Q20" i="2" s="1"/>
  <c r="O14" i="2"/>
  <c r="O18" i="2"/>
  <c r="P18" i="2" s="1"/>
  <c r="Q18" i="2" s="1"/>
  <c r="O38" i="2"/>
  <c r="O50" i="2"/>
  <c r="O37" i="2"/>
  <c r="O64" i="2"/>
  <c r="O92" i="2"/>
  <c r="P92" i="2" s="1"/>
  <c r="Q92" i="2" s="1"/>
  <c r="O57" i="2"/>
  <c r="O69" i="2"/>
  <c r="O49" i="2"/>
  <c r="O73" i="2"/>
  <c r="O21" i="2"/>
  <c r="P21" i="2" s="1"/>
  <c r="Q21" i="2" s="1"/>
  <c r="O63" i="2"/>
  <c r="O51" i="2"/>
  <c r="O68" i="2"/>
  <c r="P68" i="2" s="1"/>
  <c r="Q68" i="2" s="1"/>
  <c r="P30" i="2" l="1"/>
  <c r="Q30" i="2" s="1"/>
  <c r="P54" i="2"/>
  <c r="Q54" i="2" s="1"/>
  <c r="P31" i="2"/>
  <c r="Q31" i="2" s="1"/>
  <c r="P33" i="2"/>
  <c r="Q33" i="2" s="1"/>
  <c r="P80" i="2"/>
  <c r="Q80" i="2" s="1"/>
  <c r="P41" i="2"/>
  <c r="Q41" i="2" s="1"/>
  <c r="P40" i="2"/>
  <c r="Q40" i="2" s="1"/>
  <c r="P63" i="2"/>
  <c r="Q63" i="2" s="1"/>
  <c r="P38" i="2"/>
  <c r="Q38" i="2" s="1"/>
  <c r="P32" i="2"/>
  <c r="Q32" i="2" s="1"/>
  <c r="P36" i="2"/>
  <c r="Q36" i="2" s="1"/>
  <c r="P37" i="2"/>
  <c r="Q37" i="2" s="1"/>
  <c r="P56" i="2"/>
  <c r="Q56" i="2" s="1"/>
  <c r="P59" i="2"/>
  <c r="Q59" i="2" s="1"/>
  <c r="P67" i="2"/>
  <c r="Q67" i="2" s="1"/>
  <c r="P35" i="2"/>
  <c r="Q35" i="2" s="1"/>
  <c r="P50" i="2"/>
  <c r="Q50" i="2" s="1"/>
  <c r="P39" i="2"/>
  <c r="Q39" i="2" s="1"/>
  <c r="P52" i="2"/>
  <c r="Q52" i="2" s="1"/>
  <c r="P71" i="2"/>
  <c r="Q71" i="2" s="1"/>
  <c r="P61" i="2"/>
  <c r="Q61" i="2" s="1"/>
  <c r="P99" i="2"/>
  <c r="Q98" i="2"/>
  <c r="O81" i="2"/>
  <c r="P49" i="2"/>
  <c r="P58" i="2"/>
  <c r="Q58" i="2" s="1"/>
  <c r="P93" i="2"/>
  <c r="Q88" i="2"/>
  <c r="P69" i="2"/>
  <c r="Q69" i="2" s="1"/>
  <c r="P76" i="2"/>
  <c r="Q76" i="2" s="1"/>
  <c r="P66" i="2"/>
  <c r="Q66" i="2" s="1"/>
  <c r="O93" i="2"/>
  <c r="P14" i="2"/>
  <c r="O23" i="2"/>
  <c r="P73" i="2"/>
  <c r="Q73" i="2" s="1"/>
  <c r="O42" i="2"/>
  <c r="P78" i="2"/>
  <c r="Q78" i="2" s="1"/>
  <c r="P60" i="2"/>
  <c r="Q60" i="2" s="1"/>
  <c r="P57" i="2"/>
  <c r="Q57" i="2" s="1"/>
  <c r="P55" i="2"/>
  <c r="Q55" i="2" s="1"/>
  <c r="P74" i="2"/>
  <c r="Q74" i="2" s="1"/>
  <c r="P75" i="2"/>
  <c r="Q75" i="2" s="1"/>
  <c r="P65" i="2"/>
  <c r="Q65" i="2" s="1"/>
  <c r="P70" i="2"/>
  <c r="Q70" i="2" s="1"/>
  <c r="P72" i="2"/>
  <c r="Q72" i="2" s="1"/>
  <c r="P51" i="2"/>
  <c r="Q51" i="2" s="1"/>
  <c r="P64" i="2"/>
  <c r="Q64" i="2" s="1"/>
  <c r="P53" i="2"/>
  <c r="Q53" i="2" s="1"/>
  <c r="P77" i="2"/>
  <c r="Q77" i="2" s="1"/>
  <c r="P42" i="2" l="1"/>
  <c r="P43" i="2" s="1"/>
  <c r="Q14" i="2"/>
  <c r="P23" i="2"/>
  <c r="P24" i="2" s="1"/>
  <c r="Q49" i="2"/>
  <c r="P81" i="2"/>
  <c r="P82" i="2" s="1"/>
</calcChain>
</file>

<file path=xl/sharedStrings.xml><?xml version="1.0" encoding="utf-8"?>
<sst xmlns="http://schemas.openxmlformats.org/spreadsheetml/2006/main" count="231" uniqueCount="218">
  <si>
    <t>Federal Fiscal Year 2022 DSH</t>
  </si>
  <si>
    <t>Private &amp; Community Hospitals</t>
  </si>
  <si>
    <t>IMD (DMH Pays State Share)</t>
  </si>
  <si>
    <t>Public (OU Pays State Share)</t>
  </si>
  <si>
    <t>TOTAL</t>
  </si>
  <si>
    <t>DSH Allocation</t>
  </si>
  <si>
    <t xml:space="preserve">OHCA State Share @ 25.49% </t>
  </si>
  <si>
    <t xml:space="preserve">DMH State Share @ 25.49% </t>
  </si>
  <si>
    <t xml:space="preserve">OU State Share @ 25.49% </t>
  </si>
  <si>
    <t xml:space="preserve">Federal Share @ 74.51% </t>
  </si>
  <si>
    <t>Total Bed for Private and Community Hospitals</t>
  </si>
  <si>
    <t>Total Medicaid Inpatient Days for All Private and Community Hospitals</t>
  </si>
  <si>
    <t>Total Medicaid Inpatient Days for Private and Community Hospitals with &lt; 300 Beds</t>
  </si>
  <si>
    <t>PROVIDER NAME:</t>
  </si>
  <si>
    <t>Licensed Beds</t>
  </si>
  <si>
    <t>OB / GYN</t>
  </si>
  <si>
    <t>OKLAHOMA MEDICAID PROVIDER NUMBER(S)</t>
  </si>
  <si>
    <t>INCLUDED IN THE DATA ON THIS FORM:</t>
  </si>
  <si>
    <t>MEDICARE PROVIDER NUMBER:</t>
  </si>
  <si>
    <t>1.1    Medicaid Inpatient Days</t>
  </si>
  <si>
    <t>1.4    Total Inpatient Days</t>
  </si>
  <si>
    <t>1.5    Medicaid Inpatient Utilization</t>
  </si>
  <si>
    <t>3.8   Total Indigent Care</t>
  </si>
  <si>
    <t>CCR</t>
  </si>
  <si>
    <t>DSH UPL</t>
  </si>
  <si>
    <t>CCR x Hospital Indigent Care = Indigent Care Cost</t>
  </si>
  <si>
    <t>Formula:  Hospital Indigent Care Amount Divided by Sum Total of all Hospital Indigent Care</t>
  </si>
  <si>
    <t xml:space="preserve"> NEW DSH ALLOCATION</t>
  </si>
  <si>
    <t>EXCEEDS UPL</t>
  </si>
  <si>
    <t>Group = Beds &gt; 300</t>
  </si>
  <si>
    <t>HILLCREST MEDICAL CENTER</t>
  </si>
  <si>
    <t>200044210A</t>
  </si>
  <si>
    <t>INTEGRIS BAPTIST MEDICAL C</t>
  </si>
  <si>
    <t>100806400C</t>
  </si>
  <si>
    <t>INTEGRIS SOUTHWEST MEDICAL CENTER</t>
  </si>
  <si>
    <t>100700200A</t>
  </si>
  <si>
    <t>MERCY HOSPITAL OKLAHOMA CITY</t>
  </si>
  <si>
    <t>100699390A</t>
  </si>
  <si>
    <t>NORMAN REGIONAL HOSPITAL</t>
  </si>
  <si>
    <t>100700690A</t>
  </si>
  <si>
    <t>SAINT FRANCIS HOSPITAL</t>
  </si>
  <si>
    <t>100699570A</t>
  </si>
  <si>
    <t>SAINT FRANCIS HOSPITAL MUSKOGEE INC</t>
  </si>
  <si>
    <t>200700900A</t>
  </si>
  <si>
    <t>ST ANTHONY HSP</t>
  </si>
  <si>
    <t>100699540A</t>
  </si>
  <si>
    <t>ST JOHN MED CTR</t>
  </si>
  <si>
    <t>100699400A</t>
  </si>
  <si>
    <t>Subtotal Beds for Hospitals &gt; than 300 Beds</t>
  </si>
  <si>
    <t>Percent of Total Medicaid Days for Private &amp; Community Hospitals</t>
  </si>
  <si>
    <t>Count of Hospitals</t>
  </si>
  <si>
    <t xml:space="preserve"> </t>
  </si>
  <si>
    <t>DSH Allocation Allowed</t>
  </si>
  <si>
    <t>Recycled Amount</t>
  </si>
  <si>
    <t>Group = Beds &gt; 100  &lt; 300</t>
  </si>
  <si>
    <t>AHS SOUTHCREST HOSPITAL, LLC</t>
  </si>
  <si>
    <t>200439230A</t>
  </si>
  <si>
    <t>ALLIANCEHEALTH DURANT</t>
  </si>
  <si>
    <t>100696610B</t>
  </si>
  <si>
    <t>ALLIANCEHEALTH PONCA CITY</t>
  </si>
  <si>
    <t>100699420A</t>
  </si>
  <si>
    <t>DUNCAN REGIONAL HOSPITAL</t>
  </si>
  <si>
    <t>100700120A</t>
  </si>
  <si>
    <t>INTEGRIS BASS MEM BAP</t>
  </si>
  <si>
    <t>100699500A</t>
  </si>
  <si>
    <t>INTEGRIS MIAMI HOSPITAL</t>
  </si>
  <si>
    <t>100699440A</t>
  </si>
  <si>
    <t>JANE PHILLIPS EP HSP</t>
  </si>
  <si>
    <t>100699490A</t>
  </si>
  <si>
    <t>MERCY HOSPITAL ADA, INC.</t>
  </si>
  <si>
    <t>200509290A</t>
  </si>
  <si>
    <t>MERCY MEMORIAL HEALTH CTR</t>
  </si>
  <si>
    <t>100262320C</t>
  </si>
  <si>
    <t>SAINT FRANCIS HOSPITAL SOUTH</t>
  </si>
  <si>
    <t>200031310A</t>
  </si>
  <si>
    <t>ST MARY'S REGIONAL MEDICAL CENTER</t>
  </si>
  <si>
    <t>100690020A</t>
  </si>
  <si>
    <t>STILLWATER MEDICAL CENTER</t>
  </si>
  <si>
    <t>100699950A</t>
  </si>
  <si>
    <t>Subtotal Beds for Hospitals &gt;= 100 &lt; 300 Beds</t>
  </si>
  <si>
    <t>Percent of Total Medicaid Days for Private &amp; Community Hospitals with &lt; 300 Beds</t>
  </si>
  <si>
    <t>Group = Beds &lt; 100</t>
  </si>
  <si>
    <t>ADAIR COUNTY HC INC</t>
  </si>
  <si>
    <t>100700030A</t>
  </si>
  <si>
    <t>AHS CLAREMORE REGIONAL HOSPITAL, LLC</t>
  </si>
  <si>
    <t>200435950A</t>
  </si>
  <si>
    <t>AHS HENRYETTA HOSPITAL, LLC</t>
  </si>
  <si>
    <t>200045700C</t>
  </si>
  <si>
    <t>ALLIANCEHEALTH SEMINOLE</t>
  </si>
  <si>
    <t>200196450C</t>
  </si>
  <si>
    <t>ALLIANCEHEALTH WOODWARD</t>
  </si>
  <si>
    <t>200019120A</t>
  </si>
  <si>
    <t>ARBUCKLE MEM HSP</t>
  </si>
  <si>
    <t>100700790A</t>
  </si>
  <si>
    <t>ATOKA COUNTY HEALTHCARE AUTHORITY</t>
  </si>
  <si>
    <t>100262850D</t>
  </si>
  <si>
    <t>BAILEY MEDICAL CENTER LLC</t>
  </si>
  <si>
    <t>200102450A</t>
  </si>
  <si>
    <t>BLACKWELL REGIONAL HOSPITAL</t>
  </si>
  <si>
    <t>200668710A</t>
  </si>
  <si>
    <t>CLINTON HMA LLC</t>
  </si>
  <si>
    <t>100700010G</t>
  </si>
  <si>
    <t>DRUMRIGHT COMMUNITY HOSPITAL LLC</t>
  </si>
  <si>
    <t>200910710B</t>
  </si>
  <si>
    <t>EASTERN OKLAHOMA MEDICAL CENTER</t>
  </si>
  <si>
    <t>100700730A</t>
  </si>
  <si>
    <t>GREAT PLAINS REGIONAL MEDICAL CENTER</t>
  </si>
  <si>
    <t>100699410A</t>
  </si>
  <si>
    <t>HASKELL REGIONAL HOSPITAL INC.</t>
  </si>
  <si>
    <t>200925590A</t>
  </si>
  <si>
    <t>HILLCREST HOSPITAL CUSHING</t>
  </si>
  <si>
    <t>200044190A</t>
  </si>
  <si>
    <t>HILLCREST HOSPITAL PRYOR</t>
  </si>
  <si>
    <t>200735850A</t>
  </si>
  <si>
    <t>INTEGRIS CANADIAN VALLEY HOSPITAL</t>
  </si>
  <si>
    <t>100700610A</t>
  </si>
  <si>
    <t>INTEGRIS GROVE HOSPITAL</t>
  </si>
  <si>
    <t>100699700A</t>
  </si>
  <si>
    <t>MERCY HEALTH LOVE COUNTY</t>
  </si>
  <si>
    <t>100699960A</t>
  </si>
  <si>
    <t>MERCY HOSPITAL HEALDTON INC</t>
  </si>
  <si>
    <t>200226190A</t>
  </si>
  <si>
    <t>MERCY HOSPITAL KINGFISHER, INC</t>
  </si>
  <si>
    <t>200521810B</t>
  </si>
  <si>
    <t>MERCY HOSPITAL LOGAN COUNTY</t>
  </si>
  <si>
    <t>200425410C</t>
  </si>
  <si>
    <t>MERCY HOSPITAL TISHOMINGO</t>
  </si>
  <si>
    <t>200318440B</t>
  </si>
  <si>
    <t>MERCY HOSPITAL WATONGA INC</t>
  </si>
  <si>
    <t>200490030A</t>
  </si>
  <si>
    <t>NORTHEASTERN HEALTH SYSTEM</t>
  </si>
  <si>
    <t>100700680A</t>
  </si>
  <si>
    <t>SEILING MUNICIPAL HOSPITAL</t>
  </si>
  <si>
    <t>100700450A</t>
  </si>
  <si>
    <t>SEQUOYAH COUNTY CITY OF SALLISAW HOSPITAL AUTHORIT</t>
  </si>
  <si>
    <t>100700190A</t>
  </si>
  <si>
    <t>ST JOHN OWASSO</t>
  </si>
  <si>
    <t>200106410A</t>
  </si>
  <si>
    <t>STILLWATER MEDICAL - PERRY</t>
  </si>
  <si>
    <t>200417790W</t>
  </si>
  <si>
    <t>SURGICAL HOSPITAL OF OKLAHOMA LLC</t>
  </si>
  <si>
    <t>100700530A</t>
  </si>
  <si>
    <t>WEATHERFORD HOSPITAL AUTHORITY</t>
  </si>
  <si>
    <t>100699870E</t>
  </si>
  <si>
    <t>Subtotal Beds for Hospitals &lt; 100 Beds</t>
  </si>
  <si>
    <t>IMD</t>
  </si>
  <si>
    <t>CARL ALBERT COMM MHC</t>
  </si>
  <si>
    <t>100700640C</t>
  </si>
  <si>
    <t>GRIFFIN MEMORIAL HOSPITAL</t>
  </si>
  <si>
    <t>100690030B</t>
  </si>
  <si>
    <t>JIM TALIAFERRO MHC</t>
  </si>
  <si>
    <t>100700660B</t>
  </si>
  <si>
    <t>NORTHWEST CENTER FOR BEHAVIORAL HEALTH</t>
  </si>
  <si>
    <t>100704080B</t>
  </si>
  <si>
    <t>TULSA CENTER FOR BEHAVIORAL HEALTH</t>
  </si>
  <si>
    <t>100707460F</t>
  </si>
  <si>
    <t>Public</t>
  </si>
  <si>
    <t>OU MEDICINE</t>
  </si>
  <si>
    <t>200752850A</t>
  </si>
  <si>
    <t>37-4006</t>
  </si>
  <si>
    <t>37-4000</t>
  </si>
  <si>
    <t>37-4008</t>
  </si>
  <si>
    <t>37-4001</t>
  </si>
  <si>
    <t>37-4026</t>
  </si>
  <si>
    <t>37-0093</t>
  </si>
  <si>
    <t>37-0178</t>
  </si>
  <si>
    <t>37-0039</t>
  </si>
  <si>
    <t>37-0183</t>
  </si>
  <si>
    <t>37-0229</t>
  </si>
  <si>
    <t>37-0002</t>
  </si>
  <si>
    <t>37-1328</t>
  </si>
  <si>
    <t>37-0228</t>
  </si>
  <si>
    <t>37-0030</t>
  </si>
  <si>
    <t>37-0029</t>
  </si>
  <si>
    <t>37-1331</t>
  </si>
  <si>
    <t>37-1337</t>
  </si>
  <si>
    <t>37-0019</t>
  </si>
  <si>
    <t>37-1335</t>
  </si>
  <si>
    <t>37-0099</t>
  </si>
  <si>
    <t>37-0015</t>
  </si>
  <si>
    <t>37-0211</t>
  </si>
  <si>
    <t>37-0113</t>
  </si>
  <si>
    <t>37-1306</t>
  </si>
  <si>
    <t>37-1310</t>
  </si>
  <si>
    <t>37-0020</t>
  </si>
  <si>
    <t>37-1317</t>
  </si>
  <si>
    <t>37-1304</t>
  </si>
  <si>
    <t>37-1302</t>
  </si>
  <si>
    <t>37-0089</t>
  </si>
  <si>
    <t>371332</t>
  </si>
  <si>
    <t>37-0112</t>
  </si>
  <si>
    <t>37-0227</t>
  </si>
  <si>
    <t>37-0139</t>
  </si>
  <si>
    <t>37-0201</t>
  </si>
  <si>
    <t>37-1323</t>
  </si>
  <si>
    <t>37-0202</t>
  </si>
  <si>
    <t>37-0014</t>
  </si>
  <si>
    <t>37-0006</t>
  </si>
  <si>
    <t>37-0023</t>
  </si>
  <si>
    <t>37-0016</t>
  </si>
  <si>
    <t>37-0004</t>
  </si>
  <si>
    <t>37-0018</t>
  </si>
  <si>
    <t>37-0047</t>
  </si>
  <si>
    <t>37-0218</t>
  </si>
  <si>
    <t>37-0026</t>
  </si>
  <si>
    <t>37-0049</t>
  </si>
  <si>
    <t>37-0001, 37T001</t>
  </si>
  <si>
    <t>37-0028</t>
  </si>
  <si>
    <t>37-0106</t>
  </si>
  <si>
    <t>37-0013</t>
  </si>
  <si>
    <t>37-0008</t>
  </si>
  <si>
    <t>37-0091 &amp; 37-T091</t>
  </si>
  <si>
    <t>37-0025 &amp; 37-S025 &amp; 37-T025</t>
  </si>
  <si>
    <t>37-0037</t>
  </si>
  <si>
    <t>37-0114</t>
  </si>
  <si>
    <t>UNITY HEALTH CENTER</t>
  </si>
  <si>
    <t>100740840B</t>
  </si>
  <si>
    <t>37-0149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</si>
</sst>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&quot;$&quot;* #,##0_);_(&quot;$&quot;* \(#,##0\);_(&quot;$&quot;* &quot;-&quot;??_);_(@_)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C0C0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right" wrapText="1"/>
    </xf>
    <xf numFmtId="0" fontId="3" fillId="0" borderId="3" xfId="1" applyNumberFormat="1" applyFont="1" applyFill="1" applyBorder="1" applyAlignment="1">
      <alignment horizontal="right" wrapText="1"/>
    </xf>
    <xf numFmtId="0" fontId="4" fillId="0" borderId="0" xfId="1" applyNumberFormat="1" applyFont="1" applyFill="1" applyBorder="1" applyAlignment="1">
      <alignment horizontal="right" wrapText="1"/>
    </xf>
    <xf numFmtId="0" fontId="5" fillId="0" borderId="0" xfId="0" applyFont="1"/>
    <xf numFmtId="0" fontId="3" fillId="0" borderId="4" xfId="1" applyNumberFormat="1" applyFont="1" applyFill="1" applyBorder="1" applyAlignment="1">
      <alignment horizontal="right" wrapText="1"/>
    </xf>
    <xf numFmtId="165" fontId="5" fillId="0" borderId="0" xfId="1" applyNumberFormat="1" applyFont="1"/>
    <xf numFmtId="0" fontId="3" fillId="0" borderId="5" xfId="1" applyNumberFormat="1" applyFont="1" applyFill="1" applyBorder="1" applyAlignment="1">
      <alignment horizontal="right"/>
    </xf>
    <xf numFmtId="44" fontId="6" fillId="0" borderId="6" xfId="2" applyFont="1" applyFill="1" applyBorder="1"/>
    <xf numFmtId="44" fontId="6" fillId="0" borderId="6" xfId="2" applyFont="1" applyBorder="1"/>
    <xf numFmtId="43" fontId="5" fillId="0" borderId="0" xfId="1" applyFont="1" applyBorder="1"/>
    <xf numFmtId="44" fontId="5" fillId="0" borderId="0" xfId="0" applyNumberFormat="1" applyFont="1"/>
    <xf numFmtId="44" fontId="6" fillId="0" borderId="7" xfId="2" applyFont="1" applyFill="1" applyBorder="1"/>
    <xf numFmtId="0" fontId="3" fillId="0" borderId="8" xfId="1" applyNumberFormat="1" applyFont="1" applyFill="1" applyBorder="1" applyAlignment="1">
      <alignment horizontal="right"/>
    </xf>
    <xf numFmtId="44" fontId="6" fillId="2" borderId="6" xfId="2" applyFont="1" applyFill="1" applyBorder="1"/>
    <xf numFmtId="0" fontId="5" fillId="2" borderId="0" xfId="0" applyFont="1" applyFill="1"/>
    <xf numFmtId="43" fontId="5" fillId="0" borderId="0" xfId="1" applyFont="1" applyFill="1" applyBorder="1"/>
    <xf numFmtId="44" fontId="5" fillId="0" borderId="0" xfId="2" applyFont="1"/>
    <xf numFmtId="44" fontId="6" fillId="2" borderId="9" xfId="2" applyFont="1" applyFill="1" applyBorder="1"/>
    <xf numFmtId="0" fontId="3" fillId="0" borderId="10" xfId="1" applyNumberFormat="1" applyFont="1" applyFill="1" applyBorder="1" applyAlignment="1">
      <alignment horizontal="right"/>
    </xf>
    <xf numFmtId="44" fontId="6" fillId="0" borderId="11" xfId="2" applyFont="1" applyBorder="1"/>
    <xf numFmtId="44" fontId="6" fillId="0" borderId="12" xfId="2" applyFont="1" applyFill="1" applyBorder="1"/>
    <xf numFmtId="166" fontId="5" fillId="0" borderId="0" xfId="2" applyNumberFormat="1" applyFont="1"/>
    <xf numFmtId="164" fontId="5" fillId="0" borderId="0" xfId="1" applyNumberFormat="1" applyFont="1"/>
    <xf numFmtId="43" fontId="5" fillId="0" borderId="0" xfId="0" applyNumberFormat="1" applyFont="1"/>
    <xf numFmtId="0" fontId="3" fillId="0" borderId="0" xfId="1" applyNumberFormat="1" applyFont="1" applyFill="1" applyBorder="1" applyAlignment="1">
      <alignment horizontal="left"/>
    </xf>
    <xf numFmtId="164" fontId="6" fillId="0" borderId="0" xfId="1" applyNumberFormat="1" applyFont="1"/>
    <xf numFmtId="0" fontId="7" fillId="0" borderId="0" xfId="0" applyFont="1"/>
    <xf numFmtId="165" fontId="7" fillId="0" borderId="0" xfId="1" applyNumberFormat="1" applyFont="1"/>
    <xf numFmtId="44" fontId="7" fillId="0" borderId="0" xfId="0" applyNumberFormat="1" applyFont="1"/>
    <xf numFmtId="164" fontId="7" fillId="0" borderId="0" xfId="1" applyNumberFormat="1" applyFont="1"/>
    <xf numFmtId="0" fontId="3" fillId="3" borderId="6" xfId="0" applyFont="1" applyFill="1" applyBorder="1" applyAlignment="1">
      <alignment wrapText="1"/>
    </xf>
    <xf numFmtId="164" fontId="3" fillId="3" borderId="6" xfId="1" applyNumberFormat="1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64" fontId="3" fillId="3" borderId="6" xfId="1" applyNumberFormat="1" applyFont="1" applyFill="1" applyBorder="1" applyAlignment="1">
      <alignment horizontal="left" wrapText="1"/>
    </xf>
    <xf numFmtId="164" fontId="3" fillId="3" borderId="6" xfId="1" applyNumberFormat="1" applyFont="1" applyFill="1" applyBorder="1" applyAlignment="1">
      <alignment wrapText="1"/>
    </xf>
    <xf numFmtId="9" fontId="3" fillId="3" borderId="6" xfId="3" applyFont="1" applyFill="1" applyBorder="1" applyAlignment="1">
      <alignment wrapText="1"/>
    </xf>
    <xf numFmtId="165" fontId="3" fillId="3" borderId="6" xfId="1" applyNumberFormat="1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9" fillId="2" borderId="6" xfId="0" applyFont="1" applyFill="1" applyBorder="1"/>
    <xf numFmtId="164" fontId="10" fillId="2" borderId="6" xfId="1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65" fontId="10" fillId="2" borderId="6" xfId="1" applyNumberFormat="1" applyFont="1" applyFill="1" applyBorder="1" applyAlignment="1">
      <alignment horizontal="center"/>
    </xf>
    <xf numFmtId="0" fontId="10" fillId="2" borderId="6" xfId="0" quotePrefix="1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6" xfId="0" quotePrefix="1" applyFont="1" applyFill="1" applyBorder="1"/>
    <xf numFmtId="0" fontId="10" fillId="0" borderId="0" xfId="0" applyFont="1"/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right" vertical="center"/>
    </xf>
    <xf numFmtId="164" fontId="11" fillId="0" borderId="6" xfId="1" applyNumberFormat="1" applyFont="1" applyFill="1" applyBorder="1" applyAlignment="1">
      <alignment horizontal="right" vertical="center"/>
    </xf>
    <xf numFmtId="10" fontId="5" fillId="0" borderId="6" xfId="3" applyNumberFormat="1" applyFont="1" applyFill="1" applyBorder="1" applyAlignment="1">
      <alignment horizontal="right"/>
    </xf>
    <xf numFmtId="44" fontId="11" fillId="0" borderId="6" xfId="2" applyFont="1" applyFill="1" applyBorder="1" applyAlignment="1">
      <alignment horizontal="right" vertical="center"/>
    </xf>
    <xf numFmtId="165" fontId="11" fillId="0" borderId="6" xfId="1" applyNumberFormat="1" applyFont="1" applyFill="1" applyBorder="1" applyAlignment="1">
      <alignment horizontal="right" vertical="center"/>
    </xf>
    <xf numFmtId="44" fontId="5" fillId="0" borderId="6" xfId="2" applyFont="1" applyFill="1" applyBorder="1" applyAlignment="1">
      <alignment horizontal="right"/>
    </xf>
    <xf numFmtId="10" fontId="7" fillId="0" borderId="6" xfId="3" applyNumberFormat="1" applyFont="1" applyBorder="1"/>
    <xf numFmtId="44" fontId="7" fillId="0" borderId="6" xfId="2" applyFont="1" applyBorder="1"/>
    <xf numFmtId="0" fontId="7" fillId="0" borderId="6" xfId="0" applyFont="1" applyBorder="1"/>
    <xf numFmtId="0" fontId="6" fillId="0" borderId="0" xfId="0" applyFont="1"/>
    <xf numFmtId="165" fontId="6" fillId="0" borderId="0" xfId="1" applyNumberFormat="1" applyFont="1"/>
    <xf numFmtId="44" fontId="6" fillId="0" borderId="0" xfId="2" applyFont="1"/>
    <xf numFmtId="10" fontId="6" fillId="0" borderId="0" xfId="3" applyNumberFormat="1" applyFont="1"/>
    <xf numFmtId="44" fontId="6" fillId="0" borderId="0" xfId="1" applyNumberFormat="1" applyFont="1"/>
    <xf numFmtId="164" fontId="7" fillId="0" borderId="0" xfId="0" applyNumberFormat="1" applyFont="1"/>
    <xf numFmtId="164" fontId="6" fillId="0" borderId="0" xfId="1" applyNumberFormat="1" applyFont="1" applyFill="1"/>
    <xf numFmtId="43" fontId="7" fillId="0" borderId="0" xfId="0" applyNumberFormat="1" applyFont="1"/>
    <xf numFmtId="164" fontId="9" fillId="0" borderId="0" xfId="1" applyNumberFormat="1" applyFont="1" applyFill="1"/>
    <xf numFmtId="164" fontId="10" fillId="2" borderId="6" xfId="1" applyNumberFormat="1" applyFont="1" applyFill="1" applyBorder="1"/>
    <xf numFmtId="165" fontId="10" fillId="2" borderId="6" xfId="1" applyNumberFormat="1" applyFont="1" applyFill="1" applyBorder="1"/>
    <xf numFmtId="43" fontId="5" fillId="0" borderId="6" xfId="0" applyNumberFormat="1" applyFont="1" applyBorder="1" applyAlignment="1">
      <alignment horizontal="right"/>
    </xf>
    <xf numFmtId="0" fontId="11" fillId="0" borderId="9" xfId="0" applyFont="1" applyBorder="1" applyAlignment="1">
      <alignment horizontal="left" vertical="center"/>
    </xf>
    <xf numFmtId="164" fontId="9" fillId="0" borderId="0" xfId="1" applyNumberFormat="1" applyFont="1"/>
    <xf numFmtId="10" fontId="6" fillId="0" borderId="0" xfId="2" applyNumberFormat="1" applyFont="1"/>
    <xf numFmtId="164" fontId="6" fillId="0" borderId="0" xfId="0" applyNumberFormat="1" applyFont="1"/>
    <xf numFmtId="10" fontId="6" fillId="0" borderId="0" xfId="0" applyNumberFormat="1" applyFont="1"/>
    <xf numFmtId="44" fontId="6" fillId="0" borderId="0" xfId="0" applyNumberFormat="1" applyFont="1"/>
    <xf numFmtId="0" fontId="11" fillId="0" borderId="6" xfId="0" applyFont="1" applyFill="1" applyBorder="1" applyAlignment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2%20DSH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2022 DSH DATA"/>
      <sheetName val="COMBO"/>
      <sheetName val="ALLOCATIONS"/>
      <sheetName val="Cost UPL SFY21 Combine"/>
      <sheetName val="2021 Hospital Access Payments"/>
      <sheetName val="2021 CAH Payments"/>
      <sheetName val="assessment log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AA4D6-BAF3-44F2-B3CE-35F155E21B85}">
  <sheetPr>
    <pageSetUpPr fitToPage="1"/>
  </sheetPr>
  <dimension ref="A1:Q100"/>
  <sheetViews>
    <sheetView tabSelected="1" zoomScaleNormal="100" workbookViewId="0">
      <pane xSplit="4" ySplit="12" topLeftCell="G13" activePane="bottomRight" state="frozen"/>
      <selection pane="topRight" activeCell="E1" sqref="E1"/>
      <selection pane="bottomLeft" activeCell="A12" sqref="A12"/>
      <selection pane="bottomRight" activeCell="C103" sqref="C103"/>
    </sheetView>
  </sheetViews>
  <sheetFormatPr defaultColWidth="9" defaultRowHeight="12" x14ac:dyDescent="0.2"/>
  <cols>
    <col min="1" max="1" width="59" style="5" bestFit="1" customWidth="1"/>
    <col min="2" max="2" width="13.25" style="24" bestFit="1" customWidth="1"/>
    <col min="3" max="3" width="12.25" style="5" bestFit="1" customWidth="1"/>
    <col min="4" max="4" width="13.25" style="5" bestFit="1" customWidth="1"/>
    <col min="5" max="5" width="25.625" style="5" hidden="1" customWidth="1"/>
    <col min="6" max="6" width="17.5" style="5" hidden="1" customWidth="1"/>
    <col min="7" max="7" width="18.25" style="5" bestFit="1" customWidth="1"/>
    <col min="8" max="8" width="10.125" style="5" bestFit="1" customWidth="1"/>
    <col min="9" max="9" width="8.25" style="5" bestFit="1" customWidth="1"/>
    <col min="10" max="10" width="7.75" style="5" bestFit="1" customWidth="1"/>
    <col min="11" max="11" width="13.25" style="5" bestFit="1" customWidth="1"/>
    <col min="12" max="12" width="6" style="7" bestFit="1" customWidth="1"/>
    <col min="13" max="13" width="11.75" style="5" bestFit="1" customWidth="1"/>
    <col min="14" max="14" width="15.375" style="5" bestFit="1" customWidth="1"/>
    <col min="15" max="15" width="10" style="5" bestFit="1" customWidth="1"/>
    <col min="16" max="16" width="13.25" style="5" bestFit="1" customWidth="1"/>
    <col min="17" max="17" width="7" style="5" bestFit="1" customWidth="1"/>
    <col min="18" max="18" width="9" style="5"/>
    <col min="19" max="19" width="9.625" style="5" bestFit="1" customWidth="1"/>
    <col min="20" max="16384" width="9" style="5"/>
  </cols>
  <sheetData>
    <row r="1" spans="1:17" ht="42.75" customHeight="1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/>
      <c r="G1" s="6" t="s">
        <v>4</v>
      </c>
      <c r="K1" s="7"/>
      <c r="L1" s="5"/>
    </row>
    <row r="2" spans="1:17" ht="12.75" x14ac:dyDescent="0.2">
      <c r="A2" s="8" t="s">
        <v>5</v>
      </c>
      <c r="B2" s="9">
        <v>40701863</v>
      </c>
      <c r="C2" s="10">
        <v>3273248</v>
      </c>
      <c r="D2" s="9">
        <f>D6/((0.7451+0.7451+0.7451+0.7451)/4)</f>
        <v>20960892.221044157</v>
      </c>
      <c r="E2" s="11"/>
      <c r="F2" s="12"/>
      <c r="G2" s="13">
        <f>SUM(B2:F2)</f>
        <v>64936003.221044153</v>
      </c>
      <c r="H2" s="12"/>
      <c r="K2" s="7"/>
      <c r="L2" s="5"/>
    </row>
    <row r="3" spans="1:17" ht="12.75" x14ac:dyDescent="0.2">
      <c r="A3" s="14" t="s">
        <v>6</v>
      </c>
      <c r="B3" s="9">
        <f>B2*((0.2549+0.2549+0.2549+0.2549)/4)</f>
        <v>10374904.878700001</v>
      </c>
      <c r="C3" s="15">
        <v>0</v>
      </c>
      <c r="D3" s="16"/>
      <c r="E3" s="17"/>
      <c r="G3" s="13">
        <f>SUM(B3:F3)</f>
        <v>10374904.878700001</v>
      </c>
      <c r="H3" s="18"/>
      <c r="K3" s="7"/>
      <c r="L3" s="5"/>
    </row>
    <row r="4" spans="1:17" ht="12.75" x14ac:dyDescent="0.2">
      <c r="A4" s="14" t="s">
        <v>7</v>
      </c>
      <c r="B4" s="15">
        <v>0</v>
      </c>
      <c r="C4" s="9">
        <f>C2*((0.2549+0.2549+0.2549+0.2549)/4)</f>
        <v>834350.91520000005</v>
      </c>
      <c r="D4" s="16"/>
      <c r="E4" s="17"/>
      <c r="G4" s="13">
        <f>SUM(B4:F4)</f>
        <v>834350.91520000005</v>
      </c>
      <c r="H4" s="12"/>
      <c r="K4" s="7"/>
      <c r="L4" s="5"/>
    </row>
    <row r="5" spans="1:17" ht="12.75" x14ac:dyDescent="0.2">
      <c r="A5" s="14" t="s">
        <v>8</v>
      </c>
      <c r="B5" s="19"/>
      <c r="C5" s="19"/>
      <c r="D5" s="9">
        <f>D2*((0.2549+0.2549+0.2549+0.2549)/4)</f>
        <v>5342931.4271441558</v>
      </c>
      <c r="E5" s="17"/>
      <c r="G5" s="13">
        <f>SUM(B5:F5)</f>
        <v>5342931.4271441558</v>
      </c>
      <c r="K5" s="7"/>
      <c r="L5" s="5"/>
    </row>
    <row r="6" spans="1:17" ht="13.5" thickBot="1" x14ac:dyDescent="0.25">
      <c r="A6" s="20" t="s">
        <v>9</v>
      </c>
      <c r="B6" s="21">
        <f>B2*((0.7451+0.7451+0.7451+0.7451)/4)</f>
        <v>30326958.121300001</v>
      </c>
      <c r="C6" s="21">
        <f>C2*((0.7451+0.7451+0.7451+0.7451)/4)</f>
        <v>2438897.0847999998</v>
      </c>
      <c r="D6" s="21">
        <f>48383816-B6-C6</f>
        <v>15617960.7939</v>
      </c>
      <c r="E6" s="11"/>
      <c r="G6" s="22">
        <f>SUM(B6:D6)</f>
        <v>48383816</v>
      </c>
      <c r="H6" s="23"/>
      <c r="K6" s="7"/>
      <c r="L6" s="5"/>
    </row>
    <row r="7" spans="1:17" x14ac:dyDescent="0.2">
      <c r="D7" s="25"/>
      <c r="E7" s="25"/>
    </row>
    <row r="8" spans="1:17" s="28" customFormat="1" ht="12.75" x14ac:dyDescent="0.2">
      <c r="A8" s="26" t="s">
        <v>10</v>
      </c>
      <c r="B8" s="27">
        <f>B23+B42+B81</f>
        <v>8650</v>
      </c>
      <c r="L8" s="29"/>
    </row>
    <row r="9" spans="1:17" s="28" customFormat="1" ht="12.75" x14ac:dyDescent="0.2">
      <c r="A9" s="26" t="s">
        <v>11</v>
      </c>
      <c r="B9" s="27">
        <f>H23+H42+H81</f>
        <v>344993</v>
      </c>
      <c r="D9" s="30"/>
      <c r="L9" s="29"/>
    </row>
    <row r="10" spans="1:17" s="28" customFormat="1" ht="12.75" x14ac:dyDescent="0.2">
      <c r="A10" s="26" t="s">
        <v>12</v>
      </c>
      <c r="B10" s="27">
        <f>H42+H81</f>
        <v>69670</v>
      </c>
      <c r="L10" s="29"/>
    </row>
    <row r="11" spans="1:17" s="28" customFormat="1" ht="12.75" x14ac:dyDescent="0.2">
      <c r="B11" s="31"/>
      <c r="L11" s="29"/>
    </row>
    <row r="12" spans="1:17" s="39" customFormat="1" ht="102" x14ac:dyDescent="0.2">
      <c r="A12" s="32" t="s">
        <v>13</v>
      </c>
      <c r="B12" s="33" t="s">
        <v>14</v>
      </c>
      <c r="C12" s="34" t="s">
        <v>15</v>
      </c>
      <c r="D12" s="32" t="s">
        <v>16</v>
      </c>
      <c r="E12" s="32" t="s">
        <v>17</v>
      </c>
      <c r="F12" s="32" t="s">
        <v>17</v>
      </c>
      <c r="G12" s="32" t="s">
        <v>18</v>
      </c>
      <c r="H12" s="35" t="s">
        <v>19</v>
      </c>
      <c r="I12" s="36" t="s">
        <v>20</v>
      </c>
      <c r="J12" s="37" t="s">
        <v>21</v>
      </c>
      <c r="K12" s="36" t="s">
        <v>22</v>
      </c>
      <c r="L12" s="38" t="s">
        <v>23</v>
      </c>
      <c r="M12" s="33" t="s">
        <v>24</v>
      </c>
      <c r="N12" s="34" t="s">
        <v>25</v>
      </c>
      <c r="O12" s="34" t="s">
        <v>26</v>
      </c>
      <c r="P12" s="33" t="s">
        <v>27</v>
      </c>
      <c r="Q12" s="33" t="s">
        <v>28</v>
      </c>
    </row>
    <row r="13" spans="1:17" s="47" customFormat="1" ht="12.75" x14ac:dyDescent="0.2">
      <c r="A13" s="40" t="s">
        <v>29</v>
      </c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3"/>
      <c r="M13" s="42"/>
      <c r="N13" s="44"/>
      <c r="O13" s="42"/>
      <c r="P13" s="45"/>
      <c r="Q13" s="46"/>
    </row>
    <row r="14" spans="1:17" s="28" customFormat="1" ht="12.75" x14ac:dyDescent="0.2">
      <c r="A14" s="48" t="s">
        <v>30</v>
      </c>
      <c r="B14" s="49">
        <v>626</v>
      </c>
      <c r="C14" s="49">
        <v>2</v>
      </c>
      <c r="D14" s="48" t="s">
        <v>31</v>
      </c>
      <c r="E14" s="49"/>
      <c r="F14" s="49"/>
      <c r="G14" s="49" t="s">
        <v>206</v>
      </c>
      <c r="H14" s="50">
        <v>37789</v>
      </c>
      <c r="I14" s="50">
        <v>127938</v>
      </c>
      <c r="J14" s="51">
        <v>0.39016554893776673</v>
      </c>
      <c r="K14" s="52">
        <v>1492697289.2499928</v>
      </c>
      <c r="L14" s="53">
        <v>0.14510000000000001</v>
      </c>
      <c r="M14" s="52">
        <v>16786219.321870781</v>
      </c>
      <c r="N14" s="54">
        <f t="shared" ref="N14:N22" si="0">L14*K14</f>
        <v>216590376.67017397</v>
      </c>
      <c r="O14" s="55">
        <f t="shared" ref="O14:O22" si="1">N14/$N$23</f>
        <v>0.17674257518254977</v>
      </c>
      <c r="P14" s="56">
        <f>ROUND(O14*($B$26+$B$27),0)</f>
        <v>4891019</v>
      </c>
      <c r="Q14" s="57">
        <f t="shared" ref="Q14:Q22" si="2">+IF(P14&gt;M14,1,0)</f>
        <v>0</v>
      </c>
    </row>
    <row r="15" spans="1:17" s="28" customFormat="1" ht="12.75" x14ac:dyDescent="0.2">
      <c r="A15" s="48" t="s">
        <v>32</v>
      </c>
      <c r="B15" s="49">
        <v>892</v>
      </c>
      <c r="C15" s="49">
        <v>2</v>
      </c>
      <c r="D15" s="48" t="s">
        <v>33</v>
      </c>
      <c r="E15" s="49"/>
      <c r="F15" s="49"/>
      <c r="G15" s="49" t="s">
        <v>207</v>
      </c>
      <c r="H15" s="50">
        <v>60541</v>
      </c>
      <c r="I15" s="50">
        <v>191630</v>
      </c>
      <c r="J15" s="51">
        <v>0.3703282367061525</v>
      </c>
      <c r="K15" s="52">
        <v>1153350712</v>
      </c>
      <c r="L15" s="53">
        <v>0.16220000000000001</v>
      </c>
      <c r="M15" s="52">
        <v>32021564.4216308</v>
      </c>
      <c r="N15" s="54">
        <f t="shared" si="0"/>
        <v>187073485.48640001</v>
      </c>
      <c r="O15" s="55">
        <f t="shared" si="1"/>
        <v>0.152656134042334</v>
      </c>
      <c r="P15" s="56">
        <f t="shared" ref="P15:P22" si="3">ROUND(O15*($B$26+$B$27),0)</f>
        <v>4224472</v>
      </c>
      <c r="Q15" s="57">
        <f t="shared" si="2"/>
        <v>0</v>
      </c>
    </row>
    <row r="16" spans="1:17" s="28" customFormat="1" ht="12.75" x14ac:dyDescent="0.2">
      <c r="A16" s="48" t="s">
        <v>34</v>
      </c>
      <c r="B16" s="49">
        <v>334</v>
      </c>
      <c r="C16" s="49">
        <v>2</v>
      </c>
      <c r="D16" s="48" t="s">
        <v>35</v>
      </c>
      <c r="E16" s="49"/>
      <c r="F16" s="49"/>
      <c r="G16" s="49" t="s">
        <v>208</v>
      </c>
      <c r="H16" s="50">
        <v>10482</v>
      </c>
      <c r="I16" s="50">
        <v>66594</v>
      </c>
      <c r="J16" s="51">
        <v>0.24129801483617141</v>
      </c>
      <c r="K16" s="52">
        <v>508462765</v>
      </c>
      <c r="L16" s="53">
        <v>0.14990000000000001</v>
      </c>
      <c r="M16" s="52">
        <v>21836346.002976254</v>
      </c>
      <c r="N16" s="54">
        <f t="shared" si="0"/>
        <v>76218568.473499998</v>
      </c>
      <c r="O16" s="55">
        <f t="shared" si="1"/>
        <v>6.2196050793372815E-2</v>
      </c>
      <c r="P16" s="56">
        <f t="shared" si="3"/>
        <v>1721159</v>
      </c>
      <c r="Q16" s="57">
        <f t="shared" si="2"/>
        <v>0</v>
      </c>
    </row>
    <row r="17" spans="1:17" s="28" customFormat="1" ht="12.75" x14ac:dyDescent="0.2">
      <c r="A17" s="48" t="s">
        <v>36</v>
      </c>
      <c r="B17" s="49">
        <v>385</v>
      </c>
      <c r="C17" s="49">
        <v>2</v>
      </c>
      <c r="D17" s="48" t="s">
        <v>37</v>
      </c>
      <c r="E17" s="49"/>
      <c r="F17" s="49"/>
      <c r="G17" s="49" t="s">
        <v>209</v>
      </c>
      <c r="H17" s="50">
        <v>12341</v>
      </c>
      <c r="I17" s="50">
        <v>81190</v>
      </c>
      <c r="J17" s="51">
        <v>0.2243872398078581</v>
      </c>
      <c r="K17" s="52">
        <v>355156578</v>
      </c>
      <c r="L17" s="53">
        <v>0.20680000000000001</v>
      </c>
      <c r="M17" s="52">
        <v>13399487.060945241</v>
      </c>
      <c r="N17" s="54">
        <f t="shared" si="0"/>
        <v>73446380.330400005</v>
      </c>
      <c r="O17" s="55">
        <f t="shared" si="1"/>
        <v>5.9933883476271071E-2</v>
      </c>
      <c r="P17" s="56">
        <f t="shared" si="3"/>
        <v>1658558</v>
      </c>
      <c r="Q17" s="57">
        <f t="shared" si="2"/>
        <v>0</v>
      </c>
    </row>
    <row r="18" spans="1:17" s="28" customFormat="1" ht="12.75" x14ac:dyDescent="0.2">
      <c r="A18" s="48" t="s">
        <v>38</v>
      </c>
      <c r="B18" s="49">
        <v>387</v>
      </c>
      <c r="C18" s="49">
        <v>2</v>
      </c>
      <c r="D18" s="48" t="s">
        <v>39</v>
      </c>
      <c r="E18" s="49"/>
      <c r="F18" s="49"/>
      <c r="G18" s="49" t="s">
        <v>210</v>
      </c>
      <c r="H18" s="50">
        <v>12952</v>
      </c>
      <c r="I18" s="50">
        <v>76157</v>
      </c>
      <c r="J18" s="51">
        <v>0.23467310949748546</v>
      </c>
      <c r="K18" s="52">
        <v>571048311</v>
      </c>
      <c r="L18" s="53">
        <v>0.15640000000000001</v>
      </c>
      <c r="M18" s="52">
        <v>16341582.525835723</v>
      </c>
      <c r="N18" s="54">
        <f t="shared" si="0"/>
        <v>89311955.84040001</v>
      </c>
      <c r="O18" s="55">
        <f t="shared" si="1"/>
        <v>7.2880546737588273E-2</v>
      </c>
      <c r="P18" s="56">
        <f t="shared" si="3"/>
        <v>2016833</v>
      </c>
      <c r="Q18" s="57">
        <f t="shared" si="2"/>
        <v>0</v>
      </c>
    </row>
    <row r="19" spans="1:17" s="28" customFormat="1" ht="12.75" x14ac:dyDescent="0.2">
      <c r="A19" s="48" t="s">
        <v>40</v>
      </c>
      <c r="B19" s="49">
        <v>1088</v>
      </c>
      <c r="C19" s="49">
        <v>2</v>
      </c>
      <c r="D19" s="48" t="s">
        <v>41</v>
      </c>
      <c r="E19" s="49"/>
      <c r="F19" s="49"/>
      <c r="G19" s="49" t="s">
        <v>211</v>
      </c>
      <c r="H19" s="50">
        <v>54526</v>
      </c>
      <c r="I19" s="50">
        <v>251002</v>
      </c>
      <c r="J19" s="51">
        <v>0.30557127034844345</v>
      </c>
      <c r="K19" s="52">
        <v>1164901386</v>
      </c>
      <c r="L19" s="53">
        <v>0.21079999999999999</v>
      </c>
      <c r="M19" s="52">
        <v>4328322.1175087243</v>
      </c>
      <c r="N19" s="54">
        <f t="shared" si="0"/>
        <v>245561212.1688</v>
      </c>
      <c r="O19" s="55">
        <f t="shared" si="1"/>
        <v>0.2003834227120527</v>
      </c>
      <c r="P19" s="56">
        <v>4328322</v>
      </c>
      <c r="Q19" s="57">
        <f t="shared" si="2"/>
        <v>0</v>
      </c>
    </row>
    <row r="20" spans="1:17" s="28" customFormat="1" ht="12.75" x14ac:dyDescent="0.2">
      <c r="A20" s="48" t="s">
        <v>42</v>
      </c>
      <c r="B20" s="49">
        <v>320</v>
      </c>
      <c r="C20" s="49">
        <v>2</v>
      </c>
      <c r="D20" s="48" t="s">
        <v>43</v>
      </c>
      <c r="E20" s="49"/>
      <c r="F20" s="49"/>
      <c r="G20" s="49" t="s">
        <v>212</v>
      </c>
      <c r="H20" s="50">
        <v>8547</v>
      </c>
      <c r="I20" s="50">
        <v>50240</v>
      </c>
      <c r="J20" s="51">
        <v>0.38684315286624205</v>
      </c>
      <c r="K20" s="52">
        <v>274666893</v>
      </c>
      <c r="L20" s="53">
        <v>0.21110000000000001</v>
      </c>
      <c r="M20" s="52">
        <v>4505903.8049344718</v>
      </c>
      <c r="N20" s="54">
        <f t="shared" si="0"/>
        <v>57982181.112300001</v>
      </c>
      <c r="O20" s="55">
        <f t="shared" si="1"/>
        <v>4.7314752215859235E-2</v>
      </c>
      <c r="P20" s="56">
        <f t="shared" si="3"/>
        <v>1309347</v>
      </c>
      <c r="Q20" s="57">
        <f t="shared" si="2"/>
        <v>0</v>
      </c>
    </row>
    <row r="21" spans="1:17" s="28" customFormat="1" ht="12.75" x14ac:dyDescent="0.2">
      <c r="A21" s="48" t="s">
        <v>44</v>
      </c>
      <c r="B21" s="49">
        <v>773</v>
      </c>
      <c r="C21" s="49">
        <v>2</v>
      </c>
      <c r="D21" s="48" t="s">
        <v>45</v>
      </c>
      <c r="E21" s="49"/>
      <c r="F21" s="49"/>
      <c r="G21" s="49" t="s">
        <v>213</v>
      </c>
      <c r="H21" s="50">
        <v>58937</v>
      </c>
      <c r="I21" s="50">
        <v>150449</v>
      </c>
      <c r="J21" s="51">
        <v>0.46092695863714617</v>
      </c>
      <c r="K21" s="52">
        <v>822491476</v>
      </c>
      <c r="L21" s="53">
        <v>0.1711</v>
      </c>
      <c r="M21" s="52">
        <v>10910381.300648451</v>
      </c>
      <c r="N21" s="54">
        <f t="shared" si="0"/>
        <v>140728291.54359999</v>
      </c>
      <c r="O21" s="55">
        <f t="shared" si="1"/>
        <v>0.11483742274631561</v>
      </c>
      <c r="P21" s="56">
        <f t="shared" si="3"/>
        <v>3177910</v>
      </c>
      <c r="Q21" s="57">
        <f t="shared" si="2"/>
        <v>0</v>
      </c>
    </row>
    <row r="22" spans="1:17" s="28" customFormat="1" ht="12.75" x14ac:dyDescent="0.2">
      <c r="A22" s="48" t="s">
        <v>46</v>
      </c>
      <c r="B22" s="49">
        <v>677</v>
      </c>
      <c r="C22" s="49">
        <v>2</v>
      </c>
      <c r="D22" s="48" t="s">
        <v>47</v>
      </c>
      <c r="E22" s="49"/>
      <c r="F22" s="49"/>
      <c r="G22" s="49" t="s">
        <v>214</v>
      </c>
      <c r="H22" s="50">
        <v>19208</v>
      </c>
      <c r="I22" s="50">
        <v>149282</v>
      </c>
      <c r="J22" s="51">
        <v>0.23011481625380154</v>
      </c>
      <c r="K22" s="52">
        <v>571552267</v>
      </c>
      <c r="L22" s="53">
        <v>0.2424</v>
      </c>
      <c r="M22" s="52">
        <v>19298211.849049289</v>
      </c>
      <c r="N22" s="54">
        <f t="shared" si="0"/>
        <v>138544269.52079999</v>
      </c>
      <c r="O22" s="55">
        <f t="shared" si="1"/>
        <v>0.11305521209365632</v>
      </c>
      <c r="P22" s="56">
        <f t="shared" si="3"/>
        <v>3128591</v>
      </c>
      <c r="Q22" s="57">
        <f t="shared" si="2"/>
        <v>0</v>
      </c>
    </row>
    <row r="23" spans="1:17" s="58" customFormat="1" ht="12.75" x14ac:dyDescent="0.2">
      <c r="A23" s="26" t="s">
        <v>48</v>
      </c>
      <c r="B23" s="27">
        <f>SUM(B14:B22)</f>
        <v>5482</v>
      </c>
      <c r="H23" s="27">
        <f>SUM(H14:H22)</f>
        <v>275323</v>
      </c>
      <c r="I23" s="27"/>
      <c r="K23" s="27"/>
      <c r="L23" s="59"/>
      <c r="M23" s="27"/>
      <c r="N23" s="60">
        <f>SUM(N14:N22)</f>
        <v>1225456721.1463742</v>
      </c>
      <c r="O23" s="61">
        <f>SUM(O14:O22)</f>
        <v>0.99999999999999978</v>
      </c>
      <c r="P23" s="62">
        <f>SUM(P14:P22)</f>
        <v>26456211</v>
      </c>
    </row>
    <row r="24" spans="1:17" s="28" customFormat="1" ht="12.75" x14ac:dyDescent="0.2">
      <c r="A24" s="26" t="s">
        <v>49</v>
      </c>
      <c r="B24" s="61">
        <f>IF(H23/B9&gt;65%,65%,H23/B9)</f>
        <v>0.65</v>
      </c>
      <c r="L24" s="29"/>
      <c r="P24" s="30">
        <f>P23-B26</f>
        <v>0</v>
      </c>
    </row>
    <row r="25" spans="1:17" s="28" customFormat="1" ht="12.75" x14ac:dyDescent="0.2">
      <c r="A25" s="26" t="s">
        <v>50</v>
      </c>
      <c r="B25" s="27">
        <f>COUNT(B14:B22)</f>
        <v>9</v>
      </c>
      <c r="L25" s="29"/>
      <c r="P25" s="63" t="s">
        <v>51</v>
      </c>
    </row>
    <row r="26" spans="1:17" s="28" customFormat="1" ht="12.75" x14ac:dyDescent="0.2">
      <c r="A26" s="26" t="s">
        <v>52</v>
      </c>
      <c r="B26" s="64">
        <f>ROUND(B24*B2,0)</f>
        <v>26456211</v>
      </c>
      <c r="L26" s="29"/>
      <c r="M26" s="65"/>
    </row>
    <row r="27" spans="1:17" s="28" customFormat="1" ht="12.75" x14ac:dyDescent="0.2">
      <c r="A27" s="26" t="s">
        <v>53</v>
      </c>
      <c r="B27" s="66">
        <f>973064+194985+39072+7829+1571+314+64+12+3.5</f>
        <v>1216914.5</v>
      </c>
      <c r="L27" s="29"/>
    </row>
    <row r="28" spans="1:17" s="28" customFormat="1" ht="12.75" x14ac:dyDescent="0.2">
      <c r="B28" s="31"/>
      <c r="L28" s="29"/>
    </row>
    <row r="29" spans="1:17" s="47" customFormat="1" ht="12.75" x14ac:dyDescent="0.2">
      <c r="A29" s="40" t="s">
        <v>54</v>
      </c>
      <c r="B29" s="67"/>
      <c r="C29" s="45"/>
      <c r="D29" s="45"/>
      <c r="E29" s="45"/>
      <c r="F29" s="45"/>
      <c r="G29" s="45"/>
      <c r="H29" s="45"/>
      <c r="I29" s="45"/>
      <c r="J29" s="45"/>
      <c r="K29" s="45"/>
      <c r="L29" s="68"/>
      <c r="M29" s="45"/>
      <c r="N29" s="45"/>
      <c r="O29" s="45"/>
      <c r="P29" s="45"/>
      <c r="Q29" s="45"/>
    </row>
    <row r="30" spans="1:17" s="28" customFormat="1" ht="12.75" x14ac:dyDescent="0.2">
      <c r="A30" s="48" t="s">
        <v>55</v>
      </c>
      <c r="B30" s="49">
        <v>180</v>
      </c>
      <c r="C30" s="49">
        <v>2</v>
      </c>
      <c r="D30" s="48" t="s">
        <v>56</v>
      </c>
      <c r="E30" s="49"/>
      <c r="F30" s="49"/>
      <c r="G30" s="49" t="s">
        <v>195</v>
      </c>
      <c r="H30" s="50">
        <v>8587</v>
      </c>
      <c r="I30" s="50">
        <v>43553</v>
      </c>
      <c r="J30" s="51">
        <v>0.27274814593713409</v>
      </c>
      <c r="K30" s="52">
        <v>510280301.36999929</v>
      </c>
      <c r="L30" s="53">
        <v>0.16300000000000001</v>
      </c>
      <c r="M30" s="52">
        <v>2783247.7610637303</v>
      </c>
      <c r="N30" s="69">
        <f t="shared" ref="N30:N41" si="4">L30*K30</f>
        <v>83175689.12330988</v>
      </c>
      <c r="O30" s="55">
        <f t="shared" ref="O30:O41" si="5">N30/$N$42</f>
        <v>0.23156421877784988</v>
      </c>
      <c r="P30" s="56">
        <f>ROUND(O30*($B$45+$B$46),0)</f>
        <v>2301525</v>
      </c>
      <c r="Q30" s="57">
        <f t="shared" ref="Q30:Q41" si="6">+IF(P30&gt;M30,1,0)</f>
        <v>0</v>
      </c>
    </row>
    <row r="31" spans="1:17" s="28" customFormat="1" ht="12.75" x14ac:dyDescent="0.2">
      <c r="A31" s="48" t="s">
        <v>57</v>
      </c>
      <c r="B31" s="49">
        <v>138</v>
      </c>
      <c r="C31" s="49">
        <v>2</v>
      </c>
      <c r="D31" s="48" t="s">
        <v>58</v>
      </c>
      <c r="E31" s="49"/>
      <c r="F31" s="49"/>
      <c r="G31" s="49" t="s">
        <v>196</v>
      </c>
      <c r="H31" s="50">
        <v>5077</v>
      </c>
      <c r="I31" s="50">
        <v>20792</v>
      </c>
      <c r="J31" s="51">
        <v>0.43290688726433246</v>
      </c>
      <c r="K31" s="52">
        <v>488817184</v>
      </c>
      <c r="L31" s="53">
        <v>6.4399999999999999E-2</v>
      </c>
      <c r="M31" s="52">
        <v>1660752.7529578106</v>
      </c>
      <c r="N31" s="69">
        <f t="shared" si="4"/>
        <v>31479826.649599999</v>
      </c>
      <c r="O31" s="55">
        <f t="shared" si="5"/>
        <v>8.7641010759403032E-2</v>
      </c>
      <c r="P31" s="56">
        <f t="shared" ref="P31:P41" si="7">ROUND(O31*($B$45+$B$46),0)</f>
        <v>871067</v>
      </c>
      <c r="Q31" s="57">
        <f t="shared" si="6"/>
        <v>0</v>
      </c>
    </row>
    <row r="32" spans="1:17" s="28" customFormat="1" ht="12.75" x14ac:dyDescent="0.2">
      <c r="A32" s="70" t="s">
        <v>59</v>
      </c>
      <c r="B32" s="49">
        <v>140</v>
      </c>
      <c r="C32" s="49">
        <v>2</v>
      </c>
      <c r="D32" s="48" t="s">
        <v>60</v>
      </c>
      <c r="E32" s="49"/>
      <c r="F32" s="49"/>
      <c r="G32" s="49" t="s">
        <v>197</v>
      </c>
      <c r="H32" s="50">
        <v>2215</v>
      </c>
      <c r="I32" s="50">
        <v>8670</v>
      </c>
      <c r="J32" s="51">
        <v>0.34775086505190311</v>
      </c>
      <c r="K32" s="52">
        <v>98817219.560000002</v>
      </c>
      <c r="L32" s="53">
        <v>0.14399999999999999</v>
      </c>
      <c r="M32" s="52">
        <v>1379862.7196298512</v>
      </c>
      <c r="N32" s="69">
        <f t="shared" si="4"/>
        <v>14229679.61664</v>
      </c>
      <c r="O32" s="55">
        <f t="shared" si="5"/>
        <v>3.9615958444315341E-2</v>
      </c>
      <c r="P32" s="56">
        <f t="shared" si="7"/>
        <v>393744</v>
      </c>
      <c r="Q32" s="57">
        <f t="shared" si="6"/>
        <v>0</v>
      </c>
    </row>
    <row r="33" spans="1:17" s="28" customFormat="1" ht="12.75" x14ac:dyDescent="0.2">
      <c r="A33" s="48" t="s">
        <v>61</v>
      </c>
      <c r="B33" s="49">
        <v>110</v>
      </c>
      <c r="C33" s="49">
        <v>2</v>
      </c>
      <c r="D33" s="48" t="s">
        <v>62</v>
      </c>
      <c r="E33" s="49"/>
      <c r="F33" s="49"/>
      <c r="G33" s="49" t="s">
        <v>198</v>
      </c>
      <c r="H33" s="50">
        <v>2354</v>
      </c>
      <c r="I33" s="50">
        <v>17662</v>
      </c>
      <c r="J33" s="51">
        <v>0.25937039972823012</v>
      </c>
      <c r="K33" s="52">
        <v>109337573</v>
      </c>
      <c r="L33" s="53">
        <v>0.19639999999999999</v>
      </c>
      <c r="M33" s="52">
        <v>3720448.6905496269</v>
      </c>
      <c r="N33" s="69">
        <f t="shared" si="4"/>
        <v>21473899.337200001</v>
      </c>
      <c r="O33" s="55">
        <f t="shared" si="5"/>
        <v>5.9784136164606122E-2</v>
      </c>
      <c r="P33" s="56">
        <f t="shared" si="7"/>
        <v>594197</v>
      </c>
      <c r="Q33" s="57">
        <f t="shared" si="6"/>
        <v>0</v>
      </c>
    </row>
    <row r="34" spans="1:17" s="28" customFormat="1" ht="12.75" x14ac:dyDescent="0.2">
      <c r="A34" s="48" t="s">
        <v>63</v>
      </c>
      <c r="B34" s="49">
        <v>183</v>
      </c>
      <c r="C34" s="49">
        <v>2</v>
      </c>
      <c r="D34" s="48" t="s">
        <v>64</v>
      </c>
      <c r="E34" s="49"/>
      <c r="F34" s="49"/>
      <c r="G34" s="49" t="s">
        <v>199</v>
      </c>
      <c r="H34" s="50">
        <v>12334</v>
      </c>
      <c r="I34" s="50">
        <v>21768</v>
      </c>
      <c r="J34" s="51">
        <v>0.60010106578463795</v>
      </c>
      <c r="K34" s="52">
        <v>126595680.59999999</v>
      </c>
      <c r="L34" s="53">
        <v>0.17549999999999999</v>
      </c>
      <c r="M34" s="52">
        <v>5027632.2009344883</v>
      </c>
      <c r="N34" s="69">
        <f t="shared" si="4"/>
        <v>22217541.945299998</v>
      </c>
      <c r="O34" s="55">
        <f t="shared" si="5"/>
        <v>6.1854464903804265E-2</v>
      </c>
      <c r="P34" s="56">
        <f t="shared" si="7"/>
        <v>614774</v>
      </c>
      <c r="Q34" s="57">
        <f t="shared" si="6"/>
        <v>0</v>
      </c>
    </row>
    <row r="35" spans="1:17" s="28" customFormat="1" ht="12.75" x14ac:dyDescent="0.2">
      <c r="A35" s="48" t="s">
        <v>65</v>
      </c>
      <c r="B35" s="49">
        <v>117</v>
      </c>
      <c r="C35" s="49">
        <v>2</v>
      </c>
      <c r="D35" s="48" t="s">
        <v>66</v>
      </c>
      <c r="E35" s="49"/>
      <c r="F35" s="49"/>
      <c r="G35" s="49" t="s">
        <v>200</v>
      </c>
      <c r="H35" s="50">
        <v>1211</v>
      </c>
      <c r="I35" s="50">
        <v>4805</v>
      </c>
      <c r="J35" s="51">
        <v>0.36774193548387096</v>
      </c>
      <c r="K35" s="52">
        <v>56875959.379999995</v>
      </c>
      <c r="L35" s="53">
        <v>0.21929999999999999</v>
      </c>
      <c r="M35" s="52">
        <v>3389825.7360155475</v>
      </c>
      <c r="N35" s="69">
        <f t="shared" si="4"/>
        <v>12472897.892033998</v>
      </c>
      <c r="O35" s="55">
        <f t="shared" si="5"/>
        <v>3.4725012641407829E-2</v>
      </c>
      <c r="P35" s="56">
        <f t="shared" si="7"/>
        <v>345133</v>
      </c>
      <c r="Q35" s="57">
        <f t="shared" si="6"/>
        <v>0</v>
      </c>
    </row>
    <row r="36" spans="1:17" s="28" customFormat="1" ht="12.75" x14ac:dyDescent="0.2">
      <c r="A36" s="48" t="s">
        <v>67</v>
      </c>
      <c r="B36" s="49">
        <v>133</v>
      </c>
      <c r="C36" s="49">
        <v>2</v>
      </c>
      <c r="D36" s="48" t="s">
        <v>68</v>
      </c>
      <c r="E36" s="49"/>
      <c r="F36" s="49"/>
      <c r="G36" s="49" t="s">
        <v>201</v>
      </c>
      <c r="H36" s="50">
        <v>1786</v>
      </c>
      <c r="I36" s="50">
        <v>17133</v>
      </c>
      <c r="J36" s="51">
        <v>0.21443996964921497</v>
      </c>
      <c r="K36" s="52">
        <v>98068373</v>
      </c>
      <c r="L36" s="53">
        <v>0.23499999999999999</v>
      </c>
      <c r="M36" s="52">
        <v>2198746.2026560977</v>
      </c>
      <c r="N36" s="69">
        <f t="shared" si="4"/>
        <v>23046067.654999997</v>
      </c>
      <c r="O36" s="55">
        <f t="shared" si="5"/>
        <v>6.4161111361756798E-2</v>
      </c>
      <c r="P36" s="56">
        <f t="shared" si="7"/>
        <v>637700</v>
      </c>
      <c r="Q36" s="57">
        <f t="shared" si="6"/>
        <v>0</v>
      </c>
    </row>
    <row r="37" spans="1:17" s="28" customFormat="1" ht="12.75" x14ac:dyDescent="0.2">
      <c r="A37" s="48" t="s">
        <v>69</v>
      </c>
      <c r="B37" s="49">
        <v>144</v>
      </c>
      <c r="C37" s="49">
        <v>2</v>
      </c>
      <c r="D37" s="48" t="s">
        <v>70</v>
      </c>
      <c r="E37" s="49"/>
      <c r="F37" s="49"/>
      <c r="G37" s="49" t="s">
        <v>184</v>
      </c>
      <c r="H37" s="50">
        <v>2431</v>
      </c>
      <c r="I37" s="50">
        <v>14626</v>
      </c>
      <c r="J37" s="51">
        <v>0.36482975523041161</v>
      </c>
      <c r="K37" s="52">
        <v>107278578</v>
      </c>
      <c r="L37" s="53">
        <v>0.26629999999999998</v>
      </c>
      <c r="M37" s="52">
        <v>4324210.1801026957</v>
      </c>
      <c r="N37" s="69">
        <f t="shared" si="4"/>
        <v>28568285.321399998</v>
      </c>
      <c r="O37" s="55">
        <f t="shared" si="5"/>
        <v>7.9535171178025749E-2</v>
      </c>
      <c r="P37" s="56">
        <f t="shared" si="7"/>
        <v>790503</v>
      </c>
      <c r="Q37" s="57">
        <f t="shared" si="6"/>
        <v>0</v>
      </c>
    </row>
    <row r="38" spans="1:17" s="28" customFormat="1" ht="12.75" x14ac:dyDescent="0.2">
      <c r="A38" s="48" t="s">
        <v>71</v>
      </c>
      <c r="B38" s="49">
        <v>190</v>
      </c>
      <c r="C38" s="49">
        <v>2</v>
      </c>
      <c r="D38" s="48" t="s">
        <v>72</v>
      </c>
      <c r="E38" s="49"/>
      <c r="F38" s="49"/>
      <c r="G38" s="49" t="s">
        <v>202</v>
      </c>
      <c r="H38" s="50">
        <v>3229</v>
      </c>
      <c r="I38" s="50">
        <v>27803</v>
      </c>
      <c r="J38" s="51">
        <v>0.29734201345178579</v>
      </c>
      <c r="K38" s="52">
        <v>196095400</v>
      </c>
      <c r="L38" s="53">
        <v>0.22589999999999999</v>
      </c>
      <c r="M38" s="52">
        <v>7723969.0918403864</v>
      </c>
      <c r="N38" s="69">
        <f t="shared" si="4"/>
        <v>44297950.859999999</v>
      </c>
      <c r="O38" s="55">
        <f t="shared" si="5"/>
        <v>0.12332714633897444</v>
      </c>
      <c r="P38" s="56">
        <f t="shared" si="7"/>
        <v>1225753</v>
      </c>
      <c r="Q38" s="57">
        <f t="shared" si="6"/>
        <v>0</v>
      </c>
    </row>
    <row r="39" spans="1:17" s="28" customFormat="1" ht="12.75" x14ac:dyDescent="0.2">
      <c r="A39" s="48" t="s">
        <v>73</v>
      </c>
      <c r="B39" s="49">
        <v>104</v>
      </c>
      <c r="C39" s="49">
        <v>2</v>
      </c>
      <c r="D39" s="48" t="s">
        <v>74</v>
      </c>
      <c r="E39" s="49"/>
      <c r="F39" s="49"/>
      <c r="G39" s="49" t="s">
        <v>203</v>
      </c>
      <c r="H39" s="50">
        <v>3548</v>
      </c>
      <c r="I39" s="50">
        <v>22621</v>
      </c>
      <c r="J39" s="51">
        <v>0.24760178595110738</v>
      </c>
      <c r="K39" s="52">
        <v>124869706</v>
      </c>
      <c r="L39" s="53">
        <v>0.18870000000000001</v>
      </c>
      <c r="M39" s="52">
        <v>2021827.1630945988</v>
      </c>
      <c r="N39" s="69">
        <f t="shared" si="4"/>
        <v>23562913.5222</v>
      </c>
      <c r="O39" s="55">
        <f t="shared" si="5"/>
        <v>6.560002952075511E-2</v>
      </c>
      <c r="P39" s="56">
        <f t="shared" si="7"/>
        <v>652001</v>
      </c>
      <c r="Q39" s="57">
        <f t="shared" si="6"/>
        <v>0</v>
      </c>
    </row>
    <row r="40" spans="1:17" s="28" customFormat="1" ht="12.75" x14ac:dyDescent="0.2">
      <c r="A40" s="48" t="s">
        <v>75</v>
      </c>
      <c r="B40" s="49">
        <v>229</v>
      </c>
      <c r="C40" s="49">
        <v>2</v>
      </c>
      <c r="D40" s="48" t="s">
        <v>76</v>
      </c>
      <c r="E40" s="49"/>
      <c r="F40" s="49"/>
      <c r="G40" s="49" t="s">
        <v>204</v>
      </c>
      <c r="H40" s="50">
        <v>2717</v>
      </c>
      <c r="I40" s="50">
        <v>22181</v>
      </c>
      <c r="J40" s="51">
        <v>0.22036878409449528</v>
      </c>
      <c r="K40" s="52">
        <v>123588892</v>
      </c>
      <c r="L40" s="53">
        <v>0.14199999999999999</v>
      </c>
      <c r="M40" s="52">
        <v>2897553.3777050404</v>
      </c>
      <c r="N40" s="69">
        <f t="shared" si="4"/>
        <v>17549622.663999997</v>
      </c>
      <c r="O40" s="55">
        <f t="shared" si="5"/>
        <v>4.8858803634442206E-2</v>
      </c>
      <c r="P40" s="56">
        <f t="shared" si="7"/>
        <v>485609</v>
      </c>
      <c r="Q40" s="57">
        <f t="shared" si="6"/>
        <v>0</v>
      </c>
    </row>
    <row r="41" spans="1:17" s="28" customFormat="1" ht="12.75" x14ac:dyDescent="0.2">
      <c r="A41" s="48" t="s">
        <v>77</v>
      </c>
      <c r="B41" s="49">
        <v>117</v>
      </c>
      <c r="C41" s="49">
        <v>2</v>
      </c>
      <c r="D41" s="48" t="s">
        <v>78</v>
      </c>
      <c r="E41" s="49"/>
      <c r="F41" s="49"/>
      <c r="G41" s="49" t="s">
        <v>205</v>
      </c>
      <c r="H41" s="50">
        <v>3119</v>
      </c>
      <c r="I41" s="50">
        <v>18467</v>
      </c>
      <c r="J41" s="51">
        <v>0.30827963394162561</v>
      </c>
      <c r="K41" s="52">
        <v>160398525</v>
      </c>
      <c r="L41" s="53">
        <v>0.23139999999999999</v>
      </c>
      <c r="M41" s="52">
        <v>2415893.6124122022</v>
      </c>
      <c r="N41" s="69">
        <f t="shared" si="4"/>
        <v>37116218.685000002</v>
      </c>
      <c r="O41" s="55">
        <f t="shared" si="5"/>
        <v>0.10333293627465939</v>
      </c>
      <c r="P41" s="56">
        <f t="shared" si="7"/>
        <v>1027030</v>
      </c>
      <c r="Q41" s="57">
        <f t="shared" si="6"/>
        <v>0</v>
      </c>
    </row>
    <row r="42" spans="1:17" s="58" customFormat="1" ht="12.75" x14ac:dyDescent="0.2">
      <c r="A42" s="26" t="s">
        <v>79</v>
      </c>
      <c r="B42" s="27">
        <f>SUM(B30:B41)</f>
        <v>1785</v>
      </c>
      <c r="H42" s="27">
        <f>SUM(H30:H41)</f>
        <v>48608</v>
      </c>
      <c r="I42" s="27"/>
      <c r="J42" s="27"/>
      <c r="K42" s="27"/>
      <c r="L42" s="59"/>
      <c r="N42" s="60">
        <f>SUM(N30:N41)</f>
        <v>359190593.27168381</v>
      </c>
      <c r="O42" s="61">
        <f>SUM(O30:O41)</f>
        <v>1.0000000000000002</v>
      </c>
      <c r="P42" s="60">
        <f>SUM(P30:P41)</f>
        <v>9939036</v>
      </c>
    </row>
    <row r="43" spans="1:17" s="28" customFormat="1" ht="12.75" x14ac:dyDescent="0.2">
      <c r="A43" s="26" t="s">
        <v>80</v>
      </c>
      <c r="B43" s="61">
        <f>H42/B10</f>
        <v>0.69768910578441223</v>
      </c>
      <c r="L43" s="29"/>
      <c r="P43" s="63">
        <f>P42-B45</f>
        <v>0</v>
      </c>
    </row>
    <row r="44" spans="1:17" s="28" customFormat="1" ht="12.75" x14ac:dyDescent="0.2">
      <c r="A44" s="26" t="s">
        <v>50</v>
      </c>
      <c r="B44" s="27">
        <f>COUNT(B30:B41)</f>
        <v>12</v>
      </c>
      <c r="L44" s="29"/>
      <c r="P44" s="63"/>
    </row>
    <row r="45" spans="1:17" s="28" customFormat="1" ht="12.75" x14ac:dyDescent="0.2">
      <c r="A45" s="26" t="s">
        <v>52</v>
      </c>
      <c r="B45" s="64">
        <f>ROUND((B2-B26)*B43,0)</f>
        <v>9939036</v>
      </c>
      <c r="L45" s="29"/>
    </row>
    <row r="46" spans="1:17" s="28" customFormat="1" ht="12.75" x14ac:dyDescent="0.2">
      <c r="A46" s="26" t="s">
        <v>53</v>
      </c>
      <c r="B46" s="71">
        <v>0</v>
      </c>
      <c r="L46" s="29"/>
    </row>
    <row r="47" spans="1:17" s="28" customFormat="1" ht="12.75" x14ac:dyDescent="0.2">
      <c r="B47" s="31"/>
      <c r="L47" s="29"/>
    </row>
    <row r="48" spans="1:17" s="47" customFormat="1" ht="12.75" x14ac:dyDescent="0.2">
      <c r="A48" s="40" t="s">
        <v>81</v>
      </c>
      <c r="B48" s="67"/>
      <c r="C48" s="45"/>
      <c r="D48" s="45"/>
      <c r="E48" s="45"/>
      <c r="F48" s="45"/>
      <c r="G48" s="45"/>
      <c r="H48" s="45"/>
      <c r="I48" s="45"/>
      <c r="J48" s="45"/>
      <c r="K48" s="45"/>
      <c r="L48" s="68"/>
      <c r="M48" s="45"/>
      <c r="N48" s="45"/>
      <c r="O48" s="45"/>
      <c r="P48" s="45"/>
      <c r="Q48" s="45"/>
    </row>
    <row r="49" spans="1:17" s="28" customFormat="1" ht="12.75" x14ac:dyDescent="0.2">
      <c r="A49" s="76" t="s">
        <v>82</v>
      </c>
      <c r="B49" s="49">
        <v>67</v>
      </c>
      <c r="C49" s="49">
        <v>2</v>
      </c>
      <c r="D49" s="48" t="s">
        <v>83</v>
      </c>
      <c r="E49" s="49"/>
      <c r="F49" s="49"/>
      <c r="G49" s="49" t="s">
        <v>165</v>
      </c>
      <c r="H49" s="50">
        <v>646</v>
      </c>
      <c r="I49" s="50">
        <v>3287</v>
      </c>
      <c r="J49" s="51">
        <v>0.46303620322482508</v>
      </c>
      <c r="K49" s="52">
        <v>11134511</v>
      </c>
      <c r="L49" s="53">
        <v>0.51380000000000003</v>
      </c>
      <c r="M49" s="52">
        <v>283473.71847662749</v>
      </c>
      <c r="N49" s="69">
        <f t="shared" ref="N49:N80" si="8">L49*K49</f>
        <v>5720911.7518000007</v>
      </c>
      <c r="O49" s="55">
        <f t="shared" ref="O49:O80" si="9">N49/$N$81</f>
        <v>2.3771347815342476E-2</v>
      </c>
      <c r="P49" s="56">
        <f t="shared" ref="P49:P78" si="10">ROUND(O49*($B$84+$B$85),0)</f>
        <v>113582</v>
      </c>
      <c r="Q49" s="57">
        <f t="shared" ref="Q49:Q80" si="11">+IF(P49&gt;M49,1,0)</f>
        <v>0</v>
      </c>
    </row>
    <row r="50" spans="1:17" s="28" customFormat="1" ht="12.75" x14ac:dyDescent="0.2">
      <c r="A50" s="48" t="s">
        <v>84</v>
      </c>
      <c r="B50" s="49">
        <v>49</v>
      </c>
      <c r="C50" s="49">
        <v>2</v>
      </c>
      <c r="D50" s="48" t="s">
        <v>85</v>
      </c>
      <c r="E50" s="49"/>
      <c r="F50" s="49"/>
      <c r="G50" s="49" t="s">
        <v>166</v>
      </c>
      <c r="H50" s="50">
        <v>2171</v>
      </c>
      <c r="I50" s="50">
        <v>9344</v>
      </c>
      <c r="J50" s="51">
        <v>0.3104666095890411</v>
      </c>
      <c r="K50" s="52">
        <v>146367540.27999905</v>
      </c>
      <c r="L50" s="53">
        <v>0.1326</v>
      </c>
      <c r="M50" s="52">
        <v>1399924.665570016</v>
      </c>
      <c r="N50" s="69">
        <f t="shared" si="8"/>
        <v>19408335.841127872</v>
      </c>
      <c r="O50" s="55">
        <f t="shared" si="9"/>
        <v>8.0644890502159422E-2</v>
      </c>
      <c r="P50" s="56">
        <f t="shared" si="10"/>
        <v>385329</v>
      </c>
      <c r="Q50" s="57">
        <f t="shared" si="11"/>
        <v>0</v>
      </c>
    </row>
    <row r="51" spans="1:17" s="28" customFormat="1" ht="12.75" x14ac:dyDescent="0.2">
      <c r="A51" s="48" t="s">
        <v>86</v>
      </c>
      <c r="B51" s="49">
        <v>30</v>
      </c>
      <c r="C51" s="49">
        <v>0</v>
      </c>
      <c r="D51" s="48" t="s">
        <v>87</v>
      </c>
      <c r="E51" s="49"/>
      <c r="F51" s="49"/>
      <c r="G51" s="49" t="s">
        <v>167</v>
      </c>
      <c r="H51" s="50">
        <v>1315</v>
      </c>
      <c r="I51" s="50">
        <v>4054</v>
      </c>
      <c r="J51" s="51">
        <v>0.3924518993586581</v>
      </c>
      <c r="K51" s="52">
        <v>43439605.240000427</v>
      </c>
      <c r="L51" s="53">
        <v>0.17050000000000001</v>
      </c>
      <c r="M51" s="52">
        <v>1143902.8805053672</v>
      </c>
      <c r="N51" s="69">
        <f t="shared" si="8"/>
        <v>7406452.693420073</v>
      </c>
      <c r="O51" s="55">
        <f t="shared" si="9"/>
        <v>3.077505311942166E-2</v>
      </c>
      <c r="P51" s="56">
        <f t="shared" si="10"/>
        <v>147046</v>
      </c>
      <c r="Q51" s="57">
        <f t="shared" si="11"/>
        <v>0</v>
      </c>
    </row>
    <row r="52" spans="1:17" s="28" customFormat="1" ht="12.75" x14ac:dyDescent="0.2">
      <c r="A52" s="48" t="s">
        <v>88</v>
      </c>
      <c r="B52" s="49">
        <v>32</v>
      </c>
      <c r="C52" s="49">
        <v>2</v>
      </c>
      <c r="D52" s="48" t="s">
        <v>89</v>
      </c>
      <c r="E52" s="49"/>
      <c r="F52" s="49"/>
      <c r="G52" s="49" t="s">
        <v>168</v>
      </c>
      <c r="H52" s="50">
        <v>145</v>
      </c>
      <c r="I52" s="50">
        <v>1362</v>
      </c>
      <c r="J52" s="51">
        <v>0.53450807635829667</v>
      </c>
      <c r="K52" s="52">
        <v>32350538</v>
      </c>
      <c r="L52" s="53">
        <v>0.18149999999999999</v>
      </c>
      <c r="M52" s="52">
        <v>1088775.7703560067</v>
      </c>
      <c r="N52" s="69">
        <f t="shared" si="8"/>
        <v>5871622.6469999999</v>
      </c>
      <c r="O52" s="55">
        <f t="shared" si="9"/>
        <v>2.4397576861478976E-2</v>
      </c>
      <c r="P52" s="56">
        <f t="shared" si="10"/>
        <v>116574</v>
      </c>
      <c r="Q52" s="57">
        <f t="shared" si="11"/>
        <v>0</v>
      </c>
    </row>
    <row r="53" spans="1:17" s="28" customFormat="1" ht="12.75" x14ac:dyDescent="0.2">
      <c r="A53" s="48" t="s">
        <v>90</v>
      </c>
      <c r="B53" s="49">
        <v>87</v>
      </c>
      <c r="C53" s="49">
        <v>2</v>
      </c>
      <c r="D53" s="48" t="s">
        <v>91</v>
      </c>
      <c r="E53" s="49"/>
      <c r="F53" s="49"/>
      <c r="G53" s="49" t="s">
        <v>169</v>
      </c>
      <c r="H53" s="50">
        <v>613</v>
      </c>
      <c r="I53" s="50">
        <v>3446</v>
      </c>
      <c r="J53" s="51">
        <v>0.26726639582124201</v>
      </c>
      <c r="K53" s="52">
        <v>46919815</v>
      </c>
      <c r="L53" s="53">
        <v>0.13220000000000001</v>
      </c>
      <c r="M53" s="52">
        <v>741803.80978188058</v>
      </c>
      <c r="N53" s="69">
        <f t="shared" si="8"/>
        <v>6202799.5430000005</v>
      </c>
      <c r="O53" s="55">
        <f t="shared" si="9"/>
        <v>2.5773672407917801E-2</v>
      </c>
      <c r="P53" s="56">
        <f t="shared" si="10"/>
        <v>123149</v>
      </c>
      <c r="Q53" s="57">
        <f t="shared" si="11"/>
        <v>0</v>
      </c>
    </row>
    <row r="54" spans="1:17" s="28" customFormat="1" ht="12.75" x14ac:dyDescent="0.2">
      <c r="A54" s="48" t="s">
        <v>92</v>
      </c>
      <c r="B54" s="49">
        <v>25</v>
      </c>
      <c r="C54" s="49">
        <v>2</v>
      </c>
      <c r="D54" s="48" t="s">
        <v>93</v>
      </c>
      <c r="E54" s="49"/>
      <c r="F54" s="49"/>
      <c r="G54" s="49" t="s">
        <v>170</v>
      </c>
      <c r="H54" s="50">
        <v>91</v>
      </c>
      <c r="I54" s="50">
        <v>1544</v>
      </c>
      <c r="J54" s="51">
        <v>0.23316062176165803</v>
      </c>
      <c r="K54" s="52">
        <v>12646237.470000001</v>
      </c>
      <c r="L54" s="53">
        <v>0.53680000000000005</v>
      </c>
      <c r="M54" s="52">
        <v>386824.38208555523</v>
      </c>
      <c r="N54" s="69">
        <f t="shared" si="8"/>
        <v>6788500.2738960013</v>
      </c>
      <c r="O54" s="55">
        <f t="shared" si="9"/>
        <v>2.8207357175987945E-2</v>
      </c>
      <c r="P54" s="56">
        <f t="shared" si="10"/>
        <v>134778</v>
      </c>
      <c r="Q54" s="57">
        <f t="shared" si="11"/>
        <v>0</v>
      </c>
    </row>
    <row r="55" spans="1:17" s="28" customFormat="1" ht="12.75" x14ac:dyDescent="0.2">
      <c r="A55" s="48" t="s">
        <v>94</v>
      </c>
      <c r="B55" s="49">
        <v>25</v>
      </c>
      <c r="C55" s="49">
        <v>0</v>
      </c>
      <c r="D55" s="48" t="s">
        <v>95</v>
      </c>
      <c r="E55" s="49"/>
      <c r="F55" s="49"/>
      <c r="G55" s="49">
        <v>371300</v>
      </c>
      <c r="H55" s="50">
        <v>154</v>
      </c>
      <c r="I55" s="50">
        <v>1806</v>
      </c>
      <c r="J55" s="51">
        <v>8.5271317829457363E-2</v>
      </c>
      <c r="K55" s="52">
        <v>10703881.289999999</v>
      </c>
      <c r="L55" s="53">
        <v>0.60009999999999997</v>
      </c>
      <c r="M55" s="52">
        <v>1464746.2226805158</v>
      </c>
      <c r="N55" s="69">
        <f t="shared" si="8"/>
        <v>6423399.1621289989</v>
      </c>
      <c r="O55" s="55">
        <f t="shared" si="9"/>
        <v>2.6690300823414261E-2</v>
      </c>
      <c r="P55" s="56">
        <f t="shared" si="10"/>
        <v>127529</v>
      </c>
      <c r="Q55" s="57">
        <f t="shared" si="11"/>
        <v>0</v>
      </c>
    </row>
    <row r="56" spans="1:17" s="28" customFormat="1" ht="12.75" x14ac:dyDescent="0.2">
      <c r="A56" s="48" t="s">
        <v>96</v>
      </c>
      <c r="B56" s="49">
        <v>73</v>
      </c>
      <c r="C56" s="49">
        <v>2</v>
      </c>
      <c r="D56" s="48" t="s">
        <v>97</v>
      </c>
      <c r="E56" s="49"/>
      <c r="F56" s="49"/>
      <c r="G56" s="49" t="s">
        <v>171</v>
      </c>
      <c r="H56" s="50">
        <v>451</v>
      </c>
      <c r="I56" s="50">
        <v>3640</v>
      </c>
      <c r="J56" s="51">
        <v>0.1554945054945055</v>
      </c>
      <c r="K56" s="52">
        <v>75231050.890000105</v>
      </c>
      <c r="L56" s="53">
        <v>0.13600000000000001</v>
      </c>
      <c r="M56" s="52">
        <v>1419173.1363508389</v>
      </c>
      <c r="N56" s="69">
        <f t="shared" si="8"/>
        <v>10231422.921040015</v>
      </c>
      <c r="O56" s="55">
        <f t="shared" si="9"/>
        <v>4.2513278206989573E-2</v>
      </c>
      <c r="P56" s="56">
        <f t="shared" si="10"/>
        <v>203133</v>
      </c>
      <c r="Q56" s="57">
        <f t="shared" si="11"/>
        <v>0</v>
      </c>
    </row>
    <row r="57" spans="1:17" s="28" customFormat="1" ht="12.75" x14ac:dyDescent="0.2">
      <c r="A57" s="48" t="s">
        <v>98</v>
      </c>
      <c r="B57" s="49">
        <v>25</v>
      </c>
      <c r="C57" s="49">
        <v>2</v>
      </c>
      <c r="D57" s="48" t="s">
        <v>99</v>
      </c>
      <c r="E57" s="49"/>
      <c r="F57" s="49"/>
      <c r="G57" s="49" t="s">
        <v>172</v>
      </c>
      <c r="H57" s="50">
        <v>60</v>
      </c>
      <c r="I57" s="50">
        <v>1246</v>
      </c>
      <c r="J57" s="51">
        <v>0.2174959871589085</v>
      </c>
      <c r="K57" s="52">
        <v>19280085</v>
      </c>
      <c r="L57" s="53">
        <v>0.18329999999999999</v>
      </c>
      <c r="M57" s="52">
        <v>416017.58135917934</v>
      </c>
      <c r="N57" s="69">
        <f t="shared" si="8"/>
        <v>3534039.5804999997</v>
      </c>
      <c r="O57" s="55">
        <f t="shared" si="9"/>
        <v>1.4684527170834325E-2</v>
      </c>
      <c r="P57" s="56">
        <f t="shared" si="10"/>
        <v>70164</v>
      </c>
      <c r="Q57" s="57">
        <f t="shared" si="11"/>
        <v>0</v>
      </c>
    </row>
    <row r="58" spans="1:17" s="28" customFormat="1" ht="12.75" x14ac:dyDescent="0.2">
      <c r="A58" s="48" t="s">
        <v>100</v>
      </c>
      <c r="B58" s="49">
        <v>56</v>
      </c>
      <c r="C58" s="49">
        <v>2</v>
      </c>
      <c r="D58" s="48" t="s">
        <v>101</v>
      </c>
      <c r="E58" s="49"/>
      <c r="F58" s="49"/>
      <c r="G58" s="49" t="s">
        <v>173</v>
      </c>
      <c r="H58" s="50">
        <v>537</v>
      </c>
      <c r="I58" s="50">
        <v>3248</v>
      </c>
      <c r="J58" s="51">
        <v>0.25246305418719212</v>
      </c>
      <c r="K58" s="52">
        <v>27914707</v>
      </c>
      <c r="L58" s="53">
        <v>0.2097</v>
      </c>
      <c r="M58" s="52">
        <v>1457826.5331234164</v>
      </c>
      <c r="N58" s="69">
        <f t="shared" si="8"/>
        <v>5853714.0579000004</v>
      </c>
      <c r="O58" s="55">
        <f t="shared" si="9"/>
        <v>2.4323163670217252E-2</v>
      </c>
      <c r="P58" s="56">
        <f t="shared" si="10"/>
        <v>116219</v>
      </c>
      <c r="Q58" s="57">
        <f t="shared" si="11"/>
        <v>0</v>
      </c>
    </row>
    <row r="59" spans="1:17" s="28" customFormat="1" ht="12.75" x14ac:dyDescent="0.2">
      <c r="A59" s="48" t="s">
        <v>102</v>
      </c>
      <c r="B59" s="49">
        <v>15</v>
      </c>
      <c r="C59" s="49">
        <v>0</v>
      </c>
      <c r="D59" s="48" t="s">
        <v>103</v>
      </c>
      <c r="E59" s="49"/>
      <c r="F59" s="49"/>
      <c r="G59" s="49" t="s">
        <v>174</v>
      </c>
      <c r="H59" s="50">
        <v>70</v>
      </c>
      <c r="I59" s="50">
        <v>859</v>
      </c>
      <c r="J59" s="51">
        <v>0.21303841676367868</v>
      </c>
      <c r="K59" s="52">
        <v>3553472</v>
      </c>
      <c r="L59" s="53">
        <v>0.54520000000000002</v>
      </c>
      <c r="M59" s="52">
        <v>214358.40477859275</v>
      </c>
      <c r="N59" s="69">
        <f t="shared" si="8"/>
        <v>1937352.9344000001</v>
      </c>
      <c r="O59" s="55">
        <f t="shared" si="9"/>
        <v>8.0500263668997728E-3</v>
      </c>
      <c r="P59" s="56">
        <f t="shared" si="10"/>
        <v>38464</v>
      </c>
      <c r="Q59" s="57">
        <f t="shared" si="11"/>
        <v>0</v>
      </c>
    </row>
    <row r="60" spans="1:17" s="28" customFormat="1" ht="12.75" x14ac:dyDescent="0.2">
      <c r="A60" s="48" t="s">
        <v>104</v>
      </c>
      <c r="B60" s="49">
        <v>33</v>
      </c>
      <c r="C60" s="49">
        <v>2</v>
      </c>
      <c r="D60" s="48" t="s">
        <v>105</v>
      </c>
      <c r="E60" s="49"/>
      <c r="F60" s="49"/>
      <c r="G60" s="49" t="s">
        <v>175</v>
      </c>
      <c r="H60" s="50">
        <v>801</v>
      </c>
      <c r="I60" s="50">
        <v>2218</v>
      </c>
      <c r="J60" s="51">
        <v>0.52705139765554554</v>
      </c>
      <c r="K60" s="52">
        <v>21831235</v>
      </c>
      <c r="L60" s="53">
        <v>0.35389999999999999</v>
      </c>
      <c r="M60" s="52">
        <v>167501.56983563583</v>
      </c>
      <c r="N60" s="69">
        <f t="shared" si="8"/>
        <v>7726074.0664999997</v>
      </c>
      <c r="O60" s="55">
        <f t="shared" si="9"/>
        <v>3.2103133530085176E-2</v>
      </c>
      <c r="P60" s="56">
        <f t="shared" si="10"/>
        <v>153392</v>
      </c>
      <c r="Q60" s="57">
        <f t="shared" si="11"/>
        <v>0</v>
      </c>
    </row>
    <row r="61" spans="1:17" s="28" customFormat="1" ht="12.75" x14ac:dyDescent="0.2">
      <c r="A61" s="48" t="s">
        <v>106</v>
      </c>
      <c r="B61" s="49">
        <v>62</v>
      </c>
      <c r="C61" s="49">
        <v>2</v>
      </c>
      <c r="D61" s="48" t="s">
        <v>107</v>
      </c>
      <c r="E61" s="49"/>
      <c r="F61" s="49"/>
      <c r="G61" s="49" t="s">
        <v>176</v>
      </c>
      <c r="H61" s="50">
        <v>1434</v>
      </c>
      <c r="I61" s="50">
        <v>10705</v>
      </c>
      <c r="J61" s="51">
        <v>0.13395609528257824</v>
      </c>
      <c r="K61" s="52">
        <v>39684762</v>
      </c>
      <c r="L61" s="53">
        <v>0.25580000000000003</v>
      </c>
      <c r="M61" s="52">
        <v>1309916.4183832877</v>
      </c>
      <c r="N61" s="69">
        <f t="shared" si="8"/>
        <v>10151362.119600002</v>
      </c>
      <c r="O61" s="55">
        <f t="shared" si="9"/>
        <v>4.2180612149554438E-2</v>
      </c>
      <c r="P61" s="56">
        <f t="shared" si="10"/>
        <v>201543</v>
      </c>
      <c r="Q61" s="57">
        <f t="shared" si="11"/>
        <v>0</v>
      </c>
    </row>
    <row r="62" spans="1:17" s="28" customFormat="1" ht="12.75" x14ac:dyDescent="0.2">
      <c r="A62" s="48" t="s">
        <v>108</v>
      </c>
      <c r="B62" s="49">
        <v>25</v>
      </c>
      <c r="C62" s="49">
        <v>2</v>
      </c>
      <c r="D62" s="48" t="s">
        <v>109</v>
      </c>
      <c r="E62" s="49"/>
      <c r="F62" s="49"/>
      <c r="G62" s="49" t="s">
        <v>177</v>
      </c>
      <c r="H62" s="50">
        <v>8</v>
      </c>
      <c r="I62" s="50">
        <v>67</v>
      </c>
      <c r="J62" s="51">
        <v>0.11940298507462686</v>
      </c>
      <c r="K62" s="52">
        <v>881935</v>
      </c>
      <c r="L62" s="53">
        <v>0.97409999999999997</v>
      </c>
      <c r="M62" s="52">
        <v>1957063.9503214997</v>
      </c>
      <c r="N62" s="69">
        <f t="shared" si="8"/>
        <v>859092.8835</v>
      </c>
      <c r="O62" s="55">
        <f t="shared" si="9"/>
        <v>3.5696750142909608E-3</v>
      </c>
      <c r="P62" s="56">
        <f t="shared" si="10"/>
        <v>17056</v>
      </c>
      <c r="Q62" s="57">
        <f t="shared" si="11"/>
        <v>0</v>
      </c>
    </row>
    <row r="63" spans="1:17" s="28" customFormat="1" ht="12.75" x14ac:dyDescent="0.2">
      <c r="A63" s="48" t="s">
        <v>110</v>
      </c>
      <c r="B63" s="49">
        <v>99</v>
      </c>
      <c r="C63" s="49">
        <v>2</v>
      </c>
      <c r="D63" s="48" t="s">
        <v>111</v>
      </c>
      <c r="E63" s="49"/>
      <c r="F63" s="49"/>
      <c r="G63" s="49" t="s">
        <v>178</v>
      </c>
      <c r="H63" s="50">
        <v>583</v>
      </c>
      <c r="I63" s="50">
        <v>2688</v>
      </c>
      <c r="J63" s="51">
        <v>0.35900297619047616</v>
      </c>
      <c r="K63" s="52">
        <v>47094030.069999859</v>
      </c>
      <c r="L63" s="53">
        <v>0.20480000000000001</v>
      </c>
      <c r="M63" s="52">
        <v>2143322.1638382403</v>
      </c>
      <c r="N63" s="69">
        <f t="shared" si="8"/>
        <v>9644857.3583359718</v>
      </c>
      <c r="O63" s="55">
        <f t="shared" si="9"/>
        <v>4.0075999917711158E-2</v>
      </c>
      <c r="P63" s="56">
        <f t="shared" si="10"/>
        <v>191487</v>
      </c>
      <c r="Q63" s="57">
        <f t="shared" si="11"/>
        <v>0</v>
      </c>
    </row>
    <row r="64" spans="1:17" s="28" customFormat="1" ht="12.75" x14ac:dyDescent="0.2">
      <c r="A64" s="48" t="s">
        <v>112</v>
      </c>
      <c r="B64" s="49">
        <v>48</v>
      </c>
      <c r="C64" s="49">
        <v>0</v>
      </c>
      <c r="D64" s="48" t="s">
        <v>113</v>
      </c>
      <c r="E64" s="49"/>
      <c r="F64" s="49"/>
      <c r="G64" s="49" t="s">
        <v>179</v>
      </c>
      <c r="H64" s="50">
        <v>274</v>
      </c>
      <c r="I64" s="50">
        <v>2105</v>
      </c>
      <c r="J64" s="51">
        <v>0.29073634204275534</v>
      </c>
      <c r="K64" s="52">
        <v>45848165.959999993</v>
      </c>
      <c r="L64" s="53">
        <v>0.15490000000000001</v>
      </c>
      <c r="M64" s="52">
        <v>225158.64931095438</v>
      </c>
      <c r="N64" s="69">
        <f t="shared" si="8"/>
        <v>7101880.9072039993</v>
      </c>
      <c r="O64" s="55">
        <f t="shared" si="9"/>
        <v>2.9509506266229172E-2</v>
      </c>
      <c r="P64" s="56">
        <f t="shared" si="10"/>
        <v>140999</v>
      </c>
      <c r="Q64" s="57">
        <f t="shared" si="11"/>
        <v>0</v>
      </c>
    </row>
    <row r="65" spans="1:17" s="28" customFormat="1" ht="12.75" x14ac:dyDescent="0.2">
      <c r="A65" s="48" t="s">
        <v>114</v>
      </c>
      <c r="B65" s="49">
        <v>75</v>
      </c>
      <c r="C65" s="49">
        <v>2</v>
      </c>
      <c r="D65" s="48" t="s">
        <v>115</v>
      </c>
      <c r="E65" s="49"/>
      <c r="F65" s="49"/>
      <c r="G65" s="49" t="s">
        <v>180</v>
      </c>
      <c r="H65" s="50">
        <v>3122</v>
      </c>
      <c r="I65" s="50">
        <v>13916</v>
      </c>
      <c r="J65" s="51">
        <v>0.28420523138832998</v>
      </c>
      <c r="K65" s="52">
        <v>106527450</v>
      </c>
      <c r="L65" s="53">
        <v>0.1404</v>
      </c>
      <c r="M65" s="52">
        <v>1425030.0696692867</v>
      </c>
      <c r="N65" s="69">
        <f t="shared" si="8"/>
        <v>14956453.98</v>
      </c>
      <c r="O65" s="55">
        <f t="shared" si="9"/>
        <v>6.2146574718772656E-2</v>
      </c>
      <c r="P65" s="56">
        <f t="shared" si="10"/>
        <v>296943</v>
      </c>
      <c r="Q65" s="57">
        <f t="shared" si="11"/>
        <v>0</v>
      </c>
    </row>
    <row r="66" spans="1:17" s="28" customFormat="1" ht="12.75" x14ac:dyDescent="0.2">
      <c r="A66" s="48" t="s">
        <v>116</v>
      </c>
      <c r="B66" s="49">
        <v>58</v>
      </c>
      <c r="C66" s="49">
        <v>2</v>
      </c>
      <c r="D66" s="48" t="s">
        <v>117</v>
      </c>
      <c r="E66" s="49"/>
      <c r="F66" s="49"/>
      <c r="G66" s="49" t="s">
        <v>181</v>
      </c>
      <c r="H66" s="50">
        <v>1288</v>
      </c>
      <c r="I66" s="50">
        <v>6087</v>
      </c>
      <c r="J66" s="51">
        <v>0.30244783965828814</v>
      </c>
      <c r="K66" s="52">
        <v>65051626.129999995</v>
      </c>
      <c r="L66" s="53">
        <v>0.17979999999999999</v>
      </c>
      <c r="M66" s="52">
        <v>2999085.2564707897</v>
      </c>
      <c r="N66" s="69">
        <f t="shared" si="8"/>
        <v>11696282.378173998</v>
      </c>
      <c r="O66" s="55">
        <f t="shared" si="9"/>
        <v>4.8600014931283478E-2</v>
      </c>
      <c r="P66" s="56">
        <f t="shared" si="10"/>
        <v>232216</v>
      </c>
      <c r="Q66" s="57">
        <f t="shared" si="11"/>
        <v>0</v>
      </c>
    </row>
    <row r="67" spans="1:17" s="28" customFormat="1" ht="12.75" x14ac:dyDescent="0.2">
      <c r="A67" s="48" t="s">
        <v>118</v>
      </c>
      <c r="B67" s="49">
        <v>25</v>
      </c>
      <c r="C67" s="49">
        <v>2</v>
      </c>
      <c r="D67" s="48" t="s">
        <v>119</v>
      </c>
      <c r="E67" s="49"/>
      <c r="F67" s="49"/>
      <c r="G67" s="49" t="s">
        <v>182</v>
      </c>
      <c r="H67" s="50">
        <v>21</v>
      </c>
      <c r="I67" s="50">
        <v>468</v>
      </c>
      <c r="J67" s="51">
        <v>0.20299145299145299</v>
      </c>
      <c r="K67" s="52">
        <v>7780413</v>
      </c>
      <c r="L67" s="53">
        <v>0.57420000000000004</v>
      </c>
      <c r="M67" s="52">
        <v>1465081.656254</v>
      </c>
      <c r="N67" s="69">
        <f t="shared" si="8"/>
        <v>4467513.1446000002</v>
      </c>
      <c r="O67" s="55">
        <f t="shared" si="9"/>
        <v>1.856326638782483E-2</v>
      </c>
      <c r="P67" s="56">
        <f t="shared" si="10"/>
        <v>88697</v>
      </c>
      <c r="Q67" s="57">
        <f t="shared" si="11"/>
        <v>0</v>
      </c>
    </row>
    <row r="68" spans="1:17" s="28" customFormat="1" ht="12.75" x14ac:dyDescent="0.2">
      <c r="A68" s="48" t="s">
        <v>120</v>
      </c>
      <c r="B68" s="49">
        <v>22</v>
      </c>
      <c r="C68" s="49">
        <v>2</v>
      </c>
      <c r="D68" s="48" t="s">
        <v>121</v>
      </c>
      <c r="E68" s="49"/>
      <c r="F68" s="49"/>
      <c r="G68" s="49" t="s">
        <v>183</v>
      </c>
      <c r="H68" s="50">
        <v>14</v>
      </c>
      <c r="I68" s="50">
        <v>130</v>
      </c>
      <c r="J68" s="51">
        <v>0.32307692307692309</v>
      </c>
      <c r="K68" s="52">
        <v>5115295</v>
      </c>
      <c r="L68" s="53">
        <v>0.53290000000000004</v>
      </c>
      <c r="M68" s="52">
        <v>1172246.9374920002</v>
      </c>
      <c r="N68" s="69">
        <f t="shared" si="8"/>
        <v>2725940.7055000002</v>
      </c>
      <c r="O68" s="55">
        <f t="shared" si="9"/>
        <v>1.1326740814355757E-2</v>
      </c>
      <c r="P68" s="56">
        <f t="shared" si="10"/>
        <v>54120</v>
      </c>
      <c r="Q68" s="57">
        <f t="shared" si="11"/>
        <v>0</v>
      </c>
    </row>
    <row r="69" spans="1:17" s="28" customFormat="1" ht="12.75" x14ac:dyDescent="0.2">
      <c r="A69" s="48" t="s">
        <v>122</v>
      </c>
      <c r="B69" s="49">
        <v>25</v>
      </c>
      <c r="C69" s="49">
        <v>2</v>
      </c>
      <c r="D69" s="48" t="s">
        <v>123</v>
      </c>
      <c r="E69" s="49"/>
      <c r="F69" s="49"/>
      <c r="G69" s="49" t="s">
        <v>184</v>
      </c>
      <c r="H69" s="50">
        <v>14</v>
      </c>
      <c r="I69" s="50">
        <v>557</v>
      </c>
      <c r="J69" s="51">
        <v>0.20287253141831238</v>
      </c>
      <c r="K69" s="52">
        <v>8185784</v>
      </c>
      <c r="L69" s="53">
        <v>0.46239999999999998</v>
      </c>
      <c r="M69" s="52">
        <v>1429511.6296897181</v>
      </c>
      <c r="N69" s="69">
        <f t="shared" si="8"/>
        <v>3785106.5215999996</v>
      </c>
      <c r="O69" s="55">
        <f t="shared" si="9"/>
        <v>1.5727752418967962E-2</v>
      </c>
      <c r="P69" s="56">
        <f t="shared" si="10"/>
        <v>75149</v>
      </c>
      <c r="Q69" s="57">
        <f t="shared" si="11"/>
        <v>0</v>
      </c>
    </row>
    <row r="70" spans="1:17" s="28" customFormat="1" ht="12.75" x14ac:dyDescent="0.2">
      <c r="A70" s="48" t="s">
        <v>124</v>
      </c>
      <c r="B70" s="49">
        <v>25</v>
      </c>
      <c r="C70" s="49">
        <v>2</v>
      </c>
      <c r="D70" s="48" t="s">
        <v>125</v>
      </c>
      <c r="E70" s="49"/>
      <c r="F70" s="49"/>
      <c r="G70" s="49" t="s">
        <v>185</v>
      </c>
      <c r="H70" s="50">
        <v>101</v>
      </c>
      <c r="I70" s="50">
        <v>866</v>
      </c>
      <c r="J70" s="51">
        <v>0.41454965357967666</v>
      </c>
      <c r="K70" s="52">
        <v>17137780</v>
      </c>
      <c r="L70" s="53">
        <v>0.34510000000000002</v>
      </c>
      <c r="M70" s="52">
        <v>1640461.2944369977</v>
      </c>
      <c r="N70" s="69">
        <f t="shared" si="8"/>
        <v>5914247.8780000005</v>
      </c>
      <c r="O70" s="55">
        <f t="shared" si="9"/>
        <v>2.4574691845203646E-2</v>
      </c>
      <c r="P70" s="56">
        <f t="shared" si="10"/>
        <v>117420</v>
      </c>
      <c r="Q70" s="57">
        <f t="shared" si="11"/>
        <v>0</v>
      </c>
    </row>
    <row r="71" spans="1:17" s="28" customFormat="1" ht="12.75" x14ac:dyDescent="0.2">
      <c r="A71" s="48" t="s">
        <v>126</v>
      </c>
      <c r="B71" s="49">
        <v>25</v>
      </c>
      <c r="C71" s="49">
        <v>2</v>
      </c>
      <c r="D71" s="48" t="s">
        <v>127</v>
      </c>
      <c r="E71" s="49"/>
      <c r="F71" s="49"/>
      <c r="G71" s="49" t="s">
        <v>186</v>
      </c>
      <c r="H71" s="50">
        <v>46</v>
      </c>
      <c r="I71" s="50">
        <v>290</v>
      </c>
      <c r="J71" s="51">
        <v>0.56896551724137934</v>
      </c>
      <c r="K71" s="52">
        <v>6154432</v>
      </c>
      <c r="L71" s="53">
        <v>0.62549999999999994</v>
      </c>
      <c r="M71" s="52">
        <v>1435573.4383775019</v>
      </c>
      <c r="N71" s="69">
        <f t="shared" si="8"/>
        <v>3849597.2159999995</v>
      </c>
      <c r="O71" s="55">
        <f t="shared" si="9"/>
        <v>1.5995722070300727E-2</v>
      </c>
      <c r="P71" s="56">
        <f t="shared" si="10"/>
        <v>76429</v>
      </c>
      <c r="Q71" s="57">
        <f t="shared" si="11"/>
        <v>0</v>
      </c>
    </row>
    <row r="72" spans="1:17" s="28" customFormat="1" ht="12.75" x14ac:dyDescent="0.2">
      <c r="A72" s="48" t="s">
        <v>128</v>
      </c>
      <c r="B72" s="49">
        <v>25</v>
      </c>
      <c r="C72" s="49">
        <v>2</v>
      </c>
      <c r="D72" s="48" t="s">
        <v>129</v>
      </c>
      <c r="E72" s="49"/>
      <c r="F72" s="49"/>
      <c r="G72" s="49" t="s">
        <v>187</v>
      </c>
      <c r="H72" s="50">
        <v>18</v>
      </c>
      <c r="I72" s="50">
        <v>341</v>
      </c>
      <c r="J72" s="51">
        <v>0.20234604105571846</v>
      </c>
      <c r="K72" s="52">
        <v>7030360</v>
      </c>
      <c r="L72" s="53">
        <v>0.48359999999999997</v>
      </c>
      <c r="M72" s="52">
        <v>1546271.9948079996</v>
      </c>
      <c r="N72" s="69">
        <f t="shared" si="8"/>
        <v>3399882.0959999999</v>
      </c>
      <c r="O72" s="55">
        <f t="shared" si="9"/>
        <v>1.412708032242288E-2</v>
      </c>
      <c r="P72" s="56">
        <f t="shared" si="10"/>
        <v>67501</v>
      </c>
      <c r="Q72" s="57">
        <f t="shared" si="11"/>
        <v>0</v>
      </c>
    </row>
    <row r="73" spans="1:17" s="28" customFormat="1" ht="12.75" x14ac:dyDescent="0.2">
      <c r="A73" s="48" t="s">
        <v>130</v>
      </c>
      <c r="B73" s="49">
        <v>98</v>
      </c>
      <c r="C73" s="49">
        <v>2</v>
      </c>
      <c r="D73" s="48" t="s">
        <v>131</v>
      </c>
      <c r="E73" s="49"/>
      <c r="F73" s="49"/>
      <c r="G73" s="49" t="s">
        <v>188</v>
      </c>
      <c r="H73" s="50">
        <v>2251</v>
      </c>
      <c r="I73" s="50">
        <v>14559</v>
      </c>
      <c r="J73" s="51">
        <v>0.15461226732605263</v>
      </c>
      <c r="K73" s="52">
        <v>73074792</v>
      </c>
      <c r="L73" s="53">
        <v>0.3251</v>
      </c>
      <c r="M73" s="52">
        <v>1578528.7074394776</v>
      </c>
      <c r="N73" s="69">
        <f t="shared" si="8"/>
        <v>23756614.8792</v>
      </c>
      <c r="O73" s="55">
        <f t="shared" si="9"/>
        <v>9.8712719179931505E-2</v>
      </c>
      <c r="P73" s="56">
        <f t="shared" si="10"/>
        <v>471659</v>
      </c>
      <c r="Q73" s="57">
        <f t="shared" si="11"/>
        <v>0</v>
      </c>
    </row>
    <row r="74" spans="1:17" s="28" customFormat="1" ht="12.75" x14ac:dyDescent="0.2">
      <c r="A74" s="48" t="s">
        <v>132</v>
      </c>
      <c r="B74" s="49">
        <v>18</v>
      </c>
      <c r="C74" s="49">
        <v>2</v>
      </c>
      <c r="D74" s="48" t="s">
        <v>133</v>
      </c>
      <c r="E74" s="49"/>
      <c r="F74" s="49"/>
      <c r="G74" s="49" t="s">
        <v>189</v>
      </c>
      <c r="H74" s="50">
        <v>0</v>
      </c>
      <c r="I74" s="50">
        <v>326</v>
      </c>
      <c r="J74" s="51">
        <v>0.10122699386503067</v>
      </c>
      <c r="K74" s="52">
        <v>1481638.87</v>
      </c>
      <c r="L74" s="53">
        <v>0.68789999999999996</v>
      </c>
      <c r="M74" s="52">
        <v>346391.72801774309</v>
      </c>
      <c r="N74" s="69">
        <f t="shared" si="8"/>
        <v>1019219.378673</v>
      </c>
      <c r="O74" s="55">
        <f t="shared" si="9"/>
        <v>4.2350274574590461E-3</v>
      </c>
      <c r="P74" s="56">
        <f t="shared" si="10"/>
        <v>20235</v>
      </c>
      <c r="Q74" s="57">
        <f t="shared" si="11"/>
        <v>0</v>
      </c>
    </row>
    <row r="75" spans="1:17" s="28" customFormat="1" ht="12.75" x14ac:dyDescent="0.2">
      <c r="A75" s="48" t="s">
        <v>134</v>
      </c>
      <c r="B75" s="49">
        <v>41</v>
      </c>
      <c r="C75" s="49">
        <v>2</v>
      </c>
      <c r="D75" s="48" t="s">
        <v>135</v>
      </c>
      <c r="E75" s="49"/>
      <c r="F75" s="49"/>
      <c r="G75" s="49" t="s">
        <v>190</v>
      </c>
      <c r="H75" s="50">
        <v>198</v>
      </c>
      <c r="I75" s="50">
        <v>2028</v>
      </c>
      <c r="J75" s="51">
        <v>9.7633136094674555E-2</v>
      </c>
      <c r="K75" s="52">
        <v>17404332</v>
      </c>
      <c r="L75" s="53">
        <v>0.24579999999999999</v>
      </c>
      <c r="M75" s="52">
        <v>965393.57097117347</v>
      </c>
      <c r="N75" s="69">
        <f t="shared" si="8"/>
        <v>4277984.8055999996</v>
      </c>
      <c r="O75" s="55">
        <f t="shared" si="9"/>
        <v>1.7775744352405278E-2</v>
      </c>
      <c r="P75" s="56">
        <f t="shared" si="10"/>
        <v>84934</v>
      </c>
      <c r="Q75" s="57">
        <f t="shared" si="11"/>
        <v>0</v>
      </c>
    </row>
    <row r="76" spans="1:17" s="28" customFormat="1" ht="12.75" x14ac:dyDescent="0.2">
      <c r="A76" s="48" t="s">
        <v>136</v>
      </c>
      <c r="B76" s="49">
        <v>36</v>
      </c>
      <c r="C76" s="49">
        <v>2</v>
      </c>
      <c r="D76" s="48" t="s">
        <v>137</v>
      </c>
      <c r="E76" s="49"/>
      <c r="F76" s="49"/>
      <c r="G76" s="49" t="s">
        <v>191</v>
      </c>
      <c r="H76" s="50">
        <v>1024</v>
      </c>
      <c r="I76" s="50">
        <v>4485</v>
      </c>
      <c r="J76" s="51">
        <v>0.27692307692307694</v>
      </c>
      <c r="K76" s="52">
        <v>36323368</v>
      </c>
      <c r="L76" s="53">
        <v>0.21060000000000001</v>
      </c>
      <c r="M76" s="52">
        <v>1294080.674438633</v>
      </c>
      <c r="N76" s="69">
        <f t="shared" si="8"/>
        <v>7649701.3008000003</v>
      </c>
      <c r="O76" s="55">
        <f t="shared" si="9"/>
        <v>3.178579187969123E-2</v>
      </c>
      <c r="P76" s="56">
        <f t="shared" si="10"/>
        <v>151876</v>
      </c>
      <c r="Q76" s="57">
        <f t="shared" si="11"/>
        <v>0</v>
      </c>
    </row>
    <row r="77" spans="1:17" s="28" customFormat="1" ht="12.75" x14ac:dyDescent="0.2">
      <c r="A77" s="48" t="s">
        <v>138</v>
      </c>
      <c r="B77" s="49">
        <v>26</v>
      </c>
      <c r="C77" s="49">
        <v>2</v>
      </c>
      <c r="D77" s="48" t="s">
        <v>139</v>
      </c>
      <c r="E77" s="49"/>
      <c r="F77" s="49"/>
      <c r="G77" s="49" t="s">
        <v>192</v>
      </c>
      <c r="H77" s="50">
        <v>43</v>
      </c>
      <c r="I77" s="50">
        <v>1056</v>
      </c>
      <c r="J77" s="51">
        <v>0.15151515151515152</v>
      </c>
      <c r="K77" s="52">
        <v>10082306</v>
      </c>
      <c r="L77" s="53">
        <v>0.51129999999999998</v>
      </c>
      <c r="M77" s="52">
        <v>1936049.7384727963</v>
      </c>
      <c r="N77" s="69">
        <f t="shared" si="8"/>
        <v>5155083.0577999996</v>
      </c>
      <c r="O77" s="55">
        <f t="shared" si="9"/>
        <v>2.1420234693427423E-2</v>
      </c>
      <c r="P77" s="56">
        <f t="shared" si="10"/>
        <v>102348</v>
      </c>
      <c r="Q77" s="57">
        <f t="shared" si="11"/>
        <v>0</v>
      </c>
    </row>
    <row r="78" spans="1:17" s="28" customFormat="1" ht="12.75" x14ac:dyDescent="0.2">
      <c r="A78" s="48" t="s">
        <v>140</v>
      </c>
      <c r="B78" s="49">
        <v>12</v>
      </c>
      <c r="C78" s="49">
        <v>0</v>
      </c>
      <c r="D78" s="48" t="s">
        <v>141</v>
      </c>
      <c r="E78" s="49"/>
      <c r="F78" s="49"/>
      <c r="G78" s="49" t="s">
        <v>193</v>
      </c>
      <c r="H78" s="50">
        <v>31</v>
      </c>
      <c r="I78" s="50">
        <v>347</v>
      </c>
      <c r="J78" s="51">
        <v>0.21037463976945245</v>
      </c>
      <c r="K78" s="52">
        <v>13570837</v>
      </c>
      <c r="L78" s="53">
        <v>0.1943</v>
      </c>
      <c r="M78" s="52">
        <v>731163.92808300024</v>
      </c>
      <c r="N78" s="69">
        <f t="shared" si="8"/>
        <v>2636813.6291</v>
      </c>
      <c r="O78" s="55">
        <f t="shared" si="9"/>
        <v>1.0956402863905394E-2</v>
      </c>
      <c r="P78" s="56">
        <f t="shared" si="10"/>
        <v>52351</v>
      </c>
      <c r="Q78" s="57">
        <f t="shared" si="11"/>
        <v>0</v>
      </c>
    </row>
    <row r="79" spans="1:17" s="28" customFormat="1" ht="12.75" x14ac:dyDescent="0.2">
      <c r="A79" s="48" t="s">
        <v>215</v>
      </c>
      <c r="B79" s="49">
        <v>96</v>
      </c>
      <c r="C79" s="49">
        <v>2</v>
      </c>
      <c r="D79" s="48" t="s">
        <v>216</v>
      </c>
      <c r="E79" s="49"/>
      <c r="F79" s="49"/>
      <c r="G79" s="49" t="s">
        <v>217</v>
      </c>
      <c r="H79" s="50">
        <v>3251</v>
      </c>
      <c r="I79" s="50">
        <v>13226</v>
      </c>
      <c r="J79" s="51">
        <v>0.32708301829729319</v>
      </c>
      <c r="K79" s="52">
        <v>112880527</v>
      </c>
      <c r="L79" s="53">
        <v>0.22090000000000001</v>
      </c>
      <c r="M79" s="52">
        <v>23577.566076994874</v>
      </c>
      <c r="N79" s="69">
        <f t="shared" si="8"/>
        <v>24935308.414300002</v>
      </c>
      <c r="O79" s="55">
        <f t="shared" si="9"/>
        <v>0.10361038850366158</v>
      </c>
      <c r="P79" s="56">
        <v>23577</v>
      </c>
      <c r="Q79" s="57">
        <f t="shared" si="11"/>
        <v>0</v>
      </c>
    </row>
    <row r="80" spans="1:17" s="28" customFormat="1" ht="12.75" x14ac:dyDescent="0.2">
      <c r="A80" s="48" t="s">
        <v>142</v>
      </c>
      <c r="B80" s="49">
        <v>25</v>
      </c>
      <c r="C80" s="49">
        <v>2</v>
      </c>
      <c r="D80" s="48" t="s">
        <v>143</v>
      </c>
      <c r="E80" s="49"/>
      <c r="F80" s="49"/>
      <c r="G80" s="49" t="s">
        <v>194</v>
      </c>
      <c r="H80" s="50">
        <v>287</v>
      </c>
      <c r="I80" s="50">
        <v>1982</v>
      </c>
      <c r="J80" s="51">
        <v>0.23965691220988899</v>
      </c>
      <c r="K80" s="52">
        <v>12775726</v>
      </c>
      <c r="L80" s="53">
        <v>0.4365</v>
      </c>
      <c r="M80" s="52">
        <v>742589.06677162927</v>
      </c>
      <c r="N80" s="69">
        <f t="shared" si="8"/>
        <v>5576604.3990000002</v>
      </c>
      <c r="O80" s="55">
        <f t="shared" si="9"/>
        <v>2.3171726561852447E-2</v>
      </c>
      <c r="P80" s="56">
        <f>ROUND(O80*($B$84+$B$85),0)</f>
        <v>110717</v>
      </c>
      <c r="Q80" s="57">
        <f t="shared" si="11"/>
        <v>0</v>
      </c>
    </row>
    <row r="81" spans="1:17" s="58" customFormat="1" ht="12.75" x14ac:dyDescent="0.2">
      <c r="A81" s="26" t="s">
        <v>144</v>
      </c>
      <c r="B81" s="27">
        <f>SUM(B49:B80)</f>
        <v>1383</v>
      </c>
      <c r="H81" s="27">
        <f>SUM(H49:H80)</f>
        <v>21062</v>
      </c>
      <c r="I81" s="27"/>
      <c r="K81" s="27"/>
      <c r="L81" s="59"/>
      <c r="N81" s="60">
        <f>SUM(N49:N80)</f>
        <v>240664172.52569988</v>
      </c>
      <c r="O81" s="72">
        <f>SUM(O49:O80)</f>
        <v>1.0000000000000004</v>
      </c>
      <c r="P81" s="60">
        <f>SUM(P49:P80)</f>
        <v>4306616</v>
      </c>
    </row>
    <row r="82" spans="1:17" s="28" customFormat="1" ht="12.75" x14ac:dyDescent="0.2">
      <c r="A82" s="26" t="s">
        <v>80</v>
      </c>
      <c r="B82" s="61">
        <f>H81/B10</f>
        <v>0.30231089421558777</v>
      </c>
      <c r="L82" s="29"/>
      <c r="P82" s="63">
        <f>P81-B84</f>
        <v>0</v>
      </c>
    </row>
    <row r="83" spans="1:17" s="28" customFormat="1" ht="12.75" x14ac:dyDescent="0.2">
      <c r="A83" s="26" t="s">
        <v>50</v>
      </c>
      <c r="B83" s="27">
        <f>COUNT(B49:B80)</f>
        <v>32</v>
      </c>
      <c r="L83" s="29"/>
      <c r="P83" s="63"/>
    </row>
    <row r="84" spans="1:17" s="28" customFormat="1" ht="12.75" x14ac:dyDescent="0.2">
      <c r="A84" s="26" t="s">
        <v>52</v>
      </c>
      <c r="B84" s="64">
        <f>ROUND((B2-B26)*B82,0)</f>
        <v>4306616</v>
      </c>
      <c r="L84" s="29"/>
    </row>
    <row r="85" spans="1:17" s="28" customFormat="1" ht="12.75" x14ac:dyDescent="0.2">
      <c r="A85" s="26" t="s">
        <v>53</v>
      </c>
      <c r="B85" s="71">
        <f>422634+43786+4540+471+48+5</f>
        <v>471484</v>
      </c>
      <c r="L85" s="29"/>
      <c r="P85" s="30"/>
    </row>
    <row r="86" spans="1:17" s="28" customFormat="1" ht="12.75" x14ac:dyDescent="0.2">
      <c r="B86" s="31"/>
      <c r="L86" s="29"/>
    </row>
    <row r="87" spans="1:17" s="47" customFormat="1" ht="12.75" x14ac:dyDescent="0.2">
      <c r="A87" s="40" t="s">
        <v>145</v>
      </c>
      <c r="B87" s="67"/>
      <c r="C87" s="45"/>
      <c r="D87" s="45"/>
      <c r="E87" s="45"/>
      <c r="F87" s="45"/>
      <c r="G87" s="45"/>
      <c r="H87" s="45"/>
      <c r="I87" s="45"/>
      <c r="J87" s="45"/>
      <c r="K87" s="45"/>
      <c r="L87" s="68"/>
      <c r="M87" s="45"/>
      <c r="N87" s="45"/>
      <c r="O87" s="45"/>
      <c r="P87" s="45"/>
      <c r="Q87" s="45"/>
    </row>
    <row r="88" spans="1:17" s="28" customFormat="1" ht="12.75" x14ac:dyDescent="0.2">
      <c r="A88" s="48" t="s">
        <v>146</v>
      </c>
      <c r="B88" s="49">
        <v>15</v>
      </c>
      <c r="C88" s="49">
        <v>0</v>
      </c>
      <c r="D88" s="48" t="s">
        <v>147</v>
      </c>
      <c r="E88" s="49"/>
      <c r="F88" s="49"/>
      <c r="G88" s="49" t="s">
        <v>159</v>
      </c>
      <c r="H88" s="50">
        <v>974</v>
      </c>
      <c r="I88" s="50">
        <v>4389</v>
      </c>
      <c r="J88" s="51">
        <v>0.28548644338118023</v>
      </c>
      <c r="K88" s="52">
        <v>3506966</v>
      </c>
      <c r="L88" s="53">
        <v>1.6822633588809603</v>
      </c>
      <c r="M88" s="52">
        <v>4106910.6931811385</v>
      </c>
      <c r="N88" s="69">
        <f>L88*K88</f>
        <v>5899640.4026413262</v>
      </c>
      <c r="O88" s="55">
        <f>N88/$N$93</f>
        <v>0.12823187690339791</v>
      </c>
      <c r="P88" s="56">
        <f>ROUND(O88*($B$93+$B$94),0)</f>
        <v>419735</v>
      </c>
      <c r="Q88" s="57">
        <f>+IF(P88&gt;M88,1,0)</f>
        <v>0</v>
      </c>
    </row>
    <row r="89" spans="1:17" s="28" customFormat="1" ht="12" customHeight="1" x14ac:dyDescent="0.2">
      <c r="A89" s="48" t="s">
        <v>148</v>
      </c>
      <c r="B89" s="49">
        <v>182</v>
      </c>
      <c r="C89" s="49">
        <v>0</v>
      </c>
      <c r="D89" s="48" t="s">
        <v>149</v>
      </c>
      <c r="E89" s="49"/>
      <c r="F89" s="49"/>
      <c r="G89" s="49" t="s">
        <v>160</v>
      </c>
      <c r="H89" s="50">
        <v>4374</v>
      </c>
      <c r="I89" s="50">
        <v>42314</v>
      </c>
      <c r="J89" s="51">
        <v>0.14345133998203904</v>
      </c>
      <c r="K89" s="52">
        <v>21069305.109999999</v>
      </c>
      <c r="L89" s="53">
        <v>0.87944991232764058</v>
      </c>
      <c r="M89" s="52">
        <v>14426100.054499732</v>
      </c>
      <c r="N89" s="69">
        <f>L89*K89</f>
        <v>18529398.53179381</v>
      </c>
      <c r="O89" s="55">
        <f>N89/$N$93</f>
        <v>0.40274650478005425</v>
      </c>
      <c r="P89" s="56">
        <f t="shared" ref="P89:P92" si="12">ROUND(O89*($B$93+$B$94),0)</f>
        <v>1318289</v>
      </c>
      <c r="Q89" s="57">
        <f>+IF(P89&gt;M89,1,0)</f>
        <v>0</v>
      </c>
    </row>
    <row r="90" spans="1:17" s="28" customFormat="1" ht="12.75" x14ac:dyDescent="0.2">
      <c r="A90" s="48" t="s">
        <v>150</v>
      </c>
      <c r="B90" s="49">
        <v>30</v>
      </c>
      <c r="C90" s="49">
        <v>0</v>
      </c>
      <c r="D90" s="48" t="s">
        <v>151</v>
      </c>
      <c r="E90" s="49"/>
      <c r="F90" s="49"/>
      <c r="G90" s="49" t="s">
        <v>161</v>
      </c>
      <c r="H90" s="50">
        <v>591</v>
      </c>
      <c r="I90" s="50">
        <v>4371</v>
      </c>
      <c r="J90" s="51">
        <v>0.18279569892473119</v>
      </c>
      <c r="K90" s="52">
        <v>3522104</v>
      </c>
      <c r="L90" s="53">
        <v>2.0884299010972245</v>
      </c>
      <c r="M90" s="52">
        <v>5976547.8347654352</v>
      </c>
      <c r="N90" s="69">
        <f>L90*K90</f>
        <v>7355667.3083741385</v>
      </c>
      <c r="O90" s="55">
        <f>N90/$N$93</f>
        <v>0.15987940966833963</v>
      </c>
      <c r="P90" s="56">
        <f t="shared" si="12"/>
        <v>523325</v>
      </c>
      <c r="Q90" s="57">
        <f>+IF(P90&gt;M90,1,0)</f>
        <v>0</v>
      </c>
    </row>
    <row r="91" spans="1:17" s="28" customFormat="1" ht="12.75" x14ac:dyDescent="0.2">
      <c r="A91" s="48" t="s">
        <v>152</v>
      </c>
      <c r="B91" s="49">
        <v>28</v>
      </c>
      <c r="C91" s="49">
        <v>0</v>
      </c>
      <c r="D91" s="48" t="s">
        <v>153</v>
      </c>
      <c r="E91" s="49"/>
      <c r="F91" s="49"/>
      <c r="G91" s="49" t="s">
        <v>162</v>
      </c>
      <c r="H91" s="50">
        <v>800</v>
      </c>
      <c r="I91" s="50">
        <v>7382</v>
      </c>
      <c r="J91" s="51">
        <v>0.14047683554592252</v>
      </c>
      <c r="K91" s="52">
        <v>5067581</v>
      </c>
      <c r="L91" s="53">
        <v>1</v>
      </c>
      <c r="M91" s="52">
        <v>1576748.7050499998</v>
      </c>
      <c r="N91" s="69">
        <f>L91*K91</f>
        <v>5067581</v>
      </c>
      <c r="O91" s="55">
        <f>N91/$N$93</f>
        <v>0.11014661549525374</v>
      </c>
      <c r="P91" s="56">
        <f t="shared" si="12"/>
        <v>360537</v>
      </c>
      <c r="Q91" s="57">
        <f>+IF(P91&gt;M91,1,0)</f>
        <v>0</v>
      </c>
    </row>
    <row r="92" spans="1:17" s="28" customFormat="1" ht="12.75" x14ac:dyDescent="0.2">
      <c r="A92" s="48" t="s">
        <v>154</v>
      </c>
      <c r="B92" s="49">
        <v>0</v>
      </c>
      <c r="C92" s="49">
        <v>0</v>
      </c>
      <c r="D92" s="48" t="s">
        <v>155</v>
      </c>
      <c r="E92" s="49"/>
      <c r="F92" s="49"/>
      <c r="G92" s="49" t="s">
        <v>163</v>
      </c>
      <c r="H92" s="50">
        <v>1611</v>
      </c>
      <c r="I92" s="50">
        <v>16414</v>
      </c>
      <c r="J92" s="51">
        <v>9.9000852930425251E-2</v>
      </c>
      <c r="K92" s="52">
        <v>9155308.8800000008</v>
      </c>
      <c r="L92" s="53">
        <v>1</v>
      </c>
      <c r="M92" s="52">
        <v>6946876.7857499998</v>
      </c>
      <c r="N92" s="69">
        <f>L92*K92</f>
        <v>9155308.8800000008</v>
      </c>
      <c r="O92" s="55">
        <f>N92/$N$93</f>
        <v>0.19899559315295448</v>
      </c>
      <c r="P92" s="56">
        <f t="shared" si="12"/>
        <v>651362</v>
      </c>
      <c r="Q92" s="57">
        <f>+IF(P92&gt;M92,1,0)</f>
        <v>0</v>
      </c>
    </row>
    <row r="93" spans="1:17" s="58" customFormat="1" ht="12.75" x14ac:dyDescent="0.2">
      <c r="A93" s="26" t="s">
        <v>52</v>
      </c>
      <c r="B93" s="27">
        <f>C2</f>
        <v>3273248</v>
      </c>
      <c r="H93" s="73">
        <f>SUM(H88:H92)</f>
        <v>8350</v>
      </c>
      <c r="L93" s="59"/>
      <c r="N93" s="60">
        <f>SUM(N88:N92)</f>
        <v>46007596.122809276</v>
      </c>
      <c r="O93" s="74">
        <f>SUM(O88:O92)</f>
        <v>0.99999999999999989</v>
      </c>
      <c r="P93" s="75">
        <f>SUM(P88:P92)</f>
        <v>3273248</v>
      </c>
    </row>
    <row r="94" spans="1:17" s="28" customFormat="1" ht="12.75" x14ac:dyDescent="0.2">
      <c r="A94" s="26" t="s">
        <v>53</v>
      </c>
      <c r="B94" s="71"/>
      <c r="L94" s="29"/>
      <c r="P94" s="63"/>
    </row>
    <row r="95" spans="1:17" s="28" customFormat="1" ht="12.75" x14ac:dyDescent="0.2">
      <c r="B95" s="31"/>
      <c r="L95" s="29"/>
      <c r="P95" s="63"/>
    </row>
    <row r="96" spans="1:17" s="28" customFormat="1" ht="12.75" x14ac:dyDescent="0.2">
      <c r="B96" s="31"/>
      <c r="L96" s="29"/>
      <c r="P96" s="63"/>
    </row>
    <row r="97" spans="1:17" s="47" customFormat="1" ht="12.75" x14ac:dyDescent="0.2">
      <c r="A97" s="40" t="s">
        <v>156</v>
      </c>
      <c r="B97" s="67"/>
      <c r="C97" s="45"/>
      <c r="D97" s="45"/>
      <c r="E97" s="45"/>
      <c r="F97" s="45"/>
      <c r="G97" s="45"/>
      <c r="H97" s="45"/>
      <c r="I97" s="45"/>
      <c r="J97" s="45"/>
      <c r="K97" s="45"/>
      <c r="L97" s="68"/>
      <c r="M97" s="45"/>
      <c r="N97" s="45"/>
      <c r="O97" s="45"/>
      <c r="P97" s="45"/>
      <c r="Q97" s="45"/>
    </row>
    <row r="98" spans="1:17" s="28" customFormat="1" ht="12.75" x14ac:dyDescent="0.2">
      <c r="A98" s="48" t="s">
        <v>157</v>
      </c>
      <c r="B98" s="49">
        <v>804</v>
      </c>
      <c r="C98" s="49">
        <v>2</v>
      </c>
      <c r="D98" s="48" t="s">
        <v>158</v>
      </c>
      <c r="E98" s="49"/>
      <c r="F98" s="49"/>
      <c r="G98" s="49" t="s">
        <v>164</v>
      </c>
      <c r="H98" s="50">
        <v>83001.599999999991</v>
      </c>
      <c r="I98" s="50">
        <v>210957.6</v>
      </c>
      <c r="J98" s="51">
        <v>0.45803706526809174</v>
      </c>
      <c r="K98" s="52">
        <v>2385245536.8000002</v>
      </c>
      <c r="L98" s="53">
        <v>0.14448089016984542</v>
      </c>
      <c r="M98" s="52">
        <v>29663437.163236625</v>
      </c>
      <c r="N98" s="69">
        <f>L98*K98</f>
        <v>344622398.43051481</v>
      </c>
      <c r="O98" s="55">
        <f>N98/$N$99</f>
        <v>1</v>
      </c>
      <c r="P98" s="56">
        <f>ROUND(O98*($B$99+$B$100),0)</f>
        <v>20960892</v>
      </c>
      <c r="Q98" s="57">
        <f>+IF(P98&gt;M98,1,0)</f>
        <v>0</v>
      </c>
    </row>
    <row r="99" spans="1:17" s="58" customFormat="1" ht="12.75" x14ac:dyDescent="0.2">
      <c r="A99" s="26" t="s">
        <v>52</v>
      </c>
      <c r="B99" s="27">
        <f>D2</f>
        <v>20960892.221044157</v>
      </c>
      <c r="H99" s="73">
        <f>SUM(H94:H98)</f>
        <v>83001.599999999991</v>
      </c>
      <c r="L99" s="59"/>
      <c r="N99" s="60">
        <f>SUM(N98)</f>
        <v>344622398.43051481</v>
      </c>
      <c r="O99" s="74">
        <f>SUM(O98)</f>
        <v>1</v>
      </c>
      <c r="P99" s="75">
        <f>SUM(P98)</f>
        <v>20960892</v>
      </c>
    </row>
    <row r="100" spans="1:17" s="28" customFormat="1" ht="12.75" x14ac:dyDescent="0.2">
      <c r="A100" s="26" t="s">
        <v>53</v>
      </c>
      <c r="B100" s="71"/>
      <c r="L100" s="29"/>
      <c r="P100" s="63"/>
    </row>
  </sheetData>
  <conditionalFormatting sqref="N14:N22 N30:N41 N88:N92 N49:N80">
    <cfRule type="cellIs" dxfId="5" priority="6" operator="lessThan">
      <formula>0</formula>
    </cfRule>
  </conditionalFormatting>
  <conditionalFormatting sqref="Q14:Q22 Q30:Q41 Q88:Q92 Q49:Q80">
    <cfRule type="cellIs" dxfId="4" priority="5" operator="equal">
      <formula>1</formula>
    </cfRule>
  </conditionalFormatting>
  <conditionalFormatting sqref="N98">
    <cfRule type="cellIs" dxfId="3" priority="4" operator="lessThan">
      <formula>0</formula>
    </cfRule>
  </conditionalFormatting>
  <conditionalFormatting sqref="Q98">
    <cfRule type="cellIs" dxfId="2" priority="3" operator="equal">
      <formula>1</formula>
    </cfRule>
  </conditionalFormatting>
  <conditionalFormatting sqref="J98 J14:J22 J30:J41 J49:J80">
    <cfRule type="cellIs" dxfId="1" priority="2" operator="lessThan">
      <formula>0.01</formula>
    </cfRule>
  </conditionalFormatting>
  <conditionalFormatting sqref="J88:J92">
    <cfRule type="cellIs" dxfId="0" priority="1" operator="lessThan">
      <formula>0.01</formula>
    </cfRule>
  </conditionalFormatting>
  <pageMargins left="0.25" right="0.25" top="0.75" bottom="0.75" header="0.3" footer="0.3"/>
  <pageSetup scale="49" fitToHeight="0" orientation="landscape" r:id="rId1"/>
  <rowBreaks count="1" manualBreakCount="1">
    <brk id="4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89731C-15EB-4E0C-85F1-24A84A9E2A6C}"/>
</file>

<file path=customXml/itemProps2.xml><?xml version="1.0" encoding="utf-8"?>
<ds:datastoreItem xmlns:ds="http://schemas.openxmlformats.org/officeDocument/2006/customXml" ds:itemID="{04AB27EC-C617-460B-AB4D-E1E81FFDBF08}"/>
</file>

<file path=customXml/itemProps3.xml><?xml version="1.0" encoding="utf-8"?>
<ds:datastoreItem xmlns:ds="http://schemas.openxmlformats.org/officeDocument/2006/customXml" ds:itemID="{78419F23-0BF4-4E7B-AB42-5058F39D1F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ALLOCATIONS</vt:lpstr>
      <vt:lpstr>ALLOCATIONS!Print_Titles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Kambra Reddick</dc:creator>
  <cp:lastModifiedBy>Kambra Reddick</cp:lastModifiedBy>
  <dcterms:created xsi:type="dcterms:W3CDTF">2021-12-02T21:28:13Z</dcterms:created>
  <dcterms:modified xsi:type="dcterms:W3CDTF">2021-12-14T16:57:42Z</dcterms:modified>
</cp:coreProperties>
</file>