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arverinc.local\gdata\Projects\2023\T14-2302679 - ODOT CI-2382A TO10 US-75 W 81st St RAISE\Planning\Funding Assistance\BCA\"/>
    </mc:Choice>
  </mc:AlternateContent>
  <xr:revisionPtr revIDLastSave="0" documentId="13_ncr:1_{2F0ED4EE-68A6-47AB-9012-DE8839E0074D}" xr6:coauthVersionLast="47" xr6:coauthVersionMax="47" xr10:uidLastSave="{00000000-0000-0000-0000-000000000000}"/>
  <bookViews>
    <workbookView xWindow="28680" yWindow="-120" windowWidth="29040" windowHeight="15840" tabRatio="857" xr2:uid="{F6349FBE-C7F5-42C3-BCA9-42AEFD032BBB}"/>
  </bookViews>
  <sheets>
    <sheet name="Summary" sheetId="2" r:id="rId1"/>
    <sheet name="Inputs" sheetId="1" r:id="rId2"/>
    <sheet name="Project Costs" sheetId="21" r:id="rId3"/>
    <sheet name="Traffic" sheetId="23" r:id="rId4"/>
    <sheet name="Safety" sheetId="24" r:id="rId5"/>
    <sheet name="Time Savings" sheetId="26" r:id="rId6"/>
    <sheet name="Emissions" sheetId="29" r:id="rId7"/>
    <sheet name="Veh Op Costs" sheetId="35" r:id="rId8"/>
    <sheet name="Pedestrian" sheetId="28" r:id="rId9"/>
    <sheet name="Induced Peds" sheetId="41" r:id="rId10"/>
    <sheet name="Bridge Hits" sheetId="33" r:id="rId11"/>
    <sheet name="Residual Value" sheetId="22" r:id="rId12"/>
    <sheet name="Report Tables" sheetId="10" r:id="rId13"/>
    <sheet name="References-&gt;" sheetId="14" r:id="rId14"/>
    <sheet name="REF USDOT BCA 2024 Guidlines" sheetId="17" r:id="rId15"/>
    <sheet name="REF Project Costs" sheetId="18" r:id="rId16"/>
    <sheet name="REF Traffic" sheetId="20" r:id="rId17"/>
    <sheet name="REF Fuel Prices" sheetId="36" r:id="rId18"/>
    <sheet name="REF Pedestrian" sheetId="39" r:id="rId19"/>
    <sheet name="REF Accidents" sheetId="25" r:id="rId20"/>
    <sheet name="REF Bridge Hits" sheetId="32" r:id="rId21"/>
    <sheet name="REF GDP Deflator" sheetId="37" r:id="rId22"/>
  </sheets>
  <externalReferences>
    <externalReference r:id="rId23"/>
    <externalReference r:id="rId24"/>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ccidentCost_Fatality">[1]Inputs!$D$139</definedName>
    <definedName name="AccidentCost_Injury">[1]Inputs!$D$142</definedName>
    <definedName name="AccidentCost_PDO">[1]Inputs!$D$143</definedName>
    <definedName name="Annualization_Factor">[1]Inputs!$D$130</definedName>
    <definedName name="AutoDetour">[1]Inputs!#REF!</definedName>
    <definedName name="Avg_Veh_Occ">[1]Inputs!$D$128</definedName>
    <definedName name="BaseYear">[1]Inputs!$D$6</definedName>
    <definedName name="BIG" hidden="1">{#N/A,#N/A,FALSE,"Pricing";#N/A,#N/A,FALSE,"Summary";#N/A,#N/A,FALSE,"CompProd";#N/A,#N/A,FALSE,"CompJobhrs";#N/A,#N/A,FALSE,"Escalation";#N/A,#N/A,FALSE,"Contingency";#N/A,#N/A,FALSE,"GM";#N/A,#N/A,FALSE,"CompWage";#N/A,#N/A,FALSE,"costSum"}</definedName>
    <definedName name="BridgeLength">[1]Inputs!#REF!</definedName>
    <definedName name="CHUCK" hidden="1">{#N/A,#N/A,FALSE,"Pricing";#N/A,#N/A,FALSE,"Summary";#N/A,#N/A,FALSE,"CompProd";#N/A,#N/A,FALSE,"CompJobhrs";#N/A,#N/A,FALSE,"Escalation";#N/A,#N/A,FALSE,"Contingency";#N/A,#N/A,FALSE,"GM";#N/A,#N/A,FALSE,"CompWage";#N/A,#N/A,FALSE,"costSum"}</definedName>
    <definedName name="CMF_WidenLane">[1]Inputs!#REF!</definedName>
    <definedName name="CrashRate_Bridge">[1]Inputs!#REF!</definedName>
    <definedName name="CrashRate_Detour">[1]Inputs!#REF!</definedName>
    <definedName name="DamagedVeh_PDOcrash">[1]Inputs!$D$127</definedName>
    <definedName name="DeflatorRate" localSheetId="17">[1]Inputs!$D$13</definedName>
    <definedName name="DeflatorRate">[2]Inputs!$E$12</definedName>
    <definedName name="DetourLength">[1]Inputs!#REF!</definedName>
    <definedName name="DetourTime">[1]Inputs!#REF!</definedName>
    <definedName name="EmissionCost_Auto1">#REF!</definedName>
    <definedName name="EmissionCost_Auto2">#REF!</definedName>
    <definedName name="EmissionCost_Truck1">#REF!</definedName>
    <definedName name="EmissionCost_Truck2">#REF!</definedName>
    <definedName name="HTML_CodePage" hidden="1">1252</definedName>
    <definedName name="HTML_Control" hidden="1">{"'2-35'!$A$1:$M$48"}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tasks\nts2000\nts2000\HTML\Ch2_web\2-35.htm"</definedName>
    <definedName name="HTML_Title" hidden="1">"Table 2-35"</definedName>
    <definedName name="JANA" hidden="1">{#N/A,#N/A,FALSE,"Pricing";#N/A,#N/A,FALSE,"Summary";#N/A,#N/A,FALSE,"CompProd";#N/A,#N/A,FALSE,"CompJobhrs";#N/A,#N/A,FALSE,"Escalation";#N/A,#N/A,FALSE,"Contingency";#N/A,#N/A,FALSE,"GM";#N/A,#N/A,FALSE,"CompWage";#N/A,#N/A,FALSE,"costSum"}</definedName>
    <definedName name="NumberInjuryperCrash_Bridge">[1]Inputs!$D$126</definedName>
    <definedName name="NumberInjuryperCrash_Detour">[1]Inputs!#REF!</definedName>
    <definedName name="OperatingCost_Passenger">[1]Inputs!$D$145</definedName>
    <definedName name="OperatingCost_Trucks">[1]Inputs!$D$146</definedName>
    <definedName name="Pal_Workbook_GUID" hidden="1">"6UQPV5GY3NZ6N5DC9LK87FZI"</definedName>
    <definedName name="PercentFatal_Bridge">[1]Inputs!#REF!</definedName>
    <definedName name="PercentFatal_Detour">[1]Inputs!#REF!</definedName>
    <definedName name="PercentInjury_Bridge">[1]Inputs!#REF!</definedName>
    <definedName name="PercentInjury_Detour">[1]Inputs!#REF!</definedName>
    <definedName name="PercentPDO_Bridge">[1]Inputs!#REF!</definedName>
    <definedName name="PercentPDO_Detour">[1]Inputs!#REF!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SwapState" hidden="1">FALSE</definedName>
    <definedName name="RiskUpdateDisplay" hidden="1">FALSE</definedName>
    <definedName name="RiskUseDifferentSeedForEachSim" hidden="1">FALSE</definedName>
    <definedName name="RiskUseFixedSeed" hidden="1">TRUE</definedName>
    <definedName name="RiskUseMultipleCPUs" hidden="1">FALSE</definedName>
    <definedName name="RouteTime">[1]Inputs!#REF!</definedName>
    <definedName name="Services2" hidden="1">{#N/A,#N/A,FALSE,"Pricing";#N/A,#N/A,FALSE,"Summary";#N/A,#N/A,FALSE,"CompProd";#N/A,#N/A,FALSE,"CompJobhrs";#N/A,#N/A,FALSE,"Escalation";#N/A,#N/A,FALSE,"Contingency";#N/A,#N/A,FALSE,"GM";#N/A,#N/A,FALSE,"CompWage";#N/A,#N/A,FALSE,"costSum"}</definedName>
    <definedName name="ShareTruck">[1]Inputs!$D$27</definedName>
    <definedName name="temp" hidden="1">{#N/A,#N/A,FALSE,"Pricing";#N/A,#N/A,FALSE,"Summary";#N/A,#N/A,FALSE,"CompProd";#N/A,#N/A,FALSE,"CompJobhrs";#N/A,#N/A,FALSE,"Escalation";#N/A,#N/A,FALSE,"Contingency";#N/A,#N/A,FALSE,"GM";#N/A,#N/A,FALSE,"CompWage";#N/A,#N/A,FALSE,"costSum"}</definedName>
    <definedName name="TimeValue_truck">[1]Inputs!$D$136</definedName>
    <definedName name="TruckDetour">[1]Inputs!#REF!</definedName>
    <definedName name="tweet_784481064303591424" localSheetId="20">'REF Bridge Hits'!#REF!</definedName>
    <definedName name="tweet_784481374522793985" localSheetId="20">'REF Bridge Hits'!#REF!</definedName>
    <definedName name="tweet_784483338082017280" localSheetId="20">'REF Bridge Hits'!#REF!</definedName>
    <definedName name="wrn.all." hidden="1">{"sandu",#N/A,FALSE,"sandu";"flow",#N/A,FALSE,"base";"debt",#N/A,FALSE,"base";"subdebt",#N/A,FALSE,"subdebt";"operating",#N/A,FALSE,"base";"stress1",#N/A,FALSE,"stress1";"stress2",#N/A,FALSE,"stress2"}</definedName>
    <definedName name="wrn.ESTIMATE." hidden="1">{#N/A,#N/A,FALSE,"SUM";#N/A,#N/A,FALSE,"MECH.";#N/A,#N/A,FALSE,"PIPE";#N/A,#N/A,FALSE,"ELECT";#N/A,#N/A,FALSE,"PR CONT";#N/A,#N/A,FALSE,"STRUCT"}</definedName>
    <definedName name="wrn.Labor._.Cost._.Workbook." hidden="1">{#N/A,#N/A,FALSE,"RATES";#N/A,#N/A,FALSE,"LOADED RATES"}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8" l="1"/>
  <c r="E92" i="1"/>
  <c r="E151" i="1"/>
  <c r="D70" i="23" s="1"/>
  <c r="B152" i="1"/>
  <c r="D74" i="23"/>
  <c r="D73" i="23"/>
  <c r="D72" i="23"/>
  <c r="B74" i="23"/>
  <c r="B73" i="23"/>
  <c r="B72" i="23"/>
  <c r="D33" i="41"/>
  <c r="B43" i="41"/>
  <c r="B42" i="41"/>
  <c r="B31" i="41"/>
  <c r="B30" i="41"/>
  <c r="D25" i="41"/>
  <c r="D17" i="41"/>
  <c r="B17" i="41"/>
  <c r="D16" i="41"/>
  <c r="B16" i="41"/>
  <c r="D15" i="41"/>
  <c r="F8" i="41"/>
  <c r="G8" i="41" s="1"/>
  <c r="H8" i="41" s="1"/>
  <c r="I8" i="41" s="1"/>
  <c r="J8" i="41" s="1"/>
  <c r="K8" i="41" s="1"/>
  <c r="L8" i="41" s="1"/>
  <c r="M8" i="41" s="1"/>
  <c r="N8" i="41" s="1"/>
  <c r="O8" i="41" s="1"/>
  <c r="P8" i="41" s="1"/>
  <c r="Q8" i="41" s="1"/>
  <c r="R8" i="41" s="1"/>
  <c r="S8" i="41" s="1"/>
  <c r="T8" i="41" s="1"/>
  <c r="U8" i="41" s="1"/>
  <c r="V8" i="41" s="1"/>
  <c r="W8" i="41" s="1"/>
  <c r="X8" i="41" s="1"/>
  <c r="Y8" i="41" s="1"/>
  <c r="Z8" i="41" s="1"/>
  <c r="AA8" i="41" s="1"/>
  <c r="AB8" i="41" s="1"/>
  <c r="AC8" i="41" s="1"/>
  <c r="AD8" i="41" s="1"/>
  <c r="AE8" i="41" s="1"/>
  <c r="AF8" i="41" s="1"/>
  <c r="AG8" i="41" s="1"/>
  <c r="AH8" i="41" s="1"/>
  <c r="AI8" i="41" s="1"/>
  <c r="AJ8" i="41" s="1"/>
  <c r="AK8" i="41" s="1"/>
  <c r="AL8" i="41" s="1"/>
  <c r="AM8" i="41" s="1"/>
  <c r="AN8" i="41" s="1"/>
  <c r="AO8" i="41" s="1"/>
  <c r="AP8" i="41" s="1"/>
  <c r="AQ8" i="41" s="1"/>
  <c r="AR8" i="41" s="1"/>
  <c r="F7" i="41"/>
  <c r="F9" i="41" s="1"/>
  <c r="A4" i="41"/>
  <c r="A1" i="41"/>
  <c r="AA8" i="20"/>
  <c r="AA42" i="20" s="1"/>
  <c r="E139" i="1" s="1"/>
  <c r="X8" i="20"/>
  <c r="AE53" i="20" s="1"/>
  <c r="B101" i="1"/>
  <c r="D40" i="23"/>
  <c r="E56" i="1"/>
  <c r="D35" i="23" s="1"/>
  <c r="L104" i="20"/>
  <c r="E57" i="1" s="1"/>
  <c r="D36" i="23" s="1"/>
  <c r="E54" i="1"/>
  <c r="D33" i="23" s="1"/>
  <c r="L56" i="20"/>
  <c r="E55" i="1" s="1"/>
  <c r="D34" i="23" s="1"/>
  <c r="AB7" i="20"/>
  <c r="AB6" i="20"/>
  <c r="AB5" i="20"/>
  <c r="Z7" i="20"/>
  <c r="Y7" i="20"/>
  <c r="Z6" i="20"/>
  <c r="Y6" i="20"/>
  <c r="Z5" i="20"/>
  <c r="Y5" i="20"/>
  <c r="W7" i="20"/>
  <c r="W6" i="20"/>
  <c r="W5" i="20"/>
  <c r="D71" i="20"/>
  <c r="W4" i="20"/>
  <c r="E158" i="1"/>
  <c r="E157" i="1"/>
  <c r="D31" i="41" s="1"/>
  <c r="L104" i="18"/>
  <c r="Z51" i="20" l="1"/>
  <c r="E115" i="1" s="1"/>
  <c r="X41" i="20"/>
  <c r="X42" i="20"/>
  <c r="E137" i="1" s="1"/>
  <c r="AA41" i="20"/>
  <c r="AA43" i="20" s="1"/>
  <c r="AF51" i="20"/>
  <c r="E117" i="1" s="1"/>
  <c r="Z53" i="20"/>
  <c r="Y51" i="20"/>
  <c r="E105" i="1" s="1"/>
  <c r="AE52" i="20"/>
  <c r="E112" i="1" s="1"/>
  <c r="Y52" i="20"/>
  <c r="E110" i="1" s="1"/>
  <c r="AF52" i="20"/>
  <c r="E122" i="1" s="1"/>
  <c r="Y53" i="20"/>
  <c r="AF53" i="20"/>
  <c r="Z52" i="20"/>
  <c r="E120" i="1" s="1"/>
  <c r="AE51" i="20"/>
  <c r="E107" i="1" s="1"/>
  <c r="AA7" i="20"/>
  <c r="G7" i="41"/>
  <c r="X5" i="20"/>
  <c r="E89" i="1" s="1"/>
  <c r="X6" i="20"/>
  <c r="E95" i="1" s="1"/>
  <c r="D37" i="23"/>
  <c r="X7" i="20"/>
  <c r="AA6" i="20"/>
  <c r="E97" i="1" s="1"/>
  <c r="AA5" i="20"/>
  <c r="L7" i="18"/>
  <c r="B54" i="21"/>
  <c r="B53" i="21"/>
  <c r="B32" i="21"/>
  <c r="B31" i="21"/>
  <c r="B46" i="22"/>
  <c r="B45" i="22"/>
  <c r="B40" i="22"/>
  <c r="B39" i="22"/>
  <c r="B28" i="22"/>
  <c r="B27" i="22"/>
  <c r="M7" i="18"/>
  <c r="E38" i="1" s="1"/>
  <c r="D27" i="18"/>
  <c r="D26" i="18"/>
  <c r="B78" i="21"/>
  <c r="B77" i="21"/>
  <c r="B73" i="21"/>
  <c r="B72" i="21"/>
  <c r="B68" i="21"/>
  <c r="B67" i="21"/>
  <c r="B62" i="21"/>
  <c r="B61" i="21"/>
  <c r="B41" i="21"/>
  <c r="B40" i="21"/>
  <c r="B17" i="21"/>
  <c r="B16" i="21"/>
  <c r="AH9" i="36"/>
  <c r="AG9" i="36"/>
  <c r="AF9" i="36"/>
  <c r="AE9" i="36"/>
  <c r="AD9" i="36"/>
  <c r="AC9" i="36"/>
  <c r="AB9" i="36"/>
  <c r="AA9" i="36"/>
  <c r="Z9" i="36"/>
  <c r="Y9" i="36"/>
  <c r="X9" i="36"/>
  <c r="W9" i="36"/>
  <c r="V9" i="36"/>
  <c r="U9" i="36"/>
  <c r="T9" i="36"/>
  <c r="S9" i="36"/>
  <c r="R9" i="36"/>
  <c r="Q9" i="36"/>
  <c r="P9" i="36"/>
  <c r="O9" i="36"/>
  <c r="N9" i="36"/>
  <c r="M9" i="36"/>
  <c r="L9" i="36"/>
  <c r="K9" i="36"/>
  <c r="J9" i="36"/>
  <c r="I9" i="36"/>
  <c r="H9" i="36"/>
  <c r="G9" i="36"/>
  <c r="F9" i="36"/>
  <c r="E9" i="36"/>
  <c r="B56" i="22"/>
  <c r="B55" i="22"/>
  <c r="B51" i="22"/>
  <c r="B50" i="22"/>
  <c r="B17" i="22"/>
  <c r="B16" i="22"/>
  <c r="B47" i="33"/>
  <c r="B46" i="33"/>
  <c r="B17" i="33"/>
  <c r="B16" i="33"/>
  <c r="B60" i="28"/>
  <c r="B59" i="28"/>
  <c r="B17" i="28"/>
  <c r="B16" i="28"/>
  <c r="B78" i="35"/>
  <c r="B77" i="35"/>
  <c r="B17" i="35"/>
  <c r="B16" i="35"/>
  <c r="B100" i="29"/>
  <c r="B99" i="29"/>
  <c r="B17" i="29"/>
  <c r="B16" i="29"/>
  <c r="B107" i="26"/>
  <c r="B106" i="26"/>
  <c r="B17" i="26"/>
  <c r="B16" i="26"/>
  <c r="B81" i="24"/>
  <c r="B80" i="24"/>
  <c r="B17" i="24"/>
  <c r="B16" i="24"/>
  <c r="E168" i="1"/>
  <c r="F34" i="32"/>
  <c r="O3" i="32"/>
  <c r="O4" i="32"/>
  <c r="O5" i="32"/>
  <c r="O6" i="32"/>
  <c r="O7" i="32"/>
  <c r="O8" i="32"/>
  <c r="O9" i="32"/>
  <c r="O10" i="32"/>
  <c r="O11" i="32"/>
  <c r="O12" i="32"/>
  <c r="O13" i="32"/>
  <c r="O14" i="32"/>
  <c r="O15" i="32"/>
  <c r="O16" i="32"/>
  <c r="O17" i="32"/>
  <c r="O18" i="32"/>
  <c r="O19" i="32"/>
  <c r="O20" i="32"/>
  <c r="O21" i="32"/>
  <c r="O22" i="32"/>
  <c r="O23" i="32"/>
  <c r="O24" i="32"/>
  <c r="O25" i="32"/>
  <c r="O26" i="32"/>
  <c r="O27" i="32"/>
  <c r="O28" i="32"/>
  <c r="O2" i="32"/>
  <c r="N28" i="32"/>
  <c r="N27" i="32"/>
  <c r="N26" i="32"/>
  <c r="N25" i="32"/>
  <c r="N24" i="32"/>
  <c r="N23" i="32"/>
  <c r="N22" i="32"/>
  <c r="N21" i="32"/>
  <c r="N20" i="32"/>
  <c r="N19" i="32"/>
  <c r="N18" i="32"/>
  <c r="N17" i="32"/>
  <c r="N16" i="32"/>
  <c r="N15" i="32"/>
  <c r="N14" i="32"/>
  <c r="N13" i="32"/>
  <c r="N12" i="32"/>
  <c r="N11" i="32"/>
  <c r="N10" i="32"/>
  <c r="N9" i="32"/>
  <c r="N8" i="32"/>
  <c r="N7" i="32"/>
  <c r="N6" i="32"/>
  <c r="N5" i="32"/>
  <c r="N4" i="32"/>
  <c r="N2" i="32"/>
  <c r="M28" i="32"/>
  <c r="M27" i="32"/>
  <c r="M26" i="32"/>
  <c r="M25" i="32"/>
  <c r="M24" i="32"/>
  <c r="M23" i="32"/>
  <c r="M22" i="32"/>
  <c r="M21" i="32"/>
  <c r="M20" i="32"/>
  <c r="M19" i="32"/>
  <c r="M18" i="32"/>
  <c r="M17" i="32"/>
  <c r="M16" i="32"/>
  <c r="M15" i="32"/>
  <c r="M14" i="32"/>
  <c r="M13" i="32"/>
  <c r="M12" i="32"/>
  <c r="M11" i="32"/>
  <c r="M10" i="32"/>
  <c r="M9" i="32"/>
  <c r="M8" i="32"/>
  <c r="M7" i="32"/>
  <c r="M6" i="32"/>
  <c r="M5" i="32"/>
  <c r="M4" i="32"/>
  <c r="M2" i="32"/>
  <c r="M5" i="18"/>
  <c r="E31" i="2"/>
  <c r="D31" i="2"/>
  <c r="C31" i="2"/>
  <c r="E26" i="2"/>
  <c r="D26" i="2"/>
  <c r="C26" i="2"/>
  <c r="E12" i="2"/>
  <c r="D12" i="2"/>
  <c r="C12" i="2"/>
  <c r="E70" i="1"/>
  <c r="B1" i="18"/>
  <c r="E72" i="1"/>
  <c r="E149" i="1"/>
  <c r="E148" i="1"/>
  <c r="E147" i="1"/>
  <c r="E56" i="37"/>
  <c r="E38" i="37"/>
  <c r="E39" i="37"/>
  <c r="E40" i="37"/>
  <c r="E41" i="37"/>
  <c r="E42" i="37"/>
  <c r="E43" i="37"/>
  <c r="E44" i="37"/>
  <c r="E45" i="37"/>
  <c r="E46" i="37"/>
  <c r="E47" i="37"/>
  <c r="E48" i="37"/>
  <c r="E49" i="37"/>
  <c r="E50" i="37"/>
  <c r="E51" i="37"/>
  <c r="E52" i="37"/>
  <c r="E53" i="37"/>
  <c r="E54" i="37"/>
  <c r="E55" i="37"/>
  <c r="E37" i="37"/>
  <c r="E36" i="37"/>
  <c r="E86" i="1"/>
  <c r="E85" i="1"/>
  <c r="E84" i="1"/>
  <c r="E83" i="1"/>
  <c r="E81" i="1"/>
  <c r="E80" i="1"/>
  <c r="E79" i="1"/>
  <c r="E78" i="1"/>
  <c r="E77" i="1"/>
  <c r="D95" i="26" s="1"/>
  <c r="E76" i="1"/>
  <c r="E75" i="1"/>
  <c r="E74" i="1"/>
  <c r="E65" i="1"/>
  <c r="E64" i="1"/>
  <c r="AI24" i="10"/>
  <c r="AI23" i="10"/>
  <c r="E135" i="1" l="1"/>
  <c r="X43" i="20"/>
  <c r="E133" i="1"/>
  <c r="H7" i="41"/>
  <c r="G9" i="41"/>
  <c r="P37" i="10"/>
  <c r="D58" i="26"/>
  <c r="B37" i="1"/>
  <c r="D19" i="18"/>
  <c r="Q71" i="10"/>
  <c r="O71" i="10"/>
  <c r="N71" i="10"/>
  <c r="Q70" i="10"/>
  <c r="O70" i="10"/>
  <c r="N70" i="10"/>
  <c r="Q66" i="10"/>
  <c r="O66" i="10"/>
  <c r="Q65" i="10"/>
  <c r="O65" i="10"/>
  <c r="Q64" i="10"/>
  <c r="O64" i="10"/>
  <c r="Q63" i="10"/>
  <c r="P63" i="10"/>
  <c r="O63" i="10"/>
  <c r="N65" i="10"/>
  <c r="N64" i="10"/>
  <c r="N63" i="10"/>
  <c r="O54" i="10"/>
  <c r="Y42" i="10"/>
  <c r="X42" i="10"/>
  <c r="W42" i="10"/>
  <c r="V42" i="10"/>
  <c r="Q15" i="10"/>
  <c r="Q39" i="10"/>
  <c r="P39" i="10"/>
  <c r="O39" i="10"/>
  <c r="N39" i="10"/>
  <c r="Q38" i="10"/>
  <c r="P38" i="10"/>
  <c r="O38" i="10"/>
  <c r="N38" i="10"/>
  <c r="Q37" i="10"/>
  <c r="O37" i="10"/>
  <c r="N37" i="10"/>
  <c r="Q58" i="10"/>
  <c r="O58" i="10"/>
  <c r="N58" i="10"/>
  <c r="O57" i="10"/>
  <c r="N57" i="10"/>
  <c r="Q56" i="10"/>
  <c r="P56" i="10"/>
  <c r="O56" i="10"/>
  <c r="N56" i="10"/>
  <c r="Q55" i="10"/>
  <c r="O55" i="10"/>
  <c r="N55" i="10"/>
  <c r="Q54" i="10"/>
  <c r="N54" i="10"/>
  <c r="P53" i="10"/>
  <c r="O53" i="10"/>
  <c r="N53" i="10"/>
  <c r="P52" i="10"/>
  <c r="O52" i="10"/>
  <c r="N52" i="10"/>
  <c r="P51" i="10"/>
  <c r="O51" i="10"/>
  <c r="N51" i="10"/>
  <c r="AI22" i="10"/>
  <c r="AI21" i="10"/>
  <c r="AI20" i="10"/>
  <c r="AI19" i="10"/>
  <c r="AI18" i="10"/>
  <c r="AI16" i="10"/>
  <c r="AI17" i="10"/>
  <c r="V16" i="10"/>
  <c r="W16" i="10"/>
  <c r="X16" i="10"/>
  <c r="Y16" i="10"/>
  <c r="X15" i="10"/>
  <c r="V15" i="10"/>
  <c r="B25" i="1"/>
  <c r="B67" i="1"/>
  <c r="B98" i="1"/>
  <c r="E91" i="1"/>
  <c r="E93" i="1"/>
  <c r="D27" i="26" s="1"/>
  <c r="E90" i="1"/>
  <c r="D25" i="26" s="1"/>
  <c r="E96" i="1"/>
  <c r="D72" i="26" s="1"/>
  <c r="E99" i="1"/>
  <c r="D74" i="26" s="1"/>
  <c r="E66" i="1"/>
  <c r="B146" i="1"/>
  <c r="E23" i="1"/>
  <c r="E145" i="1"/>
  <c r="Q21" i="10"/>
  <c r="O21" i="10"/>
  <c r="N21" i="10"/>
  <c r="P15" i="10"/>
  <c r="O15" i="10"/>
  <c r="N15" i="10"/>
  <c r="Q20" i="10"/>
  <c r="O20" i="10"/>
  <c r="Q19" i="10"/>
  <c r="O19" i="10"/>
  <c r="Q18" i="10"/>
  <c r="O18" i="10"/>
  <c r="Q17" i="10"/>
  <c r="O17" i="10"/>
  <c r="Q16" i="10"/>
  <c r="O16" i="10"/>
  <c r="N20" i="10"/>
  <c r="N19" i="10"/>
  <c r="I39" i="10"/>
  <c r="I38" i="10"/>
  <c r="I37" i="10"/>
  <c r="I36" i="10"/>
  <c r="I35" i="10"/>
  <c r="I34" i="10"/>
  <c r="I33" i="10"/>
  <c r="I32" i="10"/>
  <c r="I26" i="10"/>
  <c r="A1" i="1"/>
  <c r="F36" i="32"/>
  <c r="E140" i="1"/>
  <c r="D53" i="35" s="1"/>
  <c r="E138" i="1"/>
  <c r="D51" i="35" s="1"/>
  <c r="E136" i="1"/>
  <c r="D26" i="35" s="1"/>
  <c r="E134" i="1"/>
  <c r="D24" i="35" s="1"/>
  <c r="E143" i="1"/>
  <c r="D47" i="23" s="1"/>
  <c r="D20" i="39"/>
  <c r="D21" i="39" s="1"/>
  <c r="C7" i="39"/>
  <c r="E144" i="1" s="1"/>
  <c r="D48" i="23" s="1"/>
  <c r="C9" i="1"/>
  <c r="C6" i="1"/>
  <c r="B20" i="18"/>
  <c r="B16" i="18" s="1"/>
  <c r="G20" i="18"/>
  <c r="E20" i="18"/>
  <c r="E16" i="18" s="1"/>
  <c r="D20" i="18"/>
  <c r="D80" i="29"/>
  <c r="D78" i="29"/>
  <c r="D63" i="29"/>
  <c r="D61" i="29"/>
  <c r="E123" i="1"/>
  <c r="D81" i="29" s="1"/>
  <c r="E118" i="1"/>
  <c r="D64" i="29" s="1"/>
  <c r="E121" i="1"/>
  <c r="D79" i="29" s="1"/>
  <c r="E116" i="1"/>
  <c r="D62" i="29" s="1"/>
  <c r="E108" i="1"/>
  <c r="E111" i="1"/>
  <c r="D41" i="29" s="1"/>
  <c r="D42" i="29"/>
  <c r="D40" i="29"/>
  <c r="E113" i="1"/>
  <c r="D43" i="29" s="1"/>
  <c r="D25" i="29"/>
  <c r="E106" i="1"/>
  <c r="D24" i="29" s="1"/>
  <c r="D23" i="29"/>
  <c r="D47" i="28"/>
  <c r="D50" i="28"/>
  <c r="D40" i="28"/>
  <c r="D43" i="28"/>
  <c r="D33" i="28"/>
  <c r="D61" i="35"/>
  <c r="B61" i="35"/>
  <c r="D52" i="35"/>
  <c r="D50" i="35"/>
  <c r="D57" i="35"/>
  <c r="D25" i="35"/>
  <c r="D23" i="35"/>
  <c r="D34" i="35"/>
  <c r="B34" i="35"/>
  <c r="D41" i="26"/>
  <c r="D47" i="26"/>
  <c r="D52" i="26"/>
  <c r="D42" i="26"/>
  <c r="D36" i="26"/>
  <c r="D53" i="26"/>
  <c r="P71" i="10"/>
  <c r="D40" i="26"/>
  <c r="P66" i="10"/>
  <c r="P70" i="10"/>
  <c r="D64" i="24"/>
  <c r="D63" i="24"/>
  <c r="B28" i="24"/>
  <c r="C62" i="1"/>
  <c r="N18" i="10" s="1"/>
  <c r="C61" i="1"/>
  <c r="N17" i="10" s="1"/>
  <c r="C60" i="1"/>
  <c r="N16" i="10" s="1"/>
  <c r="B27" i="24"/>
  <c r="B26" i="24"/>
  <c r="B25" i="24"/>
  <c r="E63" i="1"/>
  <c r="D28" i="24" s="1"/>
  <c r="E62" i="1"/>
  <c r="D27" i="24" s="1"/>
  <c r="E61" i="1"/>
  <c r="D26" i="24" s="1"/>
  <c r="E60" i="1"/>
  <c r="D25" i="24" s="1"/>
  <c r="D26" i="23"/>
  <c r="E51" i="1"/>
  <c r="D21" i="23" s="1"/>
  <c r="E49" i="1"/>
  <c r="D19" i="23" s="1"/>
  <c r="I7" i="41" l="1"/>
  <c r="H9" i="41"/>
  <c r="G14" i="18"/>
  <c r="G6" i="18"/>
  <c r="H9" i="18"/>
  <c r="H6" i="18"/>
  <c r="F11" i="18"/>
  <c r="F6" i="18"/>
  <c r="D9" i="18"/>
  <c r="D11" i="18"/>
  <c r="D4" i="18"/>
  <c r="D7" i="18"/>
  <c r="D12" i="18"/>
  <c r="D15" i="18"/>
  <c r="D14" i="18"/>
  <c r="D6" i="18"/>
  <c r="D16" i="18"/>
  <c r="D5" i="18"/>
  <c r="D13" i="18"/>
  <c r="D8" i="18"/>
  <c r="D10" i="18"/>
  <c r="P65" i="10"/>
  <c r="B92" i="1"/>
  <c r="B170" i="1" s="1"/>
  <c r="D7" i="1" s="1"/>
  <c r="P17" i="10"/>
  <c r="P18" i="10"/>
  <c r="P16" i="10"/>
  <c r="P19" i="10"/>
  <c r="P20" i="10"/>
  <c r="P21" i="10"/>
  <c r="F5" i="18"/>
  <c r="E7" i="18"/>
  <c r="E10" i="18"/>
  <c r="F8" i="18"/>
  <c r="F9" i="18"/>
  <c r="F4" i="18"/>
  <c r="F13" i="18"/>
  <c r="G10" i="18"/>
  <c r="G7" i="18"/>
  <c r="G12" i="18"/>
  <c r="G5" i="18"/>
  <c r="G11" i="18"/>
  <c r="G15" i="18"/>
  <c r="G8" i="18"/>
  <c r="G13" i="18"/>
  <c r="G16" i="18"/>
  <c r="F12" i="18"/>
  <c r="F15" i="18"/>
  <c r="F10" i="18"/>
  <c r="F16" i="18"/>
  <c r="F7" i="18"/>
  <c r="E4" i="18"/>
  <c r="E15" i="18"/>
  <c r="E5" i="18"/>
  <c r="E12" i="18"/>
  <c r="E9" i="18"/>
  <c r="E13" i="18"/>
  <c r="B9" i="18"/>
  <c r="H13" i="18"/>
  <c r="B7" i="18"/>
  <c r="B12" i="18"/>
  <c r="H14" i="18"/>
  <c r="H11" i="18"/>
  <c r="E14" i="18"/>
  <c r="H15" i="18"/>
  <c r="B5" i="18"/>
  <c r="B14" i="18"/>
  <c r="H16" i="18"/>
  <c r="H5" i="18"/>
  <c r="B4" i="18"/>
  <c r="G4" i="18"/>
  <c r="E6" i="18"/>
  <c r="G9" i="18"/>
  <c r="E11" i="18"/>
  <c r="H12" i="18"/>
  <c r="F14" i="18"/>
  <c r="B6" i="18"/>
  <c r="B15" i="18"/>
  <c r="B10" i="18"/>
  <c r="H8" i="18"/>
  <c r="B11" i="18"/>
  <c r="H10" i="18"/>
  <c r="B13" i="18"/>
  <c r="H7" i="18"/>
  <c r="H4" i="18"/>
  <c r="E8" i="18"/>
  <c r="B8" i="18"/>
  <c r="D26" i="29"/>
  <c r="D54" i="35"/>
  <c r="D36" i="24"/>
  <c r="D37" i="24"/>
  <c r="J7" i="41" l="1"/>
  <c r="I9" i="41"/>
  <c r="I10" i="41"/>
  <c r="F10" i="41"/>
  <c r="G10" i="41"/>
  <c r="H10" i="41"/>
  <c r="C8" i="2"/>
  <c r="H36" i="18"/>
  <c r="G36" i="18"/>
  <c r="F36" i="18"/>
  <c r="E36" i="18"/>
  <c r="D36" i="18"/>
  <c r="B36" i="18"/>
  <c r="I35" i="18"/>
  <c r="I34" i="18"/>
  <c r="I33" i="18"/>
  <c r="I32" i="18"/>
  <c r="I31" i="18"/>
  <c r="I30" i="18"/>
  <c r="I29" i="18"/>
  <c r="I28" i="18"/>
  <c r="I27" i="18"/>
  <c r="I26" i="18"/>
  <c r="I25" i="18"/>
  <c r="I24" i="18"/>
  <c r="I23" i="18"/>
  <c r="H17" i="41" l="1"/>
  <c r="H16" i="41"/>
  <c r="H15" i="41"/>
  <c r="I16" i="41"/>
  <c r="I17" i="41"/>
  <c r="I15" i="41"/>
  <c r="G17" i="41"/>
  <c r="G16" i="41"/>
  <c r="G15" i="41"/>
  <c r="F17" i="41"/>
  <c r="F16" i="41"/>
  <c r="F15" i="41"/>
  <c r="K7" i="41"/>
  <c r="J9" i="41"/>
  <c r="J10" i="41"/>
  <c r="I36" i="18"/>
  <c r="J17" i="41" l="1"/>
  <c r="J16" i="41"/>
  <c r="J15" i="41"/>
  <c r="L7" i="41"/>
  <c r="K9" i="41"/>
  <c r="K10" i="41"/>
  <c r="I16" i="18"/>
  <c r="I4" i="18"/>
  <c r="I12" i="18"/>
  <c r="L9" i="41" l="1"/>
  <c r="L10" i="41"/>
  <c r="M7" i="41"/>
  <c r="K17" i="41"/>
  <c r="K16" i="41"/>
  <c r="K15" i="41"/>
  <c r="I10" i="18"/>
  <c r="I15" i="18"/>
  <c r="I9" i="18"/>
  <c r="I5" i="18"/>
  <c r="I13" i="18"/>
  <c r="I8" i="18"/>
  <c r="I14" i="18"/>
  <c r="G17" i="18"/>
  <c r="F17" i="18"/>
  <c r="I7" i="18"/>
  <c r="I11" i="18"/>
  <c r="H17" i="18"/>
  <c r="I6" i="18"/>
  <c r="M9" i="41" l="1"/>
  <c r="M10" i="41"/>
  <c r="N7" i="41"/>
  <c r="L17" i="41"/>
  <c r="L16" i="41"/>
  <c r="L15" i="41"/>
  <c r="I17" i="18"/>
  <c r="E36" i="1" s="1"/>
  <c r="E71" i="1"/>
  <c r="N9" i="41" l="1"/>
  <c r="N10" i="41"/>
  <c r="O7" i="41"/>
  <c r="M16" i="41"/>
  <c r="M15" i="41"/>
  <c r="M17" i="41"/>
  <c r="E44" i="1"/>
  <c r="D30" i="28" s="1"/>
  <c r="P64" i="10"/>
  <c r="A3" i="1"/>
  <c r="D48" i="28"/>
  <c r="D41" i="28"/>
  <c r="D34" i="28"/>
  <c r="O10" i="41" l="1"/>
  <c r="P7" i="41"/>
  <c r="O9" i="41"/>
  <c r="N16" i="41"/>
  <c r="N17" i="41"/>
  <c r="N15" i="41"/>
  <c r="AB43" i="20"/>
  <c r="Z43" i="20"/>
  <c r="Y43" i="20"/>
  <c r="W43" i="20"/>
  <c r="W2" i="20"/>
  <c r="Y19" i="10"/>
  <c r="X19" i="10"/>
  <c r="W19" i="10"/>
  <c r="V19" i="10"/>
  <c r="Y18" i="10"/>
  <c r="W18" i="10"/>
  <c r="Y17" i="10"/>
  <c r="W17" i="10"/>
  <c r="D30" i="35"/>
  <c r="D17" i="35"/>
  <c r="D16" i="35"/>
  <c r="D15" i="35"/>
  <c r="F8" i="35"/>
  <c r="G8" i="35" s="1"/>
  <c r="H8" i="35" s="1"/>
  <c r="I8" i="35" s="1"/>
  <c r="J8" i="35" s="1"/>
  <c r="K8" i="35" s="1"/>
  <c r="L8" i="35" s="1"/>
  <c r="M8" i="35" s="1"/>
  <c r="N8" i="35" s="1"/>
  <c r="O8" i="35" s="1"/>
  <c r="P8" i="35" s="1"/>
  <c r="Q8" i="35" s="1"/>
  <c r="R8" i="35" s="1"/>
  <c r="S8" i="35" s="1"/>
  <c r="T8" i="35" s="1"/>
  <c r="U8" i="35" s="1"/>
  <c r="V8" i="35" s="1"/>
  <c r="W8" i="35" s="1"/>
  <c r="X8" i="35" s="1"/>
  <c r="Y8" i="35" s="1"/>
  <c r="Z8" i="35" s="1"/>
  <c r="AA8" i="35" s="1"/>
  <c r="AB8" i="35" s="1"/>
  <c r="AC8" i="35" s="1"/>
  <c r="AD8" i="35" s="1"/>
  <c r="AE8" i="35" s="1"/>
  <c r="AF8" i="35" s="1"/>
  <c r="AG8" i="35" s="1"/>
  <c r="AH8" i="35" s="1"/>
  <c r="AI8" i="35" s="1"/>
  <c r="AJ8" i="35" s="1"/>
  <c r="AK8" i="35" s="1"/>
  <c r="AL8" i="35" s="1"/>
  <c r="AM8" i="35" s="1"/>
  <c r="AN8" i="35" s="1"/>
  <c r="AO8" i="35" s="1"/>
  <c r="AP8" i="35" s="1"/>
  <c r="AQ8" i="35" s="1"/>
  <c r="AR8" i="35" s="1"/>
  <c r="F7" i="35"/>
  <c r="A4" i="35"/>
  <c r="A1" i="35"/>
  <c r="D41" i="33"/>
  <c r="D26" i="33"/>
  <c r="D25" i="33"/>
  <c r="D24" i="33"/>
  <c r="E165" i="1"/>
  <c r="D17" i="33"/>
  <c r="D16" i="33"/>
  <c r="D15" i="33"/>
  <c r="F8" i="33"/>
  <c r="G8" i="33" s="1"/>
  <c r="H8" i="33" s="1"/>
  <c r="I8" i="33" s="1"/>
  <c r="J8" i="33" s="1"/>
  <c r="K8" i="33" s="1"/>
  <c r="L8" i="33" s="1"/>
  <c r="M8" i="33" s="1"/>
  <c r="N8" i="33" s="1"/>
  <c r="O8" i="33" s="1"/>
  <c r="P8" i="33" s="1"/>
  <c r="Q8" i="33" s="1"/>
  <c r="R8" i="33" s="1"/>
  <c r="S8" i="33" s="1"/>
  <c r="T8" i="33" s="1"/>
  <c r="U8" i="33" s="1"/>
  <c r="V8" i="33" s="1"/>
  <c r="W8" i="33" s="1"/>
  <c r="X8" i="33" s="1"/>
  <c r="Y8" i="33" s="1"/>
  <c r="Z8" i="33" s="1"/>
  <c r="AA8" i="33" s="1"/>
  <c r="AB8" i="33" s="1"/>
  <c r="AC8" i="33" s="1"/>
  <c r="AD8" i="33" s="1"/>
  <c r="AE8" i="33" s="1"/>
  <c r="AF8" i="33" s="1"/>
  <c r="AG8" i="33" s="1"/>
  <c r="AH8" i="33" s="1"/>
  <c r="AI8" i="33" s="1"/>
  <c r="AJ8" i="33" s="1"/>
  <c r="AK8" i="33" s="1"/>
  <c r="AL8" i="33" s="1"/>
  <c r="AM8" i="33" s="1"/>
  <c r="AN8" i="33" s="1"/>
  <c r="AO8" i="33" s="1"/>
  <c r="AP8" i="33" s="1"/>
  <c r="AQ8" i="33" s="1"/>
  <c r="AR8" i="33" s="1"/>
  <c r="F7" i="33"/>
  <c r="F9" i="33" s="1"/>
  <c r="A4" i="33"/>
  <c r="A1" i="33"/>
  <c r="Q7" i="41" l="1"/>
  <c r="P10" i="41"/>
  <c r="P9" i="41"/>
  <c r="O17" i="41"/>
  <c r="O16" i="41"/>
  <c r="O15" i="41"/>
  <c r="V17" i="10"/>
  <c r="D24" i="26"/>
  <c r="X17" i="10"/>
  <c r="D26" i="26"/>
  <c r="D71" i="26"/>
  <c r="V18" i="10"/>
  <c r="X18" i="10"/>
  <c r="D73" i="26"/>
  <c r="F39" i="35"/>
  <c r="F40" i="35"/>
  <c r="D32" i="33"/>
  <c r="P57" i="10"/>
  <c r="D27" i="33"/>
  <c r="P54" i="10"/>
  <c r="F67" i="35"/>
  <c r="F66" i="35"/>
  <c r="F55" i="35"/>
  <c r="F50" i="35"/>
  <c r="E169" i="1"/>
  <c r="D31" i="33"/>
  <c r="E166" i="1"/>
  <c r="F9" i="35"/>
  <c r="G7" i="35"/>
  <c r="D27" i="35"/>
  <c r="F23" i="35"/>
  <c r="F28" i="35"/>
  <c r="G7" i="33"/>
  <c r="P17" i="41" l="1"/>
  <c r="P16" i="41"/>
  <c r="P15" i="41"/>
  <c r="R7" i="41"/>
  <c r="Q9" i="41"/>
  <c r="Q10" i="41"/>
  <c r="G39" i="35"/>
  <c r="G40" i="35"/>
  <c r="D28" i="33"/>
  <c r="P55" i="10"/>
  <c r="D33" i="33"/>
  <c r="P58" i="10"/>
  <c r="G66" i="35"/>
  <c r="G67" i="35"/>
  <c r="F56" i="35"/>
  <c r="G55" i="35"/>
  <c r="G50" i="35"/>
  <c r="G23" i="35"/>
  <c r="G9" i="35"/>
  <c r="H7" i="35"/>
  <c r="G28" i="35"/>
  <c r="F29" i="35"/>
  <c r="F31" i="35" s="1"/>
  <c r="H7" i="33"/>
  <c r="G9" i="33"/>
  <c r="Q16" i="41" l="1"/>
  <c r="Q17" i="41"/>
  <c r="Q15" i="41"/>
  <c r="S7" i="41"/>
  <c r="R9" i="41"/>
  <c r="R10" i="41"/>
  <c r="I34" i="33"/>
  <c r="I37" i="33" s="1"/>
  <c r="Y34" i="33"/>
  <c r="Y37" i="33" s="1"/>
  <c r="AI34" i="33"/>
  <c r="AI37" i="33" s="1"/>
  <c r="H39" i="35"/>
  <c r="H40" i="35"/>
  <c r="U34" i="33"/>
  <c r="U37" i="33" s="1"/>
  <c r="AM34" i="33"/>
  <c r="AM37" i="33" s="1"/>
  <c r="H34" i="33"/>
  <c r="H37" i="33" s="1"/>
  <c r="V34" i="33"/>
  <c r="V37" i="33" s="1"/>
  <c r="AO34" i="33"/>
  <c r="AO37" i="33" s="1"/>
  <c r="AG34" i="33"/>
  <c r="AG37" i="33" s="1"/>
  <c r="L34" i="33"/>
  <c r="L37" i="33" s="1"/>
  <c r="AD34" i="33"/>
  <c r="AD37" i="33" s="1"/>
  <c r="Z34" i="33"/>
  <c r="Z37" i="33" s="1"/>
  <c r="AE34" i="33"/>
  <c r="AE37" i="33" s="1"/>
  <c r="AC34" i="33"/>
  <c r="AC37" i="33" s="1"/>
  <c r="AK34" i="33"/>
  <c r="AK37" i="33" s="1"/>
  <c r="AL34" i="33"/>
  <c r="AL37" i="33" s="1"/>
  <c r="AP34" i="33"/>
  <c r="AP37" i="33" s="1"/>
  <c r="AB34" i="33"/>
  <c r="AB37" i="33" s="1"/>
  <c r="M34" i="33"/>
  <c r="M37" i="33" s="1"/>
  <c r="W34" i="33"/>
  <c r="W37" i="33" s="1"/>
  <c r="AN34" i="33"/>
  <c r="AN37" i="33" s="1"/>
  <c r="AQ34" i="33"/>
  <c r="AQ37" i="33" s="1"/>
  <c r="AR34" i="33"/>
  <c r="AR37" i="33" s="1"/>
  <c r="R34" i="33"/>
  <c r="R37" i="33" s="1"/>
  <c r="Q34" i="33"/>
  <c r="Q37" i="33" s="1"/>
  <c r="G34" i="33"/>
  <c r="G37" i="33" s="1"/>
  <c r="AA34" i="33"/>
  <c r="AA37" i="33" s="1"/>
  <c r="T34" i="33"/>
  <c r="T37" i="33" s="1"/>
  <c r="O34" i="33"/>
  <c r="O37" i="33" s="1"/>
  <c r="F34" i="33"/>
  <c r="F37" i="33" s="1"/>
  <c r="X34" i="33"/>
  <c r="X37" i="33" s="1"/>
  <c r="K34" i="33"/>
  <c r="K37" i="33" s="1"/>
  <c r="AH34" i="33"/>
  <c r="AH37" i="33" s="1"/>
  <c r="P34" i="33"/>
  <c r="P37" i="33" s="1"/>
  <c r="J34" i="33"/>
  <c r="J37" i="33" s="1"/>
  <c r="N34" i="33"/>
  <c r="N37" i="33" s="1"/>
  <c r="AF34" i="33"/>
  <c r="AF37" i="33" s="1"/>
  <c r="AJ34" i="33"/>
  <c r="AJ37" i="33" s="1"/>
  <c r="S34" i="33"/>
  <c r="S37" i="33" s="1"/>
  <c r="H66" i="35"/>
  <c r="H67" i="35"/>
  <c r="G56" i="35"/>
  <c r="H50" i="35"/>
  <c r="H55" i="35"/>
  <c r="F58" i="35"/>
  <c r="F36" i="35"/>
  <c r="F42" i="35" s="1"/>
  <c r="F35" i="35"/>
  <c r="F41" i="35" s="1"/>
  <c r="H23" i="35"/>
  <c r="H28" i="35"/>
  <c r="I7" i="35"/>
  <c r="H9" i="35"/>
  <c r="G29" i="35"/>
  <c r="G31" i="35" s="1"/>
  <c r="H9" i="33"/>
  <c r="I7" i="33"/>
  <c r="H10" i="33" s="1"/>
  <c r="R17" i="41" l="1"/>
  <c r="R16" i="41"/>
  <c r="R15" i="41"/>
  <c r="T7" i="41"/>
  <c r="S9" i="41"/>
  <c r="S10" i="41"/>
  <c r="I40" i="35"/>
  <c r="I39" i="35"/>
  <c r="D34" i="33"/>
  <c r="F62" i="35"/>
  <c r="F63" i="35"/>
  <c r="F69" i="35" s="1"/>
  <c r="I66" i="35"/>
  <c r="I67" i="35"/>
  <c r="H56" i="35"/>
  <c r="I55" i="35"/>
  <c r="I50" i="35"/>
  <c r="G58" i="35"/>
  <c r="F45" i="35"/>
  <c r="G10" i="35"/>
  <c r="G17" i="35" s="1"/>
  <c r="G35" i="35"/>
  <c r="G41" i="35" s="1"/>
  <c r="G36" i="35"/>
  <c r="G42" i="35" s="1"/>
  <c r="J7" i="35"/>
  <c r="I9" i="35"/>
  <c r="I10" i="35"/>
  <c r="I17" i="35" s="1"/>
  <c r="I28" i="35"/>
  <c r="F10" i="35"/>
  <c r="F17" i="35" s="1"/>
  <c r="I23" i="35"/>
  <c r="H10" i="35"/>
  <c r="H17" i="35" s="1"/>
  <c r="H29" i="35"/>
  <c r="H31" i="35" s="1"/>
  <c r="I9" i="33"/>
  <c r="I10" i="33"/>
  <c r="J7" i="33"/>
  <c r="F10" i="33"/>
  <c r="G10" i="33"/>
  <c r="H17" i="33"/>
  <c r="H16" i="33"/>
  <c r="H15" i="33"/>
  <c r="S17" i="41" l="1"/>
  <c r="S16" i="41"/>
  <c r="S15" i="41"/>
  <c r="T9" i="41"/>
  <c r="U7" i="41"/>
  <c r="T10" i="41"/>
  <c r="J40" i="35"/>
  <c r="J39" i="35"/>
  <c r="G62" i="35"/>
  <c r="G68" i="35" s="1"/>
  <c r="G63" i="35"/>
  <c r="G69" i="35" s="1"/>
  <c r="J66" i="35"/>
  <c r="J67" i="35"/>
  <c r="F68" i="35"/>
  <c r="F72" i="35" s="1"/>
  <c r="I56" i="35"/>
  <c r="J55" i="35"/>
  <c r="J50" i="35"/>
  <c r="H58" i="35"/>
  <c r="G15" i="35"/>
  <c r="G16" i="35"/>
  <c r="G45" i="35"/>
  <c r="J9" i="35"/>
  <c r="J28" i="35"/>
  <c r="H35" i="35"/>
  <c r="H41" i="35" s="1"/>
  <c r="H36" i="35"/>
  <c r="H42" i="35" s="1"/>
  <c r="J10" i="35"/>
  <c r="J16" i="35" s="1"/>
  <c r="K7" i="35"/>
  <c r="J23" i="35"/>
  <c r="I15" i="35"/>
  <c r="I16" i="35"/>
  <c r="F15" i="35"/>
  <c r="F16" i="35"/>
  <c r="H15" i="35"/>
  <c r="H16" i="35"/>
  <c r="I29" i="35"/>
  <c r="I31" i="35" s="1"/>
  <c r="G17" i="33"/>
  <c r="G16" i="33"/>
  <c r="G15" i="33"/>
  <c r="I17" i="33"/>
  <c r="I16" i="33"/>
  <c r="I15" i="33"/>
  <c r="F17" i="33"/>
  <c r="F16" i="33"/>
  <c r="F15" i="33"/>
  <c r="J9" i="33"/>
  <c r="J10" i="33"/>
  <c r="K7" i="33"/>
  <c r="T17" i="41" l="1"/>
  <c r="T16" i="41"/>
  <c r="T15" i="41"/>
  <c r="U9" i="41"/>
  <c r="U10" i="41"/>
  <c r="V7" i="41"/>
  <c r="K40" i="35"/>
  <c r="K39" i="35"/>
  <c r="G72" i="35"/>
  <c r="H63" i="35"/>
  <c r="H69" i="35" s="1"/>
  <c r="H62" i="35"/>
  <c r="H68" i="35" s="1"/>
  <c r="K66" i="35"/>
  <c r="K67" i="35"/>
  <c r="J56" i="35"/>
  <c r="K55" i="35"/>
  <c r="K50" i="35"/>
  <c r="I58" i="35"/>
  <c r="K23" i="35"/>
  <c r="K10" i="35"/>
  <c r="K16" i="35" s="1"/>
  <c r="L7" i="35"/>
  <c r="H45" i="35"/>
  <c r="K9" i="35"/>
  <c r="K28" i="35"/>
  <c r="I35" i="35"/>
  <c r="I41" i="35" s="1"/>
  <c r="I36" i="35"/>
  <c r="I42" i="35" s="1"/>
  <c r="J15" i="35"/>
  <c r="J17" i="35"/>
  <c r="J29" i="35"/>
  <c r="J31" i="35" s="1"/>
  <c r="J17" i="33"/>
  <c r="J16" i="33"/>
  <c r="J15" i="33"/>
  <c r="K10" i="33"/>
  <c r="L7" i="33"/>
  <c r="K9" i="33"/>
  <c r="V9" i="41" l="1"/>
  <c r="V10" i="41"/>
  <c r="W7" i="41"/>
  <c r="U16" i="41"/>
  <c r="U17" i="41"/>
  <c r="U15" i="41"/>
  <c r="L39" i="35"/>
  <c r="L40" i="35"/>
  <c r="H72" i="35"/>
  <c r="I62" i="35"/>
  <c r="I63" i="35"/>
  <c r="I69" i="35" s="1"/>
  <c r="L67" i="35"/>
  <c r="L66" i="35"/>
  <c r="K56" i="35"/>
  <c r="L28" i="35"/>
  <c r="L50" i="35"/>
  <c r="L55" i="35"/>
  <c r="J58" i="35"/>
  <c r="K15" i="35"/>
  <c r="K17" i="35"/>
  <c r="L9" i="35"/>
  <c r="M7" i="35"/>
  <c r="L23" i="35"/>
  <c r="L10" i="35"/>
  <c r="L17" i="35" s="1"/>
  <c r="I45" i="35"/>
  <c r="J35" i="35"/>
  <c r="J41" i="35" s="1"/>
  <c r="J36" i="35"/>
  <c r="J42" i="35" s="1"/>
  <c r="K29" i="35"/>
  <c r="K31" i="35" s="1"/>
  <c r="K17" i="33"/>
  <c r="K16" i="33"/>
  <c r="K15" i="33"/>
  <c r="L10" i="33"/>
  <c r="M7" i="33"/>
  <c r="L9" i="33"/>
  <c r="W10" i="41" l="1"/>
  <c r="W9" i="41"/>
  <c r="X7" i="41"/>
  <c r="V17" i="41"/>
  <c r="V16" i="41"/>
  <c r="V15" i="41"/>
  <c r="M39" i="35"/>
  <c r="M40" i="35"/>
  <c r="J62" i="35"/>
  <c r="J68" i="35" s="1"/>
  <c r="J63" i="35"/>
  <c r="J69" i="35" s="1"/>
  <c r="M28" i="35"/>
  <c r="M66" i="35"/>
  <c r="M67" i="35"/>
  <c r="I68" i="35"/>
  <c r="I72" i="35" s="1"/>
  <c r="M10" i="35"/>
  <c r="M16" i="35" s="1"/>
  <c r="M9" i="35"/>
  <c r="L56" i="35"/>
  <c r="M50" i="35"/>
  <c r="M55" i="35"/>
  <c r="K58" i="35"/>
  <c r="N7" i="35"/>
  <c r="M23" i="35"/>
  <c r="L16" i="35"/>
  <c r="L15" i="35"/>
  <c r="J45" i="35"/>
  <c r="K35" i="35"/>
  <c r="K41" i="35" s="1"/>
  <c r="K36" i="35"/>
  <c r="K42" i="35" s="1"/>
  <c r="L29" i="35"/>
  <c r="L31" i="35" s="1"/>
  <c r="N7" i="33"/>
  <c r="M9" i="33"/>
  <c r="M10" i="33"/>
  <c r="L16" i="33"/>
  <c r="L17" i="33"/>
  <c r="L15" i="33"/>
  <c r="Y7" i="41" l="1"/>
  <c r="X10" i="41"/>
  <c r="X9" i="41"/>
  <c r="W17" i="41"/>
  <c r="W16" i="41"/>
  <c r="W15" i="41"/>
  <c r="N39" i="35"/>
  <c r="N40" i="35"/>
  <c r="J72" i="35"/>
  <c r="K62" i="35"/>
  <c r="K63" i="35"/>
  <c r="N67" i="35"/>
  <c r="N66" i="35"/>
  <c r="M15" i="35"/>
  <c r="M17" i="35"/>
  <c r="M56" i="35"/>
  <c r="N10" i="35"/>
  <c r="N15" i="35" s="1"/>
  <c r="N55" i="35"/>
  <c r="N50" i="35"/>
  <c r="O7" i="35"/>
  <c r="N28" i="35"/>
  <c r="L58" i="35"/>
  <c r="N9" i="35"/>
  <c r="N23" i="35"/>
  <c r="K45" i="35"/>
  <c r="L35" i="35"/>
  <c r="L41" i="35" s="1"/>
  <c r="L36" i="35"/>
  <c r="L42" i="35" s="1"/>
  <c r="M29" i="35"/>
  <c r="M31" i="35" s="1"/>
  <c r="M16" i="33"/>
  <c r="M17" i="33"/>
  <c r="M15" i="33"/>
  <c r="O7" i="33"/>
  <c r="N9" i="33"/>
  <c r="N10" i="33"/>
  <c r="X17" i="41" l="1"/>
  <c r="X16" i="41"/>
  <c r="X15" i="41"/>
  <c r="Z7" i="41"/>
  <c r="Y9" i="41"/>
  <c r="Y10" i="41"/>
  <c r="O39" i="35"/>
  <c r="O40" i="35"/>
  <c r="L63" i="35"/>
  <c r="L69" i="35" s="1"/>
  <c r="L62" i="35"/>
  <c r="L68" i="35" s="1"/>
  <c r="O67" i="35"/>
  <c r="O66" i="35"/>
  <c r="K69" i="35"/>
  <c r="K68" i="35"/>
  <c r="N16" i="35"/>
  <c r="N17" i="35"/>
  <c r="N56" i="35"/>
  <c r="P7" i="35"/>
  <c r="O55" i="35"/>
  <c r="O50" i="35"/>
  <c r="O28" i="35"/>
  <c r="O23" i="35"/>
  <c r="O10" i="35"/>
  <c r="O17" i="35" s="1"/>
  <c r="O9" i="35"/>
  <c r="M58" i="35"/>
  <c r="L45" i="35"/>
  <c r="M36" i="35"/>
  <c r="M42" i="35" s="1"/>
  <c r="M35" i="35"/>
  <c r="M41" i="35" s="1"/>
  <c r="N29" i="35"/>
  <c r="N31" i="35" s="1"/>
  <c r="P7" i="33"/>
  <c r="O9" i="33"/>
  <c r="O10" i="33"/>
  <c r="N17" i="33"/>
  <c r="N16" i="33"/>
  <c r="N15" i="33"/>
  <c r="AA7" i="41" l="1"/>
  <c r="Z9" i="41"/>
  <c r="Z10" i="41"/>
  <c r="Y16" i="41"/>
  <c r="Y17" i="41"/>
  <c r="Y15" i="41"/>
  <c r="P23" i="35"/>
  <c r="P39" i="35"/>
  <c r="P40" i="35"/>
  <c r="P28" i="35"/>
  <c r="K72" i="35"/>
  <c r="L72" i="35"/>
  <c r="M63" i="35"/>
  <c r="M69" i="35" s="1"/>
  <c r="M62" i="35"/>
  <c r="M68" i="35" s="1"/>
  <c r="P66" i="35"/>
  <c r="P67" i="35"/>
  <c r="Q7" i="35"/>
  <c r="P10" i="35"/>
  <c r="P15" i="35" s="1"/>
  <c r="P9" i="35"/>
  <c r="O56" i="35"/>
  <c r="O16" i="35"/>
  <c r="P55" i="35"/>
  <c r="P50" i="35"/>
  <c r="O15" i="35"/>
  <c r="N58" i="35"/>
  <c r="M45" i="35"/>
  <c r="N36" i="35"/>
  <c r="N42" i="35" s="1"/>
  <c r="N35" i="35"/>
  <c r="N41" i="35" s="1"/>
  <c r="O29" i="35"/>
  <c r="O31" i="35" s="1"/>
  <c r="P9" i="33"/>
  <c r="P10" i="33"/>
  <c r="Q7" i="33"/>
  <c r="O16" i="33"/>
  <c r="O17" i="33"/>
  <c r="O15" i="33"/>
  <c r="Z16" i="41" l="1"/>
  <c r="Z17" i="41"/>
  <c r="Z15" i="41"/>
  <c r="AB7" i="41"/>
  <c r="AA9" i="41"/>
  <c r="AA10" i="41"/>
  <c r="Q39" i="35"/>
  <c r="Q40" i="35"/>
  <c r="Q55" i="35"/>
  <c r="P17" i="35"/>
  <c r="Q28" i="35"/>
  <c r="M72" i="35"/>
  <c r="N62" i="35"/>
  <c r="N68" i="35" s="1"/>
  <c r="N63" i="35"/>
  <c r="Q9" i="35"/>
  <c r="R7" i="35"/>
  <c r="Q23" i="35"/>
  <c r="Q50" i="35"/>
  <c r="Q66" i="35"/>
  <c r="Q67" i="35"/>
  <c r="Q10" i="35"/>
  <c r="Q16" i="35" s="1"/>
  <c r="P16" i="35"/>
  <c r="P56" i="35"/>
  <c r="O58" i="35"/>
  <c r="N45" i="35"/>
  <c r="O35" i="35"/>
  <c r="O41" i="35" s="1"/>
  <c r="O36" i="35"/>
  <c r="O42" i="35" s="1"/>
  <c r="P29" i="35"/>
  <c r="P31" i="35" s="1"/>
  <c r="P16" i="33"/>
  <c r="P17" i="33"/>
  <c r="P15" i="33"/>
  <c r="R7" i="33"/>
  <c r="Q9" i="33"/>
  <c r="Q10" i="33"/>
  <c r="AA16" i="41" l="1"/>
  <c r="AA17" i="41"/>
  <c r="AA15" i="41"/>
  <c r="AB9" i="41"/>
  <c r="AB10" i="41"/>
  <c r="AC7" i="41"/>
  <c r="R39" i="35"/>
  <c r="R40" i="35"/>
  <c r="R10" i="35"/>
  <c r="R16" i="35" s="1"/>
  <c r="S7" i="35"/>
  <c r="R50" i="35"/>
  <c r="Q17" i="35"/>
  <c r="R55" i="35"/>
  <c r="R23" i="35"/>
  <c r="R28" i="35"/>
  <c r="R9" i="35"/>
  <c r="O62" i="35"/>
  <c r="O68" i="35" s="1"/>
  <c r="O63" i="35"/>
  <c r="O69" i="35" s="1"/>
  <c r="Q15" i="35"/>
  <c r="Q56" i="35"/>
  <c r="R66" i="35"/>
  <c r="R67" i="35"/>
  <c r="N69" i="35"/>
  <c r="N72" i="35" s="1"/>
  <c r="P58" i="35"/>
  <c r="O45" i="35"/>
  <c r="P35" i="35"/>
  <c r="P41" i="35" s="1"/>
  <c r="P36" i="35"/>
  <c r="P42" i="35" s="1"/>
  <c r="Q29" i="35"/>
  <c r="Q31" i="35" s="1"/>
  <c r="Q17" i="33"/>
  <c r="Q16" i="33"/>
  <c r="Q15" i="33"/>
  <c r="R9" i="33"/>
  <c r="R10" i="33"/>
  <c r="S7" i="33"/>
  <c r="AB17" i="41" l="1"/>
  <c r="AB16" i="41"/>
  <c r="AB15" i="41"/>
  <c r="AC9" i="41"/>
  <c r="AC10" i="41"/>
  <c r="AD7" i="41"/>
  <c r="S10" i="35"/>
  <c r="S15" i="35" s="1"/>
  <c r="S40" i="35"/>
  <c r="S39" i="35"/>
  <c r="R17" i="35"/>
  <c r="S66" i="35"/>
  <c r="S9" i="35"/>
  <c r="S28" i="35"/>
  <c r="R15" i="35"/>
  <c r="S55" i="35"/>
  <c r="S50" i="35"/>
  <c r="T7" i="35"/>
  <c r="S23" i="35"/>
  <c r="S67" i="35"/>
  <c r="R56" i="35"/>
  <c r="O72" i="35"/>
  <c r="P62" i="35"/>
  <c r="P68" i="35" s="1"/>
  <c r="P63" i="35"/>
  <c r="Q58" i="35"/>
  <c r="P45" i="35"/>
  <c r="Q35" i="35"/>
  <c r="Q41" i="35" s="1"/>
  <c r="Q36" i="35"/>
  <c r="Q42" i="35" s="1"/>
  <c r="R29" i="35"/>
  <c r="R31" i="35" s="1"/>
  <c r="S10" i="33"/>
  <c r="S9" i="33"/>
  <c r="T7" i="33"/>
  <c r="R17" i="33"/>
  <c r="R16" i="33"/>
  <c r="R15" i="33"/>
  <c r="AC16" i="41" l="1"/>
  <c r="AC17" i="41"/>
  <c r="AC15" i="41"/>
  <c r="AD9" i="41"/>
  <c r="AD10" i="41"/>
  <c r="AE7" i="41"/>
  <c r="S17" i="35"/>
  <c r="S16" i="35"/>
  <c r="T55" i="35"/>
  <c r="T40" i="35"/>
  <c r="T39" i="35"/>
  <c r="S56" i="35"/>
  <c r="U7" i="35"/>
  <c r="T10" i="35"/>
  <c r="T16" i="35" s="1"/>
  <c r="T66" i="35"/>
  <c r="T23" i="35"/>
  <c r="T9" i="35"/>
  <c r="T67" i="35"/>
  <c r="T28" i="35"/>
  <c r="T50" i="35"/>
  <c r="Q62" i="35"/>
  <c r="Q68" i="35" s="1"/>
  <c r="Q63" i="35"/>
  <c r="Q69" i="35" s="1"/>
  <c r="P69" i="35"/>
  <c r="P72" i="35" s="1"/>
  <c r="R58" i="35"/>
  <c r="Q45" i="35"/>
  <c r="R35" i="35"/>
  <c r="R41" i="35" s="1"/>
  <c r="R36" i="35"/>
  <c r="R42" i="35" s="1"/>
  <c r="S29" i="35"/>
  <c r="S31" i="35" s="1"/>
  <c r="U7" i="33"/>
  <c r="T9" i="33"/>
  <c r="T10" i="33"/>
  <c r="S17" i="33"/>
  <c r="S16" i="33"/>
  <c r="S15" i="33"/>
  <c r="AD16" i="41" l="1"/>
  <c r="AD17" i="41"/>
  <c r="AD15" i="41"/>
  <c r="AE10" i="41"/>
  <c r="AE9" i="41"/>
  <c r="AF7" i="41"/>
  <c r="U40" i="35"/>
  <c r="U39" i="35"/>
  <c r="T56" i="35"/>
  <c r="T15" i="35"/>
  <c r="T17" i="35"/>
  <c r="U55" i="35"/>
  <c r="U23" i="35"/>
  <c r="U50" i="35"/>
  <c r="U67" i="35"/>
  <c r="U28" i="35"/>
  <c r="U9" i="35"/>
  <c r="V7" i="35"/>
  <c r="U66" i="35"/>
  <c r="U10" i="35"/>
  <c r="U16" i="35" s="1"/>
  <c r="Q72" i="35"/>
  <c r="R62" i="35"/>
  <c r="R68" i="35" s="1"/>
  <c r="R63" i="35"/>
  <c r="R69" i="35" s="1"/>
  <c r="S58" i="35"/>
  <c r="R45" i="35"/>
  <c r="S35" i="35"/>
  <c r="S41" i="35" s="1"/>
  <c r="S36" i="35"/>
  <c r="S42" i="35" s="1"/>
  <c r="T29" i="35"/>
  <c r="T31" i="35" s="1"/>
  <c r="T16" i="33"/>
  <c r="T17" i="33"/>
  <c r="T15" i="33"/>
  <c r="V7" i="33"/>
  <c r="U10" i="33"/>
  <c r="U9" i="33"/>
  <c r="AG7" i="41" l="1"/>
  <c r="AF9" i="41"/>
  <c r="AF10" i="41"/>
  <c r="AE17" i="41"/>
  <c r="AE16" i="41"/>
  <c r="AE15" i="41"/>
  <c r="V66" i="35"/>
  <c r="V39" i="35"/>
  <c r="V40" i="35"/>
  <c r="V28" i="35"/>
  <c r="V55" i="35"/>
  <c r="V50" i="35"/>
  <c r="V23" i="35"/>
  <c r="U56" i="35"/>
  <c r="V67" i="35"/>
  <c r="W7" i="35"/>
  <c r="V9" i="35"/>
  <c r="V10" i="35"/>
  <c r="V17" i="35" s="1"/>
  <c r="U15" i="35"/>
  <c r="U17" i="35"/>
  <c r="R72" i="35"/>
  <c r="S62" i="35"/>
  <c r="S68" i="35" s="1"/>
  <c r="S63" i="35"/>
  <c r="S69" i="35" s="1"/>
  <c r="T58" i="35"/>
  <c r="S45" i="35"/>
  <c r="T35" i="35"/>
  <c r="T41" i="35" s="1"/>
  <c r="T36" i="35"/>
  <c r="T42" i="35" s="1"/>
  <c r="U29" i="35"/>
  <c r="U31" i="35" s="1"/>
  <c r="U17" i="33"/>
  <c r="U16" i="33"/>
  <c r="U15" i="33"/>
  <c r="W7" i="33"/>
  <c r="V9" i="33"/>
  <c r="V10" i="33"/>
  <c r="AF17" i="41" l="1"/>
  <c r="AF16" i="41"/>
  <c r="AF15" i="41"/>
  <c r="AH7" i="41"/>
  <c r="AG9" i="41"/>
  <c r="AG10" i="41"/>
  <c r="W67" i="35"/>
  <c r="W39" i="35"/>
  <c r="W40" i="35"/>
  <c r="V56" i="35"/>
  <c r="W66" i="35"/>
  <c r="W10" i="35"/>
  <c r="W16" i="35" s="1"/>
  <c r="V16" i="35"/>
  <c r="W28" i="35"/>
  <c r="W9" i="35"/>
  <c r="X7" i="35"/>
  <c r="W50" i="35"/>
  <c r="V15" i="35"/>
  <c r="W55" i="35"/>
  <c r="W23" i="35"/>
  <c r="S72" i="35"/>
  <c r="T63" i="35"/>
  <c r="T69" i="35" s="1"/>
  <c r="T62" i="35"/>
  <c r="T68" i="35" s="1"/>
  <c r="U58" i="35"/>
  <c r="T45" i="35"/>
  <c r="U36" i="35"/>
  <c r="U42" i="35" s="1"/>
  <c r="U35" i="35"/>
  <c r="U41" i="35" s="1"/>
  <c r="V29" i="35"/>
  <c r="V31" i="35" s="1"/>
  <c r="V17" i="33"/>
  <c r="V16" i="33"/>
  <c r="V15" i="33"/>
  <c r="X7" i="33"/>
  <c r="W9" i="33"/>
  <c r="W10" i="33"/>
  <c r="AI7" i="41" l="1"/>
  <c r="AH9" i="41"/>
  <c r="AH10" i="41"/>
  <c r="AG17" i="41"/>
  <c r="AG16" i="41"/>
  <c r="AG15" i="41"/>
  <c r="X50" i="35"/>
  <c r="X40" i="35"/>
  <c r="X39" i="35"/>
  <c r="X67" i="35"/>
  <c r="W17" i="35"/>
  <c r="W15" i="35"/>
  <c r="W56" i="35"/>
  <c r="Y7" i="35"/>
  <c r="X9" i="35"/>
  <c r="X10" i="35"/>
  <c r="X17" i="35" s="1"/>
  <c r="X66" i="35"/>
  <c r="X23" i="35"/>
  <c r="X55" i="35"/>
  <c r="X28" i="35"/>
  <c r="T72" i="35"/>
  <c r="U63" i="35"/>
  <c r="U69" i="35" s="1"/>
  <c r="U62" i="35"/>
  <c r="U68" i="35" s="1"/>
  <c r="V58" i="35"/>
  <c r="U45" i="35"/>
  <c r="V36" i="35"/>
  <c r="V42" i="35" s="1"/>
  <c r="V35" i="35"/>
  <c r="V41" i="35" s="1"/>
  <c r="W29" i="35"/>
  <c r="W31" i="35" s="1"/>
  <c r="Y7" i="33"/>
  <c r="X9" i="33"/>
  <c r="X10" i="33"/>
  <c r="W17" i="33"/>
  <c r="W16" i="33"/>
  <c r="W15" i="33"/>
  <c r="AH17" i="41" l="1"/>
  <c r="AH16" i="41"/>
  <c r="AH15" i="41"/>
  <c r="AJ7" i="41"/>
  <c r="AI9" i="41"/>
  <c r="AI10" i="41"/>
  <c r="Y55" i="35"/>
  <c r="Y39" i="35"/>
  <c r="Y40" i="35"/>
  <c r="Z7" i="35"/>
  <c r="Y10" i="35"/>
  <c r="Y17" i="35" s="1"/>
  <c r="Y66" i="35"/>
  <c r="Y67" i="35"/>
  <c r="Y28" i="35"/>
  <c r="Y23" i="35"/>
  <c r="Y9" i="35"/>
  <c r="X15" i="35"/>
  <c r="X16" i="35"/>
  <c r="Y50" i="35"/>
  <c r="X56" i="35"/>
  <c r="U72" i="35"/>
  <c r="V62" i="35"/>
  <c r="V68" i="35" s="1"/>
  <c r="V63" i="35"/>
  <c r="V69" i="35" s="1"/>
  <c r="W58" i="35"/>
  <c r="V45" i="35"/>
  <c r="W35" i="35"/>
  <c r="W41" i="35" s="1"/>
  <c r="W36" i="35"/>
  <c r="W42" i="35" s="1"/>
  <c r="X29" i="35"/>
  <c r="X31" i="35" s="1"/>
  <c r="Y9" i="33"/>
  <c r="Y10" i="33"/>
  <c r="Z7" i="33"/>
  <c r="X17" i="33"/>
  <c r="X16" i="33"/>
  <c r="X15" i="33"/>
  <c r="AI17" i="41" l="1"/>
  <c r="AI15" i="41"/>
  <c r="AI16" i="41"/>
  <c r="AK7" i="41"/>
  <c r="AJ9" i="41"/>
  <c r="AJ10" i="41"/>
  <c r="Z10" i="35"/>
  <c r="Z17" i="35" s="1"/>
  <c r="Z40" i="35"/>
  <c r="Z39" i="35"/>
  <c r="Z66" i="35"/>
  <c r="Y56" i="35"/>
  <c r="AA7" i="35"/>
  <c r="Z28" i="35"/>
  <c r="Z67" i="35"/>
  <c r="Z9" i="35"/>
  <c r="Y15" i="35"/>
  <c r="Y16" i="35"/>
  <c r="Z50" i="35"/>
  <c r="Z23" i="35"/>
  <c r="Z55" i="35"/>
  <c r="V72" i="35"/>
  <c r="W62" i="35"/>
  <c r="W68" i="35" s="1"/>
  <c r="W63" i="35"/>
  <c r="W69" i="35" s="1"/>
  <c r="X58" i="35"/>
  <c r="Y29" i="35"/>
  <c r="Y31" i="35" s="1"/>
  <c r="Y35" i="35" s="1"/>
  <c r="Y41" i="35" s="1"/>
  <c r="W45" i="35"/>
  <c r="X35" i="35"/>
  <c r="X41" i="35" s="1"/>
  <c r="X36" i="35"/>
  <c r="X42" i="35" s="1"/>
  <c r="Y17" i="33"/>
  <c r="Y16" i="33"/>
  <c r="Y15" i="33"/>
  <c r="Z9" i="33"/>
  <c r="Z10" i="33"/>
  <c r="AA7" i="33"/>
  <c r="AK9" i="41" l="1"/>
  <c r="AK10" i="41"/>
  <c r="AL7" i="41"/>
  <c r="AJ17" i="41"/>
  <c r="AJ16" i="41"/>
  <c r="AJ15" i="41"/>
  <c r="Z15" i="35"/>
  <c r="Z16" i="35"/>
  <c r="AA67" i="35"/>
  <c r="AA40" i="35"/>
  <c r="AA39" i="35"/>
  <c r="AA10" i="35"/>
  <c r="AA16" i="35" s="1"/>
  <c r="AB7" i="35"/>
  <c r="AB66" i="35" s="1"/>
  <c r="AA28" i="35"/>
  <c r="AA23" i="35"/>
  <c r="AA66" i="35"/>
  <c r="AA50" i="35"/>
  <c r="AA55" i="35"/>
  <c r="AA9" i="35"/>
  <c r="Z56" i="35"/>
  <c r="W72" i="35"/>
  <c r="X62" i="35"/>
  <c r="X68" i="35" s="1"/>
  <c r="X63" i="35"/>
  <c r="X69" i="35" s="1"/>
  <c r="Y58" i="35"/>
  <c r="Z29" i="35"/>
  <c r="Z31" i="35" s="1"/>
  <c r="Z35" i="35" s="1"/>
  <c r="Z41" i="35" s="1"/>
  <c r="Y36" i="35"/>
  <c r="Y42" i="35" s="1"/>
  <c r="Y45" i="35" s="1"/>
  <c r="X45" i="35"/>
  <c r="Z17" i="33"/>
  <c r="Z16" i="33"/>
  <c r="Z15" i="33"/>
  <c r="AA10" i="33"/>
  <c r="AA9" i="33"/>
  <c r="AB7" i="33"/>
  <c r="AK16" i="41" l="1"/>
  <c r="AK17" i="41"/>
  <c r="AK15" i="41"/>
  <c r="AL9" i="41"/>
  <c r="AL10" i="41"/>
  <c r="AM7" i="41"/>
  <c r="AB55" i="35"/>
  <c r="AB40" i="35"/>
  <c r="AB39" i="35"/>
  <c r="AB67" i="35"/>
  <c r="AB23" i="35"/>
  <c r="AA15" i="35"/>
  <c r="AA17" i="35"/>
  <c r="AC7" i="35"/>
  <c r="AB28" i="35"/>
  <c r="AB10" i="35"/>
  <c r="AB17" i="35" s="1"/>
  <c r="AB9" i="35"/>
  <c r="AB50" i="35"/>
  <c r="AA56" i="35"/>
  <c r="X72" i="35"/>
  <c r="Y62" i="35"/>
  <c r="Y68" i="35" s="1"/>
  <c r="Y63" i="35"/>
  <c r="Y69" i="35" s="1"/>
  <c r="Z58" i="35"/>
  <c r="Z36" i="35"/>
  <c r="Z42" i="35" s="1"/>
  <c r="Z45" i="35" s="1"/>
  <c r="AA29" i="35"/>
  <c r="AA31" i="35" s="1"/>
  <c r="AA35" i="35" s="1"/>
  <c r="AA41" i="35" s="1"/>
  <c r="AA17" i="33"/>
  <c r="AA16" i="33"/>
  <c r="AA15" i="33"/>
  <c r="AB9" i="33"/>
  <c r="AB10" i="33"/>
  <c r="AC7" i="33"/>
  <c r="AM10" i="41" l="1"/>
  <c r="AM9" i="41"/>
  <c r="AN7" i="41"/>
  <c r="AL17" i="41"/>
  <c r="AL16" i="41"/>
  <c r="AL15" i="41"/>
  <c r="AC40" i="35"/>
  <c r="AC39" i="35"/>
  <c r="AC67" i="35"/>
  <c r="AC50" i="35"/>
  <c r="AC10" i="35"/>
  <c r="AC16" i="35" s="1"/>
  <c r="AC66" i="35"/>
  <c r="AD7" i="35"/>
  <c r="AC23" i="35"/>
  <c r="AC55" i="35"/>
  <c r="AC9" i="35"/>
  <c r="AC28" i="35"/>
  <c r="AB15" i="35"/>
  <c r="AB56" i="35"/>
  <c r="AB16" i="35"/>
  <c r="Y72" i="35"/>
  <c r="Z62" i="35"/>
  <c r="Z68" i="35" s="1"/>
  <c r="Z63" i="35"/>
  <c r="Z69" i="35" s="1"/>
  <c r="AA58" i="35"/>
  <c r="AA36" i="35"/>
  <c r="AA42" i="35" s="1"/>
  <c r="AA45" i="35" s="1"/>
  <c r="AB29" i="35"/>
  <c r="AB31" i="35" s="1"/>
  <c r="AB35" i="35" s="1"/>
  <c r="AB41" i="35" s="1"/>
  <c r="AD7" i="33"/>
  <c r="AC10" i="33"/>
  <c r="AC9" i="33"/>
  <c r="AB17" i="33"/>
  <c r="AB16" i="33"/>
  <c r="AB15" i="33"/>
  <c r="AN10" i="41" l="1"/>
  <c r="AO7" i="41"/>
  <c r="AN9" i="41"/>
  <c r="AM17" i="41"/>
  <c r="AM16" i="41"/>
  <c r="AM15" i="41"/>
  <c r="AD50" i="35"/>
  <c r="AD39" i="35"/>
  <c r="AD40" i="35"/>
  <c r="AD66" i="35"/>
  <c r="AD67" i="35"/>
  <c r="AC15" i="35"/>
  <c r="AD28" i="35"/>
  <c r="AD23" i="35"/>
  <c r="AC17" i="35"/>
  <c r="AD9" i="35"/>
  <c r="AD55" i="35"/>
  <c r="AE7" i="35"/>
  <c r="AD10" i="35"/>
  <c r="AD17" i="35" s="1"/>
  <c r="AC56" i="35"/>
  <c r="Z72" i="35"/>
  <c r="AA62" i="35"/>
  <c r="AA68" i="35" s="1"/>
  <c r="AA63" i="35"/>
  <c r="AA69" i="35" s="1"/>
  <c r="AB58" i="35"/>
  <c r="AC29" i="35"/>
  <c r="AC31" i="35" s="1"/>
  <c r="AC35" i="35" s="1"/>
  <c r="AC41" i="35" s="1"/>
  <c r="AB36" i="35"/>
  <c r="AB42" i="35" s="1"/>
  <c r="AB45" i="35" s="1"/>
  <c r="AC16" i="33"/>
  <c r="AC17" i="33"/>
  <c r="AC15" i="33"/>
  <c r="AE7" i="33"/>
  <c r="AD9" i="33"/>
  <c r="AD10" i="33"/>
  <c r="AP7" i="41" l="1"/>
  <c r="AO9" i="41"/>
  <c r="AO10" i="41"/>
  <c r="AN17" i="41"/>
  <c r="AN16" i="41"/>
  <c r="AN15" i="41"/>
  <c r="AE50" i="35"/>
  <c r="AE39" i="35"/>
  <c r="AE40" i="35"/>
  <c r="AE23" i="35"/>
  <c r="AD15" i="35"/>
  <c r="AD16" i="35"/>
  <c r="AD56" i="35"/>
  <c r="AE55" i="35"/>
  <c r="AF7" i="35"/>
  <c r="AE10" i="35"/>
  <c r="AE16" i="35" s="1"/>
  <c r="AE66" i="35"/>
  <c r="AE9" i="35"/>
  <c r="AE67" i="35"/>
  <c r="AE28" i="35"/>
  <c r="AA72" i="35"/>
  <c r="AB63" i="35"/>
  <c r="AB69" i="35" s="1"/>
  <c r="AB62" i="35"/>
  <c r="AB68" i="35" s="1"/>
  <c r="AC36" i="35"/>
  <c r="AC42" i="35" s="1"/>
  <c r="AC45" i="35" s="1"/>
  <c r="AD29" i="35"/>
  <c r="AD31" i="35" s="1"/>
  <c r="AD36" i="35" s="1"/>
  <c r="AD42" i="35" s="1"/>
  <c r="AC58" i="35"/>
  <c r="AF7" i="33"/>
  <c r="AE9" i="33"/>
  <c r="AE10" i="33"/>
  <c r="AD17" i="33"/>
  <c r="AD16" i="33"/>
  <c r="AD15" i="33"/>
  <c r="AO17" i="41" l="1"/>
  <c r="AO16" i="41"/>
  <c r="AO15" i="41"/>
  <c r="AQ7" i="41"/>
  <c r="AP9" i="41"/>
  <c r="AP10" i="41"/>
  <c r="AF39" i="35"/>
  <c r="AF40" i="35"/>
  <c r="AE56" i="35"/>
  <c r="AF28" i="35"/>
  <c r="AF23" i="35"/>
  <c r="AE17" i="35"/>
  <c r="AE15" i="35"/>
  <c r="AF55" i="35"/>
  <c r="AG7" i="35"/>
  <c r="AF67" i="35"/>
  <c r="AF50" i="35"/>
  <c r="AF10" i="35"/>
  <c r="AF16" i="35" s="1"/>
  <c r="AF66" i="35"/>
  <c r="AF9" i="35"/>
  <c r="AB72" i="35"/>
  <c r="AC63" i="35"/>
  <c r="AC69" i="35" s="1"/>
  <c r="AC62" i="35"/>
  <c r="AC68" i="35" s="1"/>
  <c r="AE29" i="35"/>
  <c r="AE31" i="35" s="1"/>
  <c r="AE35" i="35" s="1"/>
  <c r="AE41" i="35" s="1"/>
  <c r="AD35" i="35"/>
  <c r="AD41" i="35" s="1"/>
  <c r="AD45" i="35" s="1"/>
  <c r="AD58" i="35"/>
  <c r="AF9" i="33"/>
  <c r="AF10" i="33"/>
  <c r="AG7" i="33"/>
  <c r="AE16" i="33"/>
  <c r="AE17" i="33"/>
  <c r="AE15" i="33"/>
  <c r="AP16" i="41" l="1"/>
  <c r="AP17" i="41"/>
  <c r="AP15" i="41"/>
  <c r="AR7" i="41"/>
  <c r="AQ9" i="41"/>
  <c r="AQ10" i="41"/>
  <c r="AG55" i="35"/>
  <c r="AG39" i="35"/>
  <c r="AG40" i="35"/>
  <c r="AG66" i="35"/>
  <c r="AG23" i="35"/>
  <c r="AG28" i="35"/>
  <c r="AG67" i="35"/>
  <c r="AF56" i="35"/>
  <c r="AG10" i="35"/>
  <c r="AG17" i="35" s="1"/>
  <c r="AG9" i="35"/>
  <c r="AG50" i="35"/>
  <c r="AF15" i="35"/>
  <c r="AF17" i="35"/>
  <c r="AH7" i="35"/>
  <c r="AC72" i="35"/>
  <c r="AD62" i="35"/>
  <c r="AD68" i="35" s="1"/>
  <c r="AD63" i="35"/>
  <c r="AD69" i="35" s="1"/>
  <c r="AE36" i="35"/>
  <c r="AE42" i="35" s="1"/>
  <c r="AE45" i="35" s="1"/>
  <c r="AF29" i="35"/>
  <c r="AF31" i="35" s="1"/>
  <c r="AF35" i="35" s="1"/>
  <c r="AF41" i="35" s="1"/>
  <c r="AE58" i="35"/>
  <c r="AF16" i="33"/>
  <c r="AF17" i="33"/>
  <c r="AF15" i="33"/>
  <c r="AG9" i="33"/>
  <c r="AH7" i="33"/>
  <c r="AG10" i="33"/>
  <c r="AQ16" i="41" l="1"/>
  <c r="AQ17" i="41"/>
  <c r="AQ15" i="41"/>
  <c r="AR9" i="41"/>
  <c r="AR10" i="41"/>
  <c r="AG56" i="35"/>
  <c r="AH50" i="35"/>
  <c r="AH40" i="35"/>
  <c r="AH39" i="35"/>
  <c r="AG15" i="35"/>
  <c r="AG16" i="35"/>
  <c r="AH55" i="35"/>
  <c r="AH10" i="35"/>
  <c r="AH16" i="35" s="1"/>
  <c r="AH28" i="35"/>
  <c r="AH23" i="35"/>
  <c r="AH9" i="35"/>
  <c r="AH67" i="35"/>
  <c r="AH66" i="35"/>
  <c r="AI7" i="35"/>
  <c r="AE62" i="35"/>
  <c r="AE68" i="35" s="1"/>
  <c r="AE63" i="35"/>
  <c r="AE69" i="35" s="1"/>
  <c r="AD72" i="35"/>
  <c r="AF36" i="35"/>
  <c r="AF42" i="35" s="1"/>
  <c r="AF45" i="35" s="1"/>
  <c r="AG29" i="35"/>
  <c r="AG31" i="35" s="1"/>
  <c r="AG35" i="35" s="1"/>
  <c r="AG41" i="35" s="1"/>
  <c r="AF58" i="35"/>
  <c r="AG17" i="33"/>
  <c r="AG16" i="33"/>
  <c r="AG15" i="33"/>
  <c r="AH9" i="33"/>
  <c r="AH10" i="33"/>
  <c r="AI7" i="33"/>
  <c r="AR17" i="41" l="1"/>
  <c r="AR16" i="41"/>
  <c r="AR15" i="41"/>
  <c r="AH56" i="35"/>
  <c r="AI55" i="35"/>
  <c r="AI40" i="35"/>
  <c r="AI39" i="35"/>
  <c r="AH17" i="35"/>
  <c r="AH15" i="35"/>
  <c r="AI9" i="35"/>
  <c r="AI23" i="35"/>
  <c r="AI50" i="35"/>
  <c r="AI10" i="35"/>
  <c r="AI16" i="35" s="1"/>
  <c r="AI28" i="35"/>
  <c r="AI66" i="35"/>
  <c r="AI67" i="35"/>
  <c r="AJ7" i="35"/>
  <c r="AF62" i="35"/>
  <c r="AF68" i="35" s="1"/>
  <c r="AF63" i="35"/>
  <c r="AF69" i="35" s="1"/>
  <c r="AE72" i="35"/>
  <c r="AH29" i="35"/>
  <c r="AH31" i="35" s="1"/>
  <c r="AH35" i="35" s="1"/>
  <c r="AH41" i="35" s="1"/>
  <c r="AG36" i="35"/>
  <c r="AG42" i="35" s="1"/>
  <c r="AG45" i="35" s="1"/>
  <c r="AG58" i="35"/>
  <c r="AH17" i="33"/>
  <c r="AH16" i="33"/>
  <c r="AH15" i="33"/>
  <c r="AI10" i="33"/>
  <c r="AI9" i="33"/>
  <c r="AJ7" i="33"/>
  <c r="AI56" i="35" l="1"/>
  <c r="AJ23" i="35"/>
  <c r="AJ39" i="35"/>
  <c r="AJ40" i="35"/>
  <c r="AJ9" i="35"/>
  <c r="AJ28" i="35"/>
  <c r="AI15" i="35"/>
  <c r="AI17" i="35"/>
  <c r="AJ50" i="35"/>
  <c r="AJ55" i="35"/>
  <c r="AJ10" i="35"/>
  <c r="AJ15" i="35" s="1"/>
  <c r="AJ66" i="35"/>
  <c r="AK7" i="35"/>
  <c r="AJ67" i="35"/>
  <c r="AH36" i="35"/>
  <c r="AH42" i="35" s="1"/>
  <c r="AH45" i="35" s="1"/>
  <c r="AI29" i="35"/>
  <c r="AI31" i="35" s="1"/>
  <c r="AI36" i="35" s="1"/>
  <c r="AI42" i="35" s="1"/>
  <c r="AG62" i="35"/>
  <c r="AG68" i="35" s="1"/>
  <c r="AG63" i="35"/>
  <c r="AG69" i="35" s="1"/>
  <c r="AF72" i="35"/>
  <c r="AH58" i="35"/>
  <c r="AI17" i="33"/>
  <c r="AI16" i="33"/>
  <c r="AI15" i="33"/>
  <c r="AK7" i="33"/>
  <c r="AJ9" i="33"/>
  <c r="AJ10" i="33"/>
  <c r="AK50" i="35" l="1"/>
  <c r="AK39" i="35"/>
  <c r="AK40" i="35"/>
  <c r="AJ56" i="35"/>
  <c r="AJ16" i="35"/>
  <c r="AK23" i="35"/>
  <c r="AJ17" i="35"/>
  <c r="AK67" i="35"/>
  <c r="AK9" i="35"/>
  <c r="AK10" i="35"/>
  <c r="AK17" i="35" s="1"/>
  <c r="AK66" i="35"/>
  <c r="AL7" i="35"/>
  <c r="AK55" i="35"/>
  <c r="AK28" i="35"/>
  <c r="AJ29" i="35"/>
  <c r="AJ31" i="35" s="1"/>
  <c r="AJ35" i="35" s="1"/>
  <c r="AJ41" i="35" s="1"/>
  <c r="AI35" i="35"/>
  <c r="AI41" i="35" s="1"/>
  <c r="AI45" i="35" s="1"/>
  <c r="AG72" i="35"/>
  <c r="AH63" i="35"/>
  <c r="AH69" i="35" s="1"/>
  <c r="AH62" i="35"/>
  <c r="AH68" i="35" s="1"/>
  <c r="AI58" i="35"/>
  <c r="AK10" i="33"/>
  <c r="AL7" i="33"/>
  <c r="AK9" i="33"/>
  <c r="AJ17" i="33"/>
  <c r="AJ16" i="33"/>
  <c r="AJ15" i="33"/>
  <c r="AK56" i="35" l="1"/>
  <c r="AL39" i="35"/>
  <c r="AL40" i="35"/>
  <c r="AL67" i="35"/>
  <c r="AM7" i="35"/>
  <c r="AM28" i="35" s="1"/>
  <c r="AK15" i="35"/>
  <c r="AK16" i="35"/>
  <c r="AL50" i="35"/>
  <c r="AL9" i="35"/>
  <c r="AL66" i="35"/>
  <c r="AL28" i="35"/>
  <c r="AL23" i="35"/>
  <c r="AL55" i="35"/>
  <c r="AL10" i="35"/>
  <c r="AL17" i="35" s="1"/>
  <c r="AK29" i="35"/>
  <c r="AK31" i="35" s="1"/>
  <c r="AK36" i="35" s="1"/>
  <c r="AK42" i="35" s="1"/>
  <c r="AJ36" i="35"/>
  <c r="AJ42" i="35" s="1"/>
  <c r="AJ45" i="35" s="1"/>
  <c r="AH72" i="35"/>
  <c r="AI62" i="35"/>
  <c r="AI68" i="35" s="1"/>
  <c r="AI63" i="35"/>
  <c r="AI69" i="35" s="1"/>
  <c r="AJ58" i="35"/>
  <c r="AK17" i="33"/>
  <c r="AK16" i="33"/>
  <c r="AK15" i="33"/>
  <c r="AM7" i="33"/>
  <c r="AL9" i="33"/>
  <c r="AL10" i="33"/>
  <c r="AM66" i="35" l="1"/>
  <c r="AM39" i="35"/>
  <c r="AM40" i="35"/>
  <c r="AL15" i="35"/>
  <c r="AM50" i="35"/>
  <c r="AM23" i="35"/>
  <c r="AM67" i="35"/>
  <c r="AM9" i="35"/>
  <c r="AN7" i="35"/>
  <c r="AL56" i="35"/>
  <c r="AM10" i="35"/>
  <c r="AM15" i="35" s="1"/>
  <c r="AM55" i="35"/>
  <c r="AL16" i="35"/>
  <c r="AL29" i="35"/>
  <c r="AL31" i="35" s="1"/>
  <c r="AL35" i="35" s="1"/>
  <c r="AL41" i="35" s="1"/>
  <c r="AK35" i="35"/>
  <c r="AK41" i="35" s="1"/>
  <c r="AK45" i="35" s="1"/>
  <c r="AI72" i="35"/>
  <c r="AJ62" i="35"/>
  <c r="AJ68" i="35" s="1"/>
  <c r="AJ63" i="35"/>
  <c r="AJ69" i="35" s="1"/>
  <c r="AK58" i="35"/>
  <c r="AL17" i="33"/>
  <c r="AL16" i="33"/>
  <c r="AL15" i="33"/>
  <c r="AN7" i="33"/>
  <c r="AM9" i="33"/>
  <c r="AM10" i="33"/>
  <c r="AM56" i="35" l="1"/>
  <c r="AN67" i="35"/>
  <c r="AN39" i="35"/>
  <c r="AN40" i="35"/>
  <c r="AO7" i="35"/>
  <c r="AN28" i="35"/>
  <c r="AN23" i="35"/>
  <c r="AN66" i="35"/>
  <c r="AN50" i="35"/>
  <c r="AN55" i="35"/>
  <c r="AN10" i="35"/>
  <c r="AN17" i="35" s="1"/>
  <c r="AN9" i="35"/>
  <c r="AM17" i="35"/>
  <c r="AM16" i="35"/>
  <c r="AL36" i="35"/>
  <c r="AL42" i="35" s="1"/>
  <c r="AL45" i="35" s="1"/>
  <c r="AM29" i="35"/>
  <c r="AM31" i="35" s="1"/>
  <c r="AM36" i="35" s="1"/>
  <c r="AM42" i="35" s="1"/>
  <c r="AJ72" i="35"/>
  <c r="AK63" i="35"/>
  <c r="AK69" i="35" s="1"/>
  <c r="AK62" i="35"/>
  <c r="AK68" i="35" s="1"/>
  <c r="AL58" i="35"/>
  <c r="AM17" i="33"/>
  <c r="AM16" i="33"/>
  <c r="AM15" i="33"/>
  <c r="AO7" i="33"/>
  <c r="AN9" i="33"/>
  <c r="AN10" i="33"/>
  <c r="AN56" i="35" l="1"/>
  <c r="AO67" i="35"/>
  <c r="AO39" i="35"/>
  <c r="AO40" i="35"/>
  <c r="AO10" i="35"/>
  <c r="AO15" i="35" s="1"/>
  <c r="AO28" i="35"/>
  <c r="AO66" i="35"/>
  <c r="AO9" i="35"/>
  <c r="AO50" i="35"/>
  <c r="AP7" i="35"/>
  <c r="AO55" i="35"/>
  <c r="AO23" i="35"/>
  <c r="AN15" i="35"/>
  <c r="AN16" i="35"/>
  <c r="AM35" i="35"/>
  <c r="AM41" i="35" s="1"/>
  <c r="AM45" i="35" s="1"/>
  <c r="AN29" i="35"/>
  <c r="AN31" i="35" s="1"/>
  <c r="AN35" i="35" s="1"/>
  <c r="AN41" i="35" s="1"/>
  <c r="AL62" i="35"/>
  <c r="AL68" i="35" s="1"/>
  <c r="AL63" i="35"/>
  <c r="AL69" i="35" s="1"/>
  <c r="AK72" i="35"/>
  <c r="AM58" i="35"/>
  <c r="AN17" i="33"/>
  <c r="AN16" i="33"/>
  <c r="AN15" i="33"/>
  <c r="AO9" i="33"/>
  <c r="AO10" i="33"/>
  <c r="AP7" i="33"/>
  <c r="AO16" i="35" l="1"/>
  <c r="AO17" i="35"/>
  <c r="AO56" i="35"/>
  <c r="AP39" i="35"/>
  <c r="AP40" i="35"/>
  <c r="AQ7" i="35"/>
  <c r="AQ67" i="35" s="1"/>
  <c r="AP28" i="35"/>
  <c r="AP50" i="35"/>
  <c r="AP9" i="35"/>
  <c r="AP55" i="35"/>
  <c r="AP23" i="35"/>
  <c r="AP66" i="35"/>
  <c r="AP67" i="35"/>
  <c r="AP10" i="35"/>
  <c r="AP17" i="35" s="1"/>
  <c r="AN36" i="35"/>
  <c r="AN42" i="35" s="1"/>
  <c r="AN45" i="35" s="1"/>
  <c r="AO29" i="35"/>
  <c r="AO31" i="35" s="1"/>
  <c r="AO35" i="35" s="1"/>
  <c r="AO41" i="35" s="1"/>
  <c r="AM62" i="35"/>
  <c r="AM68" i="35" s="1"/>
  <c r="AM63" i="35"/>
  <c r="AM69" i="35" s="1"/>
  <c r="AL72" i="35"/>
  <c r="AN58" i="35"/>
  <c r="AP9" i="33"/>
  <c r="AP10" i="33"/>
  <c r="AQ7" i="33"/>
  <c r="AO17" i="33"/>
  <c r="AO16" i="33"/>
  <c r="AO15" i="33"/>
  <c r="AQ23" i="35" l="1"/>
  <c r="AQ10" i="35"/>
  <c r="AQ17" i="35" s="1"/>
  <c r="AQ9" i="35"/>
  <c r="AQ28" i="35"/>
  <c r="AQ66" i="35"/>
  <c r="AP16" i="35"/>
  <c r="AQ55" i="35"/>
  <c r="AQ40" i="35"/>
  <c r="AQ39" i="35"/>
  <c r="AR7" i="35"/>
  <c r="AQ50" i="35"/>
  <c r="AP56" i="35"/>
  <c r="AP15" i="35"/>
  <c r="AO36" i="35"/>
  <c r="AO42" i="35" s="1"/>
  <c r="AO45" i="35" s="1"/>
  <c r="AP29" i="35"/>
  <c r="AP31" i="35" s="1"/>
  <c r="AP35" i="35" s="1"/>
  <c r="AP41" i="35" s="1"/>
  <c r="AM72" i="35"/>
  <c r="AN62" i="35"/>
  <c r="AN68" i="35" s="1"/>
  <c r="AN63" i="35"/>
  <c r="AN69" i="35" s="1"/>
  <c r="AO58" i="35"/>
  <c r="AQ16" i="35"/>
  <c r="AQ15" i="35"/>
  <c r="AQ10" i="33"/>
  <c r="AR7" i="33"/>
  <c r="AQ9" i="33"/>
  <c r="AP17" i="33"/>
  <c r="AP16" i="33"/>
  <c r="AP15" i="33"/>
  <c r="AQ56" i="35" l="1"/>
  <c r="AR40" i="35"/>
  <c r="AR39" i="35"/>
  <c r="AR9" i="35"/>
  <c r="AR55" i="35"/>
  <c r="AR50" i="35"/>
  <c r="AR28" i="35"/>
  <c r="AR23" i="35"/>
  <c r="AR67" i="35"/>
  <c r="AR66" i="35"/>
  <c r="AR10" i="35"/>
  <c r="AR17" i="35" s="1"/>
  <c r="AQ29" i="35"/>
  <c r="AQ31" i="35" s="1"/>
  <c r="AQ35" i="35" s="1"/>
  <c r="AQ41" i="35" s="1"/>
  <c r="AP36" i="35"/>
  <c r="AP42" i="35" s="1"/>
  <c r="AP45" i="35" s="1"/>
  <c r="AN72" i="35"/>
  <c r="AO63" i="35"/>
  <c r="AO69" i="35" s="1"/>
  <c r="AO62" i="35"/>
  <c r="AO68" i="35" s="1"/>
  <c r="AP58" i="35"/>
  <c r="AQ17" i="33"/>
  <c r="AQ16" i="33"/>
  <c r="AQ15" i="33"/>
  <c r="AR9" i="33"/>
  <c r="AR10" i="33"/>
  <c r="AR56" i="35" l="1"/>
  <c r="AR15" i="35"/>
  <c r="AR16" i="35"/>
  <c r="AR29" i="35"/>
  <c r="AR31" i="35" s="1"/>
  <c r="AR35" i="35" s="1"/>
  <c r="AQ36" i="35"/>
  <c r="AQ42" i="35" s="1"/>
  <c r="AQ45" i="35" s="1"/>
  <c r="AP62" i="35"/>
  <c r="AP68" i="35" s="1"/>
  <c r="AP63" i="35"/>
  <c r="AP69" i="35" s="1"/>
  <c r="AO72" i="35"/>
  <c r="AQ58" i="35"/>
  <c r="AR17" i="33"/>
  <c r="AR15" i="33"/>
  <c r="AR16" i="33"/>
  <c r="D29" i="35" l="1"/>
  <c r="AR36" i="35"/>
  <c r="AR42" i="35" s="1"/>
  <c r="D42" i="35" s="1"/>
  <c r="AQ62" i="35"/>
  <c r="AQ68" i="35" s="1"/>
  <c r="AQ63" i="35"/>
  <c r="AQ69" i="35" s="1"/>
  <c r="AP72" i="35"/>
  <c r="AR58" i="35"/>
  <c r="D56" i="35"/>
  <c r="D35" i="35"/>
  <c r="AR41" i="35"/>
  <c r="D31" i="35"/>
  <c r="D36" i="35" l="1"/>
  <c r="AR62" i="35"/>
  <c r="AR63" i="35"/>
  <c r="AQ72" i="35"/>
  <c r="D58" i="35"/>
  <c r="AR45" i="35"/>
  <c r="D41" i="35"/>
  <c r="D48" i="29"/>
  <c r="D86" i="29"/>
  <c r="D69" i="29"/>
  <c r="D31" i="29"/>
  <c r="D90" i="29"/>
  <c r="D85" i="29"/>
  <c r="D68" i="29"/>
  <c r="D52" i="29"/>
  <c r="D47" i="29"/>
  <c r="D30" i="29"/>
  <c r="D17" i="29"/>
  <c r="D16" i="29"/>
  <c r="D15" i="29"/>
  <c r="F8" i="29"/>
  <c r="G8" i="29" s="1"/>
  <c r="H8" i="29" s="1"/>
  <c r="I8" i="29" s="1"/>
  <c r="J8" i="29" s="1"/>
  <c r="K8" i="29" s="1"/>
  <c r="L8" i="29" s="1"/>
  <c r="M8" i="29" s="1"/>
  <c r="N8" i="29" s="1"/>
  <c r="O8" i="29" s="1"/>
  <c r="P8" i="29" s="1"/>
  <c r="Q8" i="29" s="1"/>
  <c r="R8" i="29" s="1"/>
  <c r="S8" i="29" s="1"/>
  <c r="T8" i="29" s="1"/>
  <c r="U8" i="29" s="1"/>
  <c r="V8" i="29" s="1"/>
  <c r="W8" i="29" s="1"/>
  <c r="X8" i="29" s="1"/>
  <c r="Y8" i="29" s="1"/>
  <c r="Z8" i="29" s="1"/>
  <c r="AA8" i="29" s="1"/>
  <c r="AB8" i="29" s="1"/>
  <c r="AC8" i="29" s="1"/>
  <c r="AD8" i="29" s="1"/>
  <c r="AE8" i="29" s="1"/>
  <c r="AF8" i="29" s="1"/>
  <c r="AG8" i="29" s="1"/>
  <c r="AH8" i="29" s="1"/>
  <c r="AI8" i="29" s="1"/>
  <c r="AJ8" i="29" s="1"/>
  <c r="AK8" i="29" s="1"/>
  <c r="AL8" i="29" s="1"/>
  <c r="AM8" i="29" s="1"/>
  <c r="AN8" i="29" s="1"/>
  <c r="AO8" i="29" s="1"/>
  <c r="AP8" i="29" s="1"/>
  <c r="AQ8" i="29" s="1"/>
  <c r="AR8" i="29" s="1"/>
  <c r="F7" i="29"/>
  <c r="F9" i="29" s="1"/>
  <c r="A4" i="29"/>
  <c r="A1" i="29"/>
  <c r="AR68" i="35" l="1"/>
  <c r="D62" i="35"/>
  <c r="AR69" i="35"/>
  <c r="D69" i="35" s="1"/>
  <c r="D63" i="35"/>
  <c r="D45" i="35"/>
  <c r="F78" i="29"/>
  <c r="F83" i="29"/>
  <c r="F66" i="29"/>
  <c r="F61" i="29"/>
  <c r="D65" i="29"/>
  <c r="D82" i="29"/>
  <c r="F73" i="29"/>
  <c r="F90" i="29"/>
  <c r="F40" i="29"/>
  <c r="F52" i="29"/>
  <c r="F45" i="29"/>
  <c r="F23" i="29"/>
  <c r="D44" i="29"/>
  <c r="F35" i="29"/>
  <c r="D27" i="29"/>
  <c r="F28" i="29"/>
  <c r="G7" i="29"/>
  <c r="G66" i="29" s="1"/>
  <c r="D68" i="35" l="1"/>
  <c r="AR72" i="35"/>
  <c r="D72" i="35" s="1"/>
  <c r="F84" i="29"/>
  <c r="F87" i="29" s="1"/>
  <c r="F91" i="29" s="1"/>
  <c r="G78" i="29"/>
  <c r="G61" i="29"/>
  <c r="G83" i="29"/>
  <c r="F67" i="29"/>
  <c r="G73" i="29"/>
  <c r="G90" i="29"/>
  <c r="F46" i="29"/>
  <c r="G35" i="29"/>
  <c r="G23" i="29"/>
  <c r="G45" i="29"/>
  <c r="G52" i="29"/>
  <c r="G40" i="29"/>
  <c r="F29" i="29"/>
  <c r="F32" i="29" s="1"/>
  <c r="F36" i="29" s="1"/>
  <c r="H7" i="29"/>
  <c r="G9" i="29"/>
  <c r="G28" i="29"/>
  <c r="G84" i="29" l="1"/>
  <c r="H61" i="29"/>
  <c r="H83" i="29"/>
  <c r="H66" i="29"/>
  <c r="H78" i="29"/>
  <c r="F49" i="29"/>
  <c r="F53" i="29" s="1"/>
  <c r="F56" i="29" s="1"/>
  <c r="G67" i="29"/>
  <c r="F70" i="29"/>
  <c r="F74" i="29" s="1"/>
  <c r="F94" i="29" s="1"/>
  <c r="H73" i="29"/>
  <c r="H90" i="29"/>
  <c r="G46" i="29"/>
  <c r="H35" i="29"/>
  <c r="H45" i="29"/>
  <c r="H52" i="29"/>
  <c r="H40" i="29"/>
  <c r="H23" i="29"/>
  <c r="G29" i="29"/>
  <c r="G32" i="29" s="1"/>
  <c r="G36" i="29" s="1"/>
  <c r="H28" i="29"/>
  <c r="I7" i="29"/>
  <c r="H9" i="29"/>
  <c r="H84" i="29" l="1"/>
  <c r="H87" i="29" s="1"/>
  <c r="H91" i="29" s="1"/>
  <c r="G87" i="29"/>
  <c r="G91" i="29" s="1"/>
  <c r="I66" i="29"/>
  <c r="I61" i="29"/>
  <c r="I83" i="29"/>
  <c r="I78" i="29"/>
  <c r="H67" i="29"/>
  <c r="G70" i="29"/>
  <c r="G74" i="29" s="1"/>
  <c r="G49" i="29"/>
  <c r="G53" i="29" s="1"/>
  <c r="G56" i="29" s="1"/>
  <c r="I90" i="29"/>
  <c r="I73" i="29"/>
  <c r="H46" i="29"/>
  <c r="I45" i="29"/>
  <c r="I23" i="29"/>
  <c r="I52" i="29"/>
  <c r="I40" i="29"/>
  <c r="H10" i="29"/>
  <c r="H17" i="29" s="1"/>
  <c r="I35" i="29"/>
  <c r="H29" i="29"/>
  <c r="H32" i="29" s="1"/>
  <c r="H36" i="29" s="1"/>
  <c r="J7" i="29"/>
  <c r="I28" i="29"/>
  <c r="I9" i="29"/>
  <c r="I10" i="29"/>
  <c r="F10" i="29"/>
  <c r="G10" i="29"/>
  <c r="G94" i="29" l="1"/>
  <c r="I84" i="29"/>
  <c r="I87" i="29" s="1"/>
  <c r="I91" i="29" s="1"/>
  <c r="J66" i="29"/>
  <c r="J61" i="29"/>
  <c r="J83" i="29"/>
  <c r="J78" i="29"/>
  <c r="H49" i="29"/>
  <c r="H53" i="29" s="1"/>
  <c r="H56" i="29" s="1"/>
  <c r="I67" i="29"/>
  <c r="H70" i="29"/>
  <c r="H74" i="29" s="1"/>
  <c r="H94" i="29" s="1"/>
  <c r="J90" i="29"/>
  <c r="J73" i="29"/>
  <c r="I46" i="29"/>
  <c r="J35" i="29"/>
  <c r="J45" i="29"/>
  <c r="J23" i="29"/>
  <c r="J52" i="29"/>
  <c r="J40" i="29"/>
  <c r="H15" i="29"/>
  <c r="H16" i="29"/>
  <c r="I29" i="29"/>
  <c r="I32" i="29" s="1"/>
  <c r="I36" i="29" s="1"/>
  <c r="G15" i="29"/>
  <c r="G17" i="29"/>
  <c r="G16" i="29"/>
  <c r="F16" i="29"/>
  <c r="F17" i="29"/>
  <c r="F15" i="29"/>
  <c r="I15" i="29"/>
  <c r="I16" i="29"/>
  <c r="I17" i="29"/>
  <c r="K7" i="29"/>
  <c r="J28" i="29"/>
  <c r="J9" i="29"/>
  <c r="J10" i="29"/>
  <c r="P80" i="26"/>
  <c r="Q80" i="26" s="1"/>
  <c r="R80" i="26" s="1"/>
  <c r="S80" i="26" s="1"/>
  <c r="T80" i="26" s="1"/>
  <c r="U80" i="26" s="1"/>
  <c r="V80" i="26" s="1"/>
  <c r="W80" i="26" s="1"/>
  <c r="X80" i="26" s="1"/>
  <c r="Y80" i="26" s="1"/>
  <c r="Z80" i="26" s="1"/>
  <c r="AA80" i="26" s="1"/>
  <c r="AB80" i="26" s="1"/>
  <c r="AC80" i="26" s="1"/>
  <c r="AD80" i="26" s="1"/>
  <c r="AE80" i="26" s="1"/>
  <c r="AF80" i="26" s="1"/>
  <c r="AG80" i="26" s="1"/>
  <c r="AH80" i="26" s="1"/>
  <c r="D36" i="28"/>
  <c r="B29" i="28"/>
  <c r="D17" i="28"/>
  <c r="D16" i="28"/>
  <c r="D15" i="28"/>
  <c r="F8" i="28"/>
  <c r="G8" i="28" s="1"/>
  <c r="H8" i="28" s="1"/>
  <c r="I8" i="28" s="1"/>
  <c r="J8" i="28" s="1"/>
  <c r="K8" i="28" s="1"/>
  <c r="L8" i="28" s="1"/>
  <c r="M8" i="28" s="1"/>
  <c r="N8" i="28" s="1"/>
  <c r="O8" i="28" s="1"/>
  <c r="P8" i="28" s="1"/>
  <c r="Q8" i="28" s="1"/>
  <c r="R8" i="28" s="1"/>
  <c r="S8" i="28" s="1"/>
  <c r="T8" i="28" s="1"/>
  <c r="U8" i="28" s="1"/>
  <c r="V8" i="28" s="1"/>
  <c r="W8" i="28" s="1"/>
  <c r="X8" i="28" s="1"/>
  <c r="Y8" i="28" s="1"/>
  <c r="Z8" i="28" s="1"/>
  <c r="AA8" i="28" s="1"/>
  <c r="AB8" i="28" s="1"/>
  <c r="AC8" i="28" s="1"/>
  <c r="AD8" i="28" s="1"/>
  <c r="AE8" i="28" s="1"/>
  <c r="AF8" i="28" s="1"/>
  <c r="AG8" i="28" s="1"/>
  <c r="AH8" i="28" s="1"/>
  <c r="AI8" i="28" s="1"/>
  <c r="AJ8" i="28" s="1"/>
  <c r="AK8" i="28" s="1"/>
  <c r="AL8" i="28" s="1"/>
  <c r="AM8" i="28" s="1"/>
  <c r="AN8" i="28" s="1"/>
  <c r="AO8" i="28" s="1"/>
  <c r="AP8" i="28" s="1"/>
  <c r="AQ8" i="28" s="1"/>
  <c r="AR8" i="28" s="1"/>
  <c r="F7" i="28"/>
  <c r="A4" i="28"/>
  <c r="A1" i="28"/>
  <c r="D85" i="26"/>
  <c r="D97" i="26"/>
  <c r="D60" i="26"/>
  <c r="B95" i="26"/>
  <c r="D91" i="26"/>
  <c r="B89" i="26"/>
  <c r="B51" i="26"/>
  <c r="B58" i="26"/>
  <c r="D81" i="26"/>
  <c r="D80" i="26"/>
  <c r="D35" i="26"/>
  <c r="D34" i="26"/>
  <c r="D17" i="26"/>
  <c r="D16" i="26"/>
  <c r="D15" i="26"/>
  <c r="F8" i="26"/>
  <c r="G8" i="26" s="1"/>
  <c r="H8" i="26" s="1"/>
  <c r="I8" i="26" s="1"/>
  <c r="J8" i="26" s="1"/>
  <c r="K8" i="26" s="1"/>
  <c r="L8" i="26" s="1"/>
  <c r="M8" i="26" s="1"/>
  <c r="N8" i="26" s="1"/>
  <c r="O8" i="26" s="1"/>
  <c r="P8" i="26" s="1"/>
  <c r="Q8" i="26" s="1"/>
  <c r="R8" i="26" s="1"/>
  <c r="S8" i="26" s="1"/>
  <c r="T8" i="26" s="1"/>
  <c r="U8" i="26" s="1"/>
  <c r="V8" i="26" s="1"/>
  <c r="W8" i="26" s="1"/>
  <c r="X8" i="26" s="1"/>
  <c r="Y8" i="26" s="1"/>
  <c r="Z8" i="26" s="1"/>
  <c r="AA8" i="26" s="1"/>
  <c r="AB8" i="26" s="1"/>
  <c r="AC8" i="26" s="1"/>
  <c r="AD8" i="26" s="1"/>
  <c r="AE8" i="26" s="1"/>
  <c r="AF8" i="26" s="1"/>
  <c r="AG8" i="26" s="1"/>
  <c r="AH8" i="26" s="1"/>
  <c r="AI8" i="26" s="1"/>
  <c r="AJ8" i="26" s="1"/>
  <c r="AK8" i="26" s="1"/>
  <c r="AL8" i="26" s="1"/>
  <c r="AM8" i="26" s="1"/>
  <c r="AN8" i="26" s="1"/>
  <c r="AO8" i="26" s="1"/>
  <c r="AP8" i="26" s="1"/>
  <c r="AQ8" i="26" s="1"/>
  <c r="AR8" i="26" s="1"/>
  <c r="F7" i="26"/>
  <c r="G7" i="26" s="1"/>
  <c r="A4" i="26"/>
  <c r="A1" i="26"/>
  <c r="J84" i="29" l="1"/>
  <c r="J87" i="29" s="1"/>
  <c r="J91" i="29" s="1"/>
  <c r="K66" i="29"/>
  <c r="K83" i="29"/>
  <c r="K78" i="29"/>
  <c r="K61" i="29"/>
  <c r="J67" i="29"/>
  <c r="I70" i="29"/>
  <c r="I74" i="29" s="1"/>
  <c r="I94" i="29" s="1"/>
  <c r="I49" i="29"/>
  <c r="I53" i="29" s="1"/>
  <c r="I56" i="29" s="1"/>
  <c r="K90" i="29"/>
  <c r="K73" i="29"/>
  <c r="J46" i="29"/>
  <c r="K35" i="29"/>
  <c r="K23" i="29"/>
  <c r="K52" i="29"/>
  <c r="K40" i="29"/>
  <c r="K45" i="29"/>
  <c r="J29" i="29"/>
  <c r="J32" i="29" s="1"/>
  <c r="J36" i="29" s="1"/>
  <c r="J15" i="29"/>
  <c r="J16" i="29"/>
  <c r="J17" i="29"/>
  <c r="K9" i="29"/>
  <c r="K28" i="29"/>
  <c r="K10" i="29"/>
  <c r="L7" i="29"/>
  <c r="D90" i="26"/>
  <c r="D92" i="26" s="1"/>
  <c r="F9" i="28"/>
  <c r="G7" i="28"/>
  <c r="D54" i="26"/>
  <c r="G76" i="26"/>
  <c r="G71" i="26"/>
  <c r="F71" i="26"/>
  <c r="F76" i="26"/>
  <c r="D75" i="26"/>
  <c r="G29" i="26"/>
  <c r="D28" i="26"/>
  <c r="F24" i="26"/>
  <c r="G24" i="26"/>
  <c r="F29" i="26"/>
  <c r="F9" i="26"/>
  <c r="H7" i="26"/>
  <c r="G9" i="26"/>
  <c r="K84" i="29" l="1"/>
  <c r="K87" i="29" s="1"/>
  <c r="K91" i="29" s="1"/>
  <c r="L78" i="29"/>
  <c r="L61" i="29"/>
  <c r="L83" i="29"/>
  <c r="L66" i="29"/>
  <c r="J49" i="29"/>
  <c r="J53" i="29" s="1"/>
  <c r="J56" i="29" s="1"/>
  <c r="K67" i="29"/>
  <c r="J70" i="29"/>
  <c r="J74" i="29" s="1"/>
  <c r="J94" i="29" s="1"/>
  <c r="L73" i="29"/>
  <c r="L90" i="29"/>
  <c r="K46" i="29"/>
  <c r="L35" i="29"/>
  <c r="L52" i="29"/>
  <c r="L40" i="29"/>
  <c r="L23" i="29"/>
  <c r="L45" i="29"/>
  <c r="K29" i="29"/>
  <c r="K32" i="29" s="1"/>
  <c r="K36" i="29" s="1"/>
  <c r="L28" i="29"/>
  <c r="L9" i="29"/>
  <c r="L10" i="29"/>
  <c r="M7" i="29"/>
  <c r="K17" i="29"/>
  <c r="K16" i="29"/>
  <c r="K15" i="29"/>
  <c r="H7" i="28"/>
  <c r="G9" i="28"/>
  <c r="F77" i="26"/>
  <c r="H76" i="26"/>
  <c r="H71" i="26"/>
  <c r="H24" i="26"/>
  <c r="H29" i="26"/>
  <c r="F30" i="26"/>
  <c r="F43" i="26" s="1"/>
  <c r="H9" i="26"/>
  <c r="I7" i="26"/>
  <c r="G77" i="26" l="1"/>
  <c r="G84" i="26" s="1"/>
  <c r="G86" i="26" s="1"/>
  <c r="F37" i="26"/>
  <c r="F46" i="26" s="1"/>
  <c r="F48" i="26" s="1"/>
  <c r="L84" i="29"/>
  <c r="L87" i="29" s="1"/>
  <c r="M66" i="29"/>
  <c r="M78" i="29"/>
  <c r="M61" i="29"/>
  <c r="M83" i="29"/>
  <c r="L67" i="29"/>
  <c r="K70" i="29"/>
  <c r="K74" i="29" s="1"/>
  <c r="K94" i="29" s="1"/>
  <c r="K49" i="29"/>
  <c r="K53" i="29" s="1"/>
  <c r="K56" i="29" s="1"/>
  <c r="M73" i="29"/>
  <c r="M90" i="29"/>
  <c r="L46" i="29"/>
  <c r="M35" i="29"/>
  <c r="M52" i="29"/>
  <c r="M40" i="29"/>
  <c r="M23" i="29"/>
  <c r="M45" i="29"/>
  <c r="L29" i="29"/>
  <c r="L32" i="29" s="1"/>
  <c r="L36" i="29" s="1"/>
  <c r="L15" i="29"/>
  <c r="L16" i="29"/>
  <c r="L17" i="29"/>
  <c r="M28" i="29"/>
  <c r="M9" i="29"/>
  <c r="M10" i="29"/>
  <c r="N7" i="29"/>
  <c r="I7" i="28"/>
  <c r="H9" i="28"/>
  <c r="F84" i="26"/>
  <c r="F86" i="26" s="1"/>
  <c r="I71" i="26"/>
  <c r="I76" i="26"/>
  <c r="I24" i="26"/>
  <c r="I29" i="26"/>
  <c r="G30" i="26"/>
  <c r="G43" i="26" s="1"/>
  <c r="I10" i="26"/>
  <c r="J7" i="26"/>
  <c r="F10" i="26"/>
  <c r="I9" i="26"/>
  <c r="G10" i="26"/>
  <c r="H10" i="26"/>
  <c r="H77" i="26" l="1"/>
  <c r="H84" i="26" s="1"/>
  <c r="H86" i="26" s="1"/>
  <c r="G37" i="26"/>
  <c r="G46" i="26" s="1"/>
  <c r="G48" i="26" s="1"/>
  <c r="M84" i="29"/>
  <c r="M87" i="29" s="1"/>
  <c r="M91" i="29" s="1"/>
  <c r="N83" i="29"/>
  <c r="N66" i="29"/>
  <c r="N61" i="29"/>
  <c r="N78" i="29"/>
  <c r="L49" i="29"/>
  <c r="L53" i="29" s="1"/>
  <c r="L56" i="29" s="1"/>
  <c r="M67" i="29"/>
  <c r="L70" i="29"/>
  <c r="L74" i="29" s="1"/>
  <c r="L91" i="29"/>
  <c r="N73" i="29"/>
  <c r="N90" i="29"/>
  <c r="M46" i="29"/>
  <c r="N35" i="29"/>
  <c r="N52" i="29"/>
  <c r="N45" i="29"/>
  <c r="N40" i="29"/>
  <c r="N23" i="29"/>
  <c r="M29" i="29"/>
  <c r="M32" i="29" s="1"/>
  <c r="M36" i="29" s="1"/>
  <c r="N28" i="29"/>
  <c r="N10" i="29"/>
  <c r="O7" i="29"/>
  <c r="N9" i="29"/>
  <c r="M17" i="29"/>
  <c r="M16" i="29"/>
  <c r="M15" i="29"/>
  <c r="I10" i="28"/>
  <c r="J7" i="28"/>
  <c r="I9" i="28"/>
  <c r="F10" i="28"/>
  <c r="G10" i="28"/>
  <c r="H10" i="28"/>
  <c r="J71" i="26"/>
  <c r="J76" i="26"/>
  <c r="H30" i="26"/>
  <c r="H43" i="26" s="1"/>
  <c r="J24" i="26"/>
  <c r="J29" i="26"/>
  <c r="G17" i="26"/>
  <c r="G16" i="26"/>
  <c r="G15" i="26"/>
  <c r="H17" i="26"/>
  <c r="H16" i="26"/>
  <c r="H15" i="26"/>
  <c r="F15" i="26"/>
  <c r="F17" i="26"/>
  <c r="F16" i="26"/>
  <c r="J9" i="26"/>
  <c r="J10" i="26"/>
  <c r="K7" i="26"/>
  <c r="I17" i="26"/>
  <c r="I16" i="26"/>
  <c r="I15" i="26"/>
  <c r="I77" i="26" l="1"/>
  <c r="J77" i="26" s="1"/>
  <c r="H37" i="26"/>
  <c r="H46" i="26" s="1"/>
  <c r="H48" i="26" s="1"/>
  <c r="N84" i="29"/>
  <c r="N87" i="29" s="1"/>
  <c r="N91" i="29" s="1"/>
  <c r="L94" i="29"/>
  <c r="O66" i="29"/>
  <c r="O78" i="29"/>
  <c r="O61" i="29"/>
  <c r="O83" i="29"/>
  <c r="N67" i="29"/>
  <c r="M70" i="29"/>
  <c r="M74" i="29" s="1"/>
  <c r="M94" i="29" s="1"/>
  <c r="M49" i="29"/>
  <c r="M53" i="29" s="1"/>
  <c r="M56" i="29" s="1"/>
  <c r="O73" i="29"/>
  <c r="O90" i="29"/>
  <c r="N46" i="29"/>
  <c r="O35" i="29"/>
  <c r="O45" i="29"/>
  <c r="O23" i="29"/>
  <c r="O52" i="29"/>
  <c r="O40" i="29"/>
  <c r="N29" i="29"/>
  <c r="N32" i="29" s="1"/>
  <c r="N36" i="29" s="1"/>
  <c r="P7" i="29"/>
  <c r="O9" i="29"/>
  <c r="O10" i="29"/>
  <c r="O28" i="29"/>
  <c r="N16" i="29"/>
  <c r="N17" i="29"/>
  <c r="N15" i="29"/>
  <c r="H15" i="28"/>
  <c r="H17" i="28"/>
  <c r="H16" i="28"/>
  <c r="I17" i="28"/>
  <c r="I16" i="28"/>
  <c r="I15" i="28"/>
  <c r="G15" i="28"/>
  <c r="G17" i="28"/>
  <c r="G16" i="28"/>
  <c r="F16" i="28"/>
  <c r="F15" i="28"/>
  <c r="F17" i="28"/>
  <c r="J9" i="28"/>
  <c r="J10" i="28"/>
  <c r="K7" i="28"/>
  <c r="K71" i="26"/>
  <c r="K76" i="26"/>
  <c r="K24" i="26"/>
  <c r="K29" i="26"/>
  <c r="I30" i="26"/>
  <c r="I43" i="26" s="1"/>
  <c r="K10" i="26"/>
  <c r="L7" i="26"/>
  <c r="K9" i="26"/>
  <c r="J17" i="26"/>
  <c r="J16" i="26"/>
  <c r="J15" i="26"/>
  <c r="I84" i="26" l="1"/>
  <c r="I86" i="26" s="1"/>
  <c r="I37" i="26"/>
  <c r="I46" i="26" s="1"/>
  <c r="I48" i="26" s="1"/>
  <c r="O84" i="29"/>
  <c r="O87" i="29" s="1"/>
  <c r="P78" i="29"/>
  <c r="P83" i="29"/>
  <c r="P66" i="29"/>
  <c r="P61" i="29"/>
  <c r="N49" i="29"/>
  <c r="N53" i="29" s="1"/>
  <c r="N56" i="29" s="1"/>
  <c r="O67" i="29"/>
  <c r="N70" i="29"/>
  <c r="N74" i="29" s="1"/>
  <c r="N94" i="29" s="1"/>
  <c r="P73" i="29"/>
  <c r="P90" i="29"/>
  <c r="O46" i="29"/>
  <c r="P35" i="29"/>
  <c r="P45" i="29"/>
  <c r="P23" i="29"/>
  <c r="P52" i="29"/>
  <c r="P40" i="29"/>
  <c r="O29" i="29"/>
  <c r="O32" i="29" s="1"/>
  <c r="O36" i="29" s="1"/>
  <c r="P28" i="29"/>
  <c r="Q7" i="29"/>
  <c r="P10" i="29"/>
  <c r="P9" i="29"/>
  <c r="O17" i="29"/>
  <c r="O15" i="29"/>
  <c r="O16" i="29"/>
  <c r="K10" i="28"/>
  <c r="L7" i="28"/>
  <c r="K9" i="28"/>
  <c r="J17" i="28"/>
  <c r="J16" i="28"/>
  <c r="J15" i="28"/>
  <c r="L76" i="26"/>
  <c r="L71" i="26"/>
  <c r="K77" i="26"/>
  <c r="J84" i="26"/>
  <c r="J86" i="26" s="1"/>
  <c r="J30" i="26"/>
  <c r="J43" i="26" s="1"/>
  <c r="L24" i="26"/>
  <c r="L29" i="26"/>
  <c r="K17" i="26"/>
  <c r="K16" i="26"/>
  <c r="K15" i="26"/>
  <c r="M7" i="26"/>
  <c r="L9" i="26"/>
  <c r="L10" i="26"/>
  <c r="J37" i="26" l="1"/>
  <c r="J46" i="26" s="1"/>
  <c r="J48" i="26" s="1"/>
  <c r="P84" i="29"/>
  <c r="P87" i="29" s="1"/>
  <c r="Q78" i="29"/>
  <c r="Q61" i="29"/>
  <c r="Q66" i="29"/>
  <c r="Q83" i="29"/>
  <c r="P67" i="29"/>
  <c r="O70" i="29"/>
  <c r="O74" i="29" s="1"/>
  <c r="O49" i="29"/>
  <c r="O53" i="29" s="1"/>
  <c r="O56" i="29" s="1"/>
  <c r="O91" i="29"/>
  <c r="Q90" i="29"/>
  <c r="Q73" i="29"/>
  <c r="P46" i="29"/>
  <c r="Q35" i="29"/>
  <c r="Q45" i="29"/>
  <c r="Q23" i="29"/>
  <c r="Q52" i="29"/>
  <c r="Q40" i="29"/>
  <c r="P29" i="29"/>
  <c r="P32" i="29" s="1"/>
  <c r="P36" i="29" s="1"/>
  <c r="P16" i="29"/>
  <c r="P17" i="29"/>
  <c r="P15" i="29"/>
  <c r="R7" i="29"/>
  <c r="Q9" i="29"/>
  <c r="Q28" i="29"/>
  <c r="Q10" i="29"/>
  <c r="K17" i="28"/>
  <c r="K16" i="28"/>
  <c r="K15" i="28"/>
  <c r="L10" i="28"/>
  <c r="L9" i="28"/>
  <c r="M7" i="28"/>
  <c r="L77" i="26"/>
  <c r="K84" i="26"/>
  <c r="K86" i="26" s="1"/>
  <c r="M71" i="26"/>
  <c r="M76" i="26"/>
  <c r="M24" i="26"/>
  <c r="M29" i="26"/>
  <c r="K30" i="26"/>
  <c r="K43" i="26" s="1"/>
  <c r="L15" i="26"/>
  <c r="L17" i="26"/>
  <c r="L16" i="26"/>
  <c r="N7" i="26"/>
  <c r="M10" i="26"/>
  <c r="M9" i="26"/>
  <c r="K37" i="26" l="1"/>
  <c r="K46" i="26" s="1"/>
  <c r="K48" i="26" s="1"/>
  <c r="Q84" i="29"/>
  <c r="Q87" i="29" s="1"/>
  <c r="R66" i="29"/>
  <c r="R78" i="29"/>
  <c r="R83" i="29"/>
  <c r="R61" i="29"/>
  <c r="P49" i="29"/>
  <c r="P53" i="29" s="1"/>
  <c r="P56" i="29" s="1"/>
  <c r="O94" i="29"/>
  <c r="Q67" i="29"/>
  <c r="P70" i="29"/>
  <c r="P74" i="29" s="1"/>
  <c r="P91" i="29"/>
  <c r="R90" i="29"/>
  <c r="R73" i="29"/>
  <c r="Q46" i="29"/>
  <c r="R35" i="29"/>
  <c r="R45" i="29"/>
  <c r="R23" i="29"/>
  <c r="R52" i="29"/>
  <c r="R40" i="29"/>
  <c r="Q29" i="29"/>
  <c r="Q32" i="29" s="1"/>
  <c r="Q36" i="29" s="1"/>
  <c r="S7" i="29"/>
  <c r="R9" i="29"/>
  <c r="R10" i="29"/>
  <c r="R28" i="29"/>
  <c r="Q15" i="29"/>
  <c r="Q17" i="29"/>
  <c r="Q16" i="29"/>
  <c r="L17" i="28"/>
  <c r="L16" i="28"/>
  <c r="L15" i="28"/>
  <c r="M10" i="28"/>
  <c r="M9" i="28"/>
  <c r="N7" i="28"/>
  <c r="N71" i="26"/>
  <c r="N76" i="26"/>
  <c r="M77" i="26"/>
  <c r="L84" i="26"/>
  <c r="L86" i="26" s="1"/>
  <c r="L30" i="26"/>
  <c r="L43" i="26" s="1"/>
  <c r="N24" i="26"/>
  <c r="N29" i="26"/>
  <c r="N10" i="26"/>
  <c r="N9" i="26"/>
  <c r="O7" i="26"/>
  <c r="M17" i="26"/>
  <c r="M16" i="26"/>
  <c r="M15" i="26"/>
  <c r="L37" i="26" l="1"/>
  <c r="L46" i="26" s="1"/>
  <c r="L48" i="26" s="1"/>
  <c r="R84" i="29"/>
  <c r="R87" i="29" s="1"/>
  <c r="P94" i="29"/>
  <c r="S61" i="29"/>
  <c r="S78" i="29"/>
  <c r="S66" i="29"/>
  <c r="S83" i="29"/>
  <c r="Q49" i="29"/>
  <c r="Q53" i="29" s="1"/>
  <c r="Q56" i="29" s="1"/>
  <c r="R67" i="29"/>
  <c r="Q70" i="29"/>
  <c r="Q74" i="29" s="1"/>
  <c r="S90" i="29"/>
  <c r="S73" i="29"/>
  <c r="Q91" i="29"/>
  <c r="R46" i="29"/>
  <c r="S35" i="29"/>
  <c r="S23" i="29"/>
  <c r="S52" i="29"/>
  <c r="S40" i="29"/>
  <c r="S45" i="29"/>
  <c r="R29" i="29"/>
  <c r="R32" i="29" s="1"/>
  <c r="R36" i="29" s="1"/>
  <c r="R15" i="29"/>
  <c r="R16" i="29"/>
  <c r="R17" i="29"/>
  <c r="S9" i="29"/>
  <c r="S10" i="29"/>
  <c r="S28" i="29"/>
  <c r="T7" i="29"/>
  <c r="N9" i="28"/>
  <c r="O7" i="28"/>
  <c r="N10" i="28"/>
  <c r="M17" i="28"/>
  <c r="M16" i="28"/>
  <c r="M15" i="28"/>
  <c r="N77" i="26"/>
  <c r="M84" i="26"/>
  <c r="M86" i="26" s="1"/>
  <c r="O71" i="26"/>
  <c r="O76" i="26"/>
  <c r="O24" i="26"/>
  <c r="O29" i="26"/>
  <c r="M30" i="26"/>
  <c r="M43" i="26" s="1"/>
  <c r="N17" i="26"/>
  <c r="N16" i="26"/>
  <c r="N15" i="26"/>
  <c r="P7" i="26"/>
  <c r="O9" i="26"/>
  <c r="O10" i="26"/>
  <c r="M37" i="26" l="1"/>
  <c r="M46" i="26" s="1"/>
  <c r="M48" i="26" s="1"/>
  <c r="S84" i="29"/>
  <c r="S87" i="29" s="1"/>
  <c r="T61" i="29"/>
  <c r="T78" i="29"/>
  <c r="T83" i="29"/>
  <c r="T66" i="29"/>
  <c r="Q94" i="29"/>
  <c r="S67" i="29"/>
  <c r="R70" i="29"/>
  <c r="R74" i="29" s="1"/>
  <c r="R49" i="29"/>
  <c r="R53" i="29" s="1"/>
  <c r="R56" i="29" s="1"/>
  <c r="T73" i="29"/>
  <c r="T90" i="29"/>
  <c r="R91" i="29"/>
  <c r="S46" i="29"/>
  <c r="T35" i="29"/>
  <c r="T52" i="29"/>
  <c r="T40" i="29"/>
  <c r="T23" i="29"/>
  <c r="T45" i="29"/>
  <c r="S29" i="29"/>
  <c r="S32" i="29" s="1"/>
  <c r="S36" i="29" s="1"/>
  <c r="T9" i="29"/>
  <c r="T10" i="29"/>
  <c r="T28" i="29"/>
  <c r="U7" i="29"/>
  <c r="S17" i="29"/>
  <c r="S16" i="29"/>
  <c r="S15" i="29"/>
  <c r="N17" i="28"/>
  <c r="N16" i="28"/>
  <c r="N15" i="28"/>
  <c r="O10" i="28"/>
  <c r="P7" i="28"/>
  <c r="O9" i="28"/>
  <c r="P71" i="26"/>
  <c r="P76" i="26"/>
  <c r="O77" i="26"/>
  <c r="O78" i="26" s="1"/>
  <c r="O79" i="26" s="1"/>
  <c r="N84" i="26"/>
  <c r="N86" i="26" s="1"/>
  <c r="N30" i="26"/>
  <c r="N43" i="26" s="1"/>
  <c r="P24" i="26"/>
  <c r="P29" i="26"/>
  <c r="P9" i="26"/>
  <c r="P10" i="26"/>
  <c r="Q7" i="26"/>
  <c r="O17" i="26"/>
  <c r="O16" i="26"/>
  <c r="O81" i="26" s="1"/>
  <c r="O15" i="26"/>
  <c r="N37" i="26" l="1"/>
  <c r="N46" i="26" s="1"/>
  <c r="N48" i="26" s="1"/>
  <c r="T84" i="29"/>
  <c r="T87" i="29" s="1"/>
  <c r="U78" i="29"/>
  <c r="U66" i="29"/>
  <c r="U61" i="29"/>
  <c r="U83" i="29"/>
  <c r="S49" i="29"/>
  <c r="S53" i="29" s="1"/>
  <c r="S56" i="29" s="1"/>
  <c r="T67" i="29"/>
  <c r="S70" i="29"/>
  <c r="S74" i="29" s="1"/>
  <c r="R94" i="29"/>
  <c r="S91" i="29"/>
  <c r="U73" i="29"/>
  <c r="U90" i="29"/>
  <c r="T46" i="29"/>
  <c r="U35" i="29"/>
  <c r="U52" i="29"/>
  <c r="U23" i="29"/>
  <c r="U40" i="29"/>
  <c r="U45" i="29"/>
  <c r="T29" i="29"/>
  <c r="T32" i="29" s="1"/>
  <c r="T36" i="29" s="1"/>
  <c r="U9" i="29"/>
  <c r="U10" i="29"/>
  <c r="U28" i="29"/>
  <c r="V7" i="29"/>
  <c r="T15" i="29"/>
  <c r="T16" i="29"/>
  <c r="T17" i="29"/>
  <c r="Q7" i="28"/>
  <c r="P10" i="28"/>
  <c r="P9" i="28"/>
  <c r="O17" i="28"/>
  <c r="O16" i="28"/>
  <c r="O15" i="28"/>
  <c r="P77" i="26"/>
  <c r="P78" i="26" s="1"/>
  <c r="P79" i="26" s="1"/>
  <c r="O84" i="26"/>
  <c r="O86" i="26" s="1"/>
  <c r="Q71" i="26"/>
  <c r="Q76" i="26"/>
  <c r="Q24" i="26"/>
  <c r="Q29" i="26"/>
  <c r="O30" i="26"/>
  <c r="O43" i="26" s="1"/>
  <c r="Q10" i="26"/>
  <c r="R7" i="26"/>
  <c r="Q9" i="26"/>
  <c r="P17" i="26"/>
  <c r="P16" i="26"/>
  <c r="P81" i="26" s="1"/>
  <c r="P15" i="26"/>
  <c r="O37" i="26" l="1"/>
  <c r="O46" i="26" s="1"/>
  <c r="O48" i="26" s="1"/>
  <c r="U84" i="29"/>
  <c r="U87" i="29" s="1"/>
  <c r="V78" i="29"/>
  <c r="V83" i="29"/>
  <c r="V61" i="29"/>
  <c r="V66" i="29"/>
  <c r="T49" i="29"/>
  <c r="T53" i="29" s="1"/>
  <c r="T56" i="29" s="1"/>
  <c r="U67" i="29"/>
  <c r="T70" i="29"/>
  <c r="T74" i="29" s="1"/>
  <c r="S94" i="29"/>
  <c r="T91" i="29"/>
  <c r="V73" i="29"/>
  <c r="V90" i="29"/>
  <c r="U46" i="29"/>
  <c r="V35" i="29"/>
  <c r="V52" i="29"/>
  <c r="V40" i="29"/>
  <c r="V45" i="29"/>
  <c r="V23" i="29"/>
  <c r="U29" i="29"/>
  <c r="U32" i="29" s="1"/>
  <c r="U36" i="29" s="1"/>
  <c r="V28" i="29"/>
  <c r="V10" i="29"/>
  <c r="W7" i="29"/>
  <c r="V9" i="29"/>
  <c r="U17" i="29"/>
  <c r="U16" i="29"/>
  <c r="U15" i="29"/>
  <c r="P16" i="28"/>
  <c r="P15" i="28"/>
  <c r="P17" i="28"/>
  <c r="Q9" i="28"/>
  <c r="R7" i="28"/>
  <c r="Q10" i="28"/>
  <c r="R76" i="26"/>
  <c r="R71" i="26"/>
  <c r="Q77" i="26"/>
  <c r="Q78" i="26" s="1"/>
  <c r="Q79" i="26" s="1"/>
  <c r="P84" i="26"/>
  <c r="P86" i="26" s="1"/>
  <c r="R24" i="26"/>
  <c r="R29" i="26"/>
  <c r="P30" i="26"/>
  <c r="P43" i="26" s="1"/>
  <c r="Q17" i="26"/>
  <c r="Q16" i="26"/>
  <c r="Q81" i="26" s="1"/>
  <c r="Q15" i="26"/>
  <c r="R9" i="26"/>
  <c r="R10" i="26"/>
  <c r="S7" i="26"/>
  <c r="P37" i="26" l="1"/>
  <c r="P46" i="26" s="1"/>
  <c r="P48" i="26" s="1"/>
  <c r="V84" i="29"/>
  <c r="W66" i="29"/>
  <c r="W78" i="29"/>
  <c r="W61" i="29"/>
  <c r="W83" i="29"/>
  <c r="T94" i="29"/>
  <c r="V67" i="29"/>
  <c r="U70" i="29"/>
  <c r="U74" i="29" s="1"/>
  <c r="U49" i="29"/>
  <c r="U53" i="29" s="1"/>
  <c r="U56" i="29" s="1"/>
  <c r="U91" i="29"/>
  <c r="W73" i="29"/>
  <c r="W90" i="29"/>
  <c r="V46" i="29"/>
  <c r="W35" i="29"/>
  <c r="W45" i="29"/>
  <c r="W23" i="29"/>
  <c r="W52" i="29"/>
  <c r="W40" i="29"/>
  <c r="V29" i="29"/>
  <c r="V32" i="29" s="1"/>
  <c r="V36" i="29" s="1"/>
  <c r="W28" i="29"/>
  <c r="X7" i="29"/>
  <c r="W9" i="29"/>
  <c r="W10" i="29"/>
  <c r="V15" i="29"/>
  <c r="V16" i="29"/>
  <c r="V17" i="29"/>
  <c r="R9" i="28"/>
  <c r="R10" i="28"/>
  <c r="S7" i="28"/>
  <c r="Q17" i="28"/>
  <c r="Q16" i="28"/>
  <c r="Q15" i="28"/>
  <c r="R77" i="26"/>
  <c r="R78" i="26" s="1"/>
  <c r="R79" i="26" s="1"/>
  <c r="Q84" i="26"/>
  <c r="Q86" i="26" s="1"/>
  <c r="S71" i="26"/>
  <c r="S76" i="26"/>
  <c r="S24" i="26"/>
  <c r="S29" i="26"/>
  <c r="Q30" i="26"/>
  <c r="Q43" i="26" s="1"/>
  <c r="R17" i="26"/>
  <c r="R16" i="26"/>
  <c r="R81" i="26" s="1"/>
  <c r="R15" i="26"/>
  <c r="S10" i="26"/>
  <c r="T7" i="26"/>
  <c r="S9" i="26"/>
  <c r="Q37" i="26" l="1"/>
  <c r="Q46" i="26" s="1"/>
  <c r="Q48" i="26" s="1"/>
  <c r="W84" i="29"/>
  <c r="W87" i="29" s="1"/>
  <c r="V87" i="29"/>
  <c r="V91" i="29" s="1"/>
  <c r="X83" i="29"/>
  <c r="X66" i="29"/>
  <c r="X61" i="29"/>
  <c r="X78" i="29"/>
  <c r="U94" i="29"/>
  <c r="V49" i="29"/>
  <c r="V53" i="29" s="1"/>
  <c r="V56" i="29" s="1"/>
  <c r="W67" i="29"/>
  <c r="V70" i="29"/>
  <c r="V74" i="29" s="1"/>
  <c r="X73" i="29"/>
  <c r="X90" i="29"/>
  <c r="W46" i="29"/>
  <c r="X35" i="29"/>
  <c r="X45" i="29"/>
  <c r="X23" i="29"/>
  <c r="X52" i="29"/>
  <c r="X40" i="29"/>
  <c r="W29" i="29"/>
  <c r="W32" i="29" s="1"/>
  <c r="W36" i="29" s="1"/>
  <c r="W15" i="29"/>
  <c r="W16" i="29"/>
  <c r="W17" i="29"/>
  <c r="X28" i="29"/>
  <c r="Y7" i="29"/>
  <c r="X10" i="29"/>
  <c r="X9" i="29"/>
  <c r="S10" i="28"/>
  <c r="T7" i="28"/>
  <c r="S9" i="28"/>
  <c r="R16" i="28"/>
  <c r="R15" i="28"/>
  <c r="R17" i="28"/>
  <c r="T76" i="26"/>
  <c r="T71" i="26"/>
  <c r="S77" i="26"/>
  <c r="S78" i="26" s="1"/>
  <c r="S79" i="26" s="1"/>
  <c r="R84" i="26"/>
  <c r="R86" i="26" s="1"/>
  <c r="T24" i="26"/>
  <c r="T29" i="26"/>
  <c r="R30" i="26"/>
  <c r="R43" i="26" s="1"/>
  <c r="U7" i="26"/>
  <c r="T9" i="26"/>
  <c r="T10" i="26"/>
  <c r="S17" i="26"/>
  <c r="S16" i="26"/>
  <c r="S81" i="26" s="1"/>
  <c r="S15" i="26"/>
  <c r="R37" i="26" l="1"/>
  <c r="R46" i="26" s="1"/>
  <c r="R48" i="26" s="1"/>
  <c r="X84" i="29"/>
  <c r="X87" i="29" s="1"/>
  <c r="V94" i="29"/>
  <c r="Y83" i="29"/>
  <c r="Y78" i="29"/>
  <c r="Y66" i="29"/>
  <c r="Y61" i="29"/>
  <c r="X67" i="29"/>
  <c r="W70" i="29"/>
  <c r="W74" i="29" s="1"/>
  <c r="W49" i="29"/>
  <c r="W53" i="29" s="1"/>
  <c r="W56" i="29" s="1"/>
  <c r="W91" i="29"/>
  <c r="Y90" i="29"/>
  <c r="Y73" i="29"/>
  <c r="X46" i="29"/>
  <c r="Y35" i="29"/>
  <c r="Y45" i="29"/>
  <c r="Y23" i="29"/>
  <c r="Y52" i="29"/>
  <c r="Y40" i="29"/>
  <c r="X29" i="29"/>
  <c r="X32" i="29" s="1"/>
  <c r="X36" i="29" s="1"/>
  <c r="X16" i="29"/>
  <c r="X17" i="29"/>
  <c r="X15" i="29"/>
  <c r="Y28" i="29"/>
  <c r="Z7" i="29"/>
  <c r="Y9" i="29"/>
  <c r="Y10" i="29"/>
  <c r="S15" i="28"/>
  <c r="S17" i="28"/>
  <c r="S16" i="28"/>
  <c r="T10" i="28"/>
  <c r="T9" i="28"/>
  <c r="U7" i="28"/>
  <c r="U71" i="26"/>
  <c r="U76" i="26"/>
  <c r="T77" i="26"/>
  <c r="T78" i="26" s="1"/>
  <c r="T79" i="26" s="1"/>
  <c r="S84" i="26"/>
  <c r="S86" i="26" s="1"/>
  <c r="U24" i="26"/>
  <c r="U29" i="26"/>
  <c r="S30" i="26"/>
  <c r="S43" i="26" s="1"/>
  <c r="V7" i="26"/>
  <c r="U10" i="26"/>
  <c r="U9" i="26"/>
  <c r="T17" i="26"/>
  <c r="T16" i="26"/>
  <c r="T81" i="26" s="1"/>
  <c r="T15" i="26"/>
  <c r="S37" i="26" l="1"/>
  <c r="S46" i="26" s="1"/>
  <c r="S48" i="26" s="1"/>
  <c r="Y84" i="29"/>
  <c r="Y87" i="29" s="1"/>
  <c r="Z66" i="29"/>
  <c r="Z78" i="29"/>
  <c r="Z61" i="29"/>
  <c r="Z83" i="29"/>
  <c r="Y67" i="29"/>
  <c r="X70" i="29"/>
  <c r="X74" i="29" s="1"/>
  <c r="W94" i="29"/>
  <c r="X49" i="29"/>
  <c r="X53" i="29" s="1"/>
  <c r="X56" i="29" s="1"/>
  <c r="X91" i="29"/>
  <c r="Z90" i="29"/>
  <c r="Z73" i="29"/>
  <c r="Y46" i="29"/>
  <c r="Z35" i="29"/>
  <c r="Z45" i="29"/>
  <c r="Z23" i="29"/>
  <c r="Z52" i="29"/>
  <c r="Z40" i="29"/>
  <c r="Y29" i="29"/>
  <c r="Y32" i="29" s="1"/>
  <c r="Y36" i="29" s="1"/>
  <c r="AA7" i="29"/>
  <c r="Z9" i="29"/>
  <c r="Z10" i="29"/>
  <c r="Z28" i="29"/>
  <c r="Y17" i="29"/>
  <c r="Y15" i="29"/>
  <c r="Y16" i="29"/>
  <c r="T17" i="28"/>
  <c r="T16" i="28"/>
  <c r="T15" i="28"/>
  <c r="U10" i="28"/>
  <c r="U9" i="28"/>
  <c r="V7" i="28"/>
  <c r="V71" i="26"/>
  <c r="V76" i="26"/>
  <c r="U77" i="26"/>
  <c r="U78" i="26" s="1"/>
  <c r="U79" i="26" s="1"/>
  <c r="T84" i="26"/>
  <c r="T86" i="26" s="1"/>
  <c r="T30" i="26"/>
  <c r="T43" i="26" s="1"/>
  <c r="V24" i="26"/>
  <c r="V29" i="26"/>
  <c r="U17" i="26"/>
  <c r="U16" i="26"/>
  <c r="U81" i="26" s="1"/>
  <c r="U15" i="26"/>
  <c r="V9" i="26"/>
  <c r="W7" i="26"/>
  <c r="V10" i="26"/>
  <c r="T37" i="26" l="1"/>
  <c r="T46" i="26" s="1"/>
  <c r="T48" i="26" s="1"/>
  <c r="Z84" i="29"/>
  <c r="Z87" i="29" s="1"/>
  <c r="AA61" i="29"/>
  <c r="AA78" i="29"/>
  <c r="AA83" i="29"/>
  <c r="AA66" i="29"/>
  <c r="Z67" i="29"/>
  <c r="Y70" i="29"/>
  <c r="Y74" i="29" s="1"/>
  <c r="Y49" i="29"/>
  <c r="Y53" i="29" s="1"/>
  <c r="Y56" i="29" s="1"/>
  <c r="X94" i="29"/>
  <c r="Y91" i="29"/>
  <c r="AA90" i="29"/>
  <c r="AA73" i="29"/>
  <c r="Z46" i="29"/>
  <c r="AA35" i="29"/>
  <c r="AA23" i="29"/>
  <c r="AA52" i="29"/>
  <c r="AA40" i="29"/>
  <c r="AA45" i="29"/>
  <c r="Z29" i="29"/>
  <c r="Z32" i="29" s="1"/>
  <c r="Z36" i="29" s="1"/>
  <c r="Z16" i="29"/>
  <c r="Z17" i="29"/>
  <c r="Z15" i="29"/>
  <c r="AA9" i="29"/>
  <c r="AA10" i="29"/>
  <c r="AA28" i="29"/>
  <c r="AB7" i="29"/>
  <c r="V9" i="28"/>
  <c r="V10" i="28"/>
  <c r="W7" i="28"/>
  <c r="U17" i="28"/>
  <c r="U16" i="28"/>
  <c r="U15" i="28"/>
  <c r="W71" i="26"/>
  <c r="W76" i="26"/>
  <c r="V77" i="26"/>
  <c r="V78" i="26" s="1"/>
  <c r="V79" i="26" s="1"/>
  <c r="U84" i="26"/>
  <c r="U86" i="26" s="1"/>
  <c r="W24" i="26"/>
  <c r="W29" i="26"/>
  <c r="U30" i="26"/>
  <c r="U43" i="26" s="1"/>
  <c r="V17" i="26"/>
  <c r="V15" i="26"/>
  <c r="V16" i="26"/>
  <c r="V81" i="26" s="1"/>
  <c r="X7" i="26"/>
  <c r="W9" i="26"/>
  <c r="W10" i="26"/>
  <c r="U37" i="26" l="1"/>
  <c r="U46" i="26" s="1"/>
  <c r="U48" i="26" s="1"/>
  <c r="AA84" i="29"/>
  <c r="AA87" i="29" s="1"/>
  <c r="AB66" i="29"/>
  <c r="AB61" i="29"/>
  <c r="AB83" i="29"/>
  <c r="AB78" i="29"/>
  <c r="Y94" i="29"/>
  <c r="AA67" i="29"/>
  <c r="Z70" i="29"/>
  <c r="Z74" i="29" s="1"/>
  <c r="Z49" i="29"/>
  <c r="Z53" i="29" s="1"/>
  <c r="Z56" i="29" s="1"/>
  <c r="Z91" i="29"/>
  <c r="AB73" i="29"/>
  <c r="AB90" i="29"/>
  <c r="AA46" i="29"/>
  <c r="AB35" i="29"/>
  <c r="AB52" i="29"/>
  <c r="AB40" i="29"/>
  <c r="AB45" i="29"/>
  <c r="AB23" i="29"/>
  <c r="AA29" i="29"/>
  <c r="AA32" i="29" s="1"/>
  <c r="AA36" i="29" s="1"/>
  <c r="AA17" i="29"/>
  <c r="AA16" i="29"/>
  <c r="AA15" i="29"/>
  <c r="AB9" i="29"/>
  <c r="AB10" i="29"/>
  <c r="AC7" i="29"/>
  <c r="AB28" i="29"/>
  <c r="V15" i="28"/>
  <c r="V17" i="28"/>
  <c r="V16" i="28"/>
  <c r="W10" i="28"/>
  <c r="W9" i="28"/>
  <c r="X7" i="28"/>
  <c r="X71" i="26"/>
  <c r="X76" i="26"/>
  <c r="W77" i="26"/>
  <c r="W78" i="26" s="1"/>
  <c r="W79" i="26" s="1"/>
  <c r="V84" i="26"/>
  <c r="V86" i="26" s="1"/>
  <c r="V30" i="26"/>
  <c r="V43" i="26" s="1"/>
  <c r="X24" i="26"/>
  <c r="X29" i="26"/>
  <c r="W17" i="26"/>
  <c r="W16" i="26"/>
  <c r="W81" i="26" s="1"/>
  <c r="W15" i="26"/>
  <c r="X9" i="26"/>
  <c r="X10" i="26"/>
  <c r="Y7" i="26"/>
  <c r="V37" i="26" l="1"/>
  <c r="V46" i="26" s="1"/>
  <c r="V48" i="26" s="1"/>
  <c r="AB84" i="29"/>
  <c r="AB87" i="29" s="1"/>
  <c r="AC78" i="29"/>
  <c r="AC61" i="29"/>
  <c r="AC83" i="29"/>
  <c r="AC66" i="29"/>
  <c r="AB67" i="29"/>
  <c r="AA70" i="29"/>
  <c r="AA74" i="29" s="1"/>
  <c r="Z94" i="29"/>
  <c r="AA49" i="29"/>
  <c r="AA53" i="29" s="1"/>
  <c r="AA56" i="29" s="1"/>
  <c r="AA91" i="29"/>
  <c r="AC73" i="29"/>
  <c r="AC90" i="29"/>
  <c r="AB46" i="29"/>
  <c r="AC35" i="29"/>
  <c r="AC23" i="29"/>
  <c r="AC52" i="29"/>
  <c r="AC40" i="29"/>
  <c r="AC45" i="29"/>
  <c r="AB29" i="29"/>
  <c r="AB32" i="29" s="1"/>
  <c r="AB36" i="29" s="1"/>
  <c r="AC9" i="29"/>
  <c r="AC10" i="29"/>
  <c r="AC28" i="29"/>
  <c r="AD7" i="29"/>
  <c r="AB15" i="29"/>
  <c r="AB17" i="29"/>
  <c r="AB16" i="29"/>
  <c r="X10" i="28"/>
  <c r="X9" i="28"/>
  <c r="Y7" i="28"/>
  <c r="W17" i="28"/>
  <c r="W16" i="28"/>
  <c r="W15" i="28"/>
  <c r="X77" i="26"/>
  <c r="X78" i="26" s="1"/>
  <c r="X79" i="26" s="1"/>
  <c r="W84" i="26"/>
  <c r="W86" i="26" s="1"/>
  <c r="Y71" i="26"/>
  <c r="Y76" i="26"/>
  <c r="Y24" i="26"/>
  <c r="Y29" i="26"/>
  <c r="W30" i="26"/>
  <c r="W43" i="26" s="1"/>
  <c r="Y10" i="26"/>
  <c r="Z7" i="26"/>
  <c r="Y9" i="26"/>
  <c r="X17" i="26"/>
  <c r="X16" i="26"/>
  <c r="X81" i="26" s="1"/>
  <c r="X15" i="26"/>
  <c r="W37" i="26" l="1"/>
  <c r="W46" i="26" s="1"/>
  <c r="W48" i="26" s="1"/>
  <c r="AC84" i="29"/>
  <c r="AC87" i="29" s="1"/>
  <c r="AD61" i="29"/>
  <c r="AD78" i="29"/>
  <c r="AD83" i="29"/>
  <c r="AD66" i="29"/>
  <c r="AB49" i="29"/>
  <c r="AB53" i="29" s="1"/>
  <c r="AB56" i="29" s="1"/>
  <c r="AC67" i="29"/>
  <c r="AB70" i="29"/>
  <c r="AB74" i="29" s="1"/>
  <c r="AA94" i="29"/>
  <c r="AB91" i="29"/>
  <c r="AD73" i="29"/>
  <c r="AD90" i="29"/>
  <c r="AC46" i="29"/>
  <c r="AD35" i="29"/>
  <c r="AD40" i="29"/>
  <c r="AD45" i="29"/>
  <c r="AD52" i="29"/>
  <c r="AD23" i="29"/>
  <c r="AC29" i="29"/>
  <c r="AC32" i="29" s="1"/>
  <c r="AC36" i="29" s="1"/>
  <c r="AD28" i="29"/>
  <c r="AD10" i="29"/>
  <c r="AE7" i="29"/>
  <c r="AD9" i="29"/>
  <c r="AC17" i="29"/>
  <c r="AC16" i="29"/>
  <c r="AC15" i="29"/>
  <c r="Y9" i="28"/>
  <c r="Y10" i="28"/>
  <c r="Z7" i="28"/>
  <c r="X17" i="28"/>
  <c r="X16" i="28"/>
  <c r="X15" i="28"/>
  <c r="Z76" i="26"/>
  <c r="Z71" i="26"/>
  <c r="Y77" i="26"/>
  <c r="Y78" i="26" s="1"/>
  <c r="Y79" i="26" s="1"/>
  <c r="X84" i="26"/>
  <c r="X86" i="26" s="1"/>
  <c r="X30" i="26"/>
  <c r="X43" i="26" s="1"/>
  <c r="Z24" i="26"/>
  <c r="Z29" i="26"/>
  <c r="Y17" i="26"/>
  <c r="Y16" i="26"/>
  <c r="Y81" i="26" s="1"/>
  <c r="Y15" i="26"/>
  <c r="Z9" i="26"/>
  <c r="Z10" i="26"/>
  <c r="AA7" i="26"/>
  <c r="X37" i="26" l="1"/>
  <c r="X46" i="26" s="1"/>
  <c r="X48" i="26" s="1"/>
  <c r="AD84" i="29"/>
  <c r="AD87" i="29" s="1"/>
  <c r="AE66" i="29"/>
  <c r="AE78" i="29"/>
  <c r="AE61" i="29"/>
  <c r="AE83" i="29"/>
  <c r="AD67" i="29"/>
  <c r="AC70" i="29"/>
  <c r="AC74" i="29" s="1"/>
  <c r="AC49" i="29"/>
  <c r="AC53" i="29" s="1"/>
  <c r="AC56" i="29" s="1"/>
  <c r="AB94" i="29"/>
  <c r="AC91" i="29"/>
  <c r="AE73" i="29"/>
  <c r="AE90" i="29"/>
  <c r="AD46" i="29"/>
  <c r="AE35" i="29"/>
  <c r="AE45" i="29"/>
  <c r="AE23" i="29"/>
  <c r="AE52" i="29"/>
  <c r="AE40" i="29"/>
  <c r="AD29" i="29"/>
  <c r="AD32" i="29" s="1"/>
  <c r="AD36" i="29" s="1"/>
  <c r="AE28" i="29"/>
  <c r="AF7" i="29"/>
  <c r="AE9" i="29"/>
  <c r="AE10" i="29"/>
  <c r="AD15" i="29"/>
  <c r="AD16" i="29"/>
  <c r="AD17" i="29"/>
  <c r="Z9" i="28"/>
  <c r="Z10" i="28"/>
  <c r="AA7" i="28"/>
  <c r="Y17" i="28"/>
  <c r="Y16" i="28"/>
  <c r="Y15" i="28"/>
  <c r="Z77" i="26"/>
  <c r="Z78" i="26" s="1"/>
  <c r="Z79" i="26" s="1"/>
  <c r="Y84" i="26"/>
  <c r="Y86" i="26" s="1"/>
  <c r="AA71" i="26"/>
  <c r="AA76" i="26"/>
  <c r="AA24" i="26"/>
  <c r="AA29" i="26"/>
  <c r="Y30" i="26"/>
  <c r="Y43" i="26" s="1"/>
  <c r="Z17" i="26"/>
  <c r="Z16" i="26"/>
  <c r="Z81" i="26" s="1"/>
  <c r="Z15" i="26"/>
  <c r="AA10" i="26"/>
  <c r="AB7" i="26"/>
  <c r="AA9" i="26"/>
  <c r="Y37" i="26" l="1"/>
  <c r="Y46" i="26" s="1"/>
  <c r="Y48" i="26" s="1"/>
  <c r="AE84" i="29"/>
  <c r="AE87" i="29" s="1"/>
  <c r="AC94" i="29"/>
  <c r="AF61" i="29"/>
  <c r="AF83" i="29"/>
  <c r="AF66" i="29"/>
  <c r="AF78" i="29"/>
  <c r="AD49" i="29"/>
  <c r="AD53" i="29" s="1"/>
  <c r="AD56" i="29" s="1"/>
  <c r="AE67" i="29"/>
  <c r="AD70" i="29"/>
  <c r="AD74" i="29" s="1"/>
  <c r="AD91" i="29"/>
  <c r="AF73" i="29"/>
  <c r="AF90" i="29"/>
  <c r="AE46" i="29"/>
  <c r="AF35" i="29"/>
  <c r="AF45" i="29"/>
  <c r="AF23" i="29"/>
  <c r="AF52" i="29"/>
  <c r="AF40" i="29"/>
  <c r="AE29" i="29"/>
  <c r="AE32" i="29" s="1"/>
  <c r="AE36" i="29" s="1"/>
  <c r="AE15" i="29"/>
  <c r="AE16" i="29"/>
  <c r="AE17" i="29"/>
  <c r="AF28" i="29"/>
  <c r="AG7" i="29"/>
  <c r="AF10" i="29"/>
  <c r="AF9" i="29"/>
  <c r="AA10" i="28"/>
  <c r="AA9" i="28"/>
  <c r="AB7" i="28"/>
  <c r="Z17" i="28"/>
  <c r="Z16" i="28"/>
  <c r="Z15" i="28"/>
  <c r="AB76" i="26"/>
  <c r="AB71" i="26"/>
  <c r="AA77" i="26"/>
  <c r="AA78" i="26" s="1"/>
  <c r="AA79" i="26" s="1"/>
  <c r="Z84" i="26"/>
  <c r="Z86" i="26" s="1"/>
  <c r="AB24" i="26"/>
  <c r="AB29" i="26"/>
  <c r="Z30" i="26"/>
  <c r="Z43" i="26" s="1"/>
  <c r="AC7" i="26"/>
  <c r="AB9" i="26"/>
  <c r="AB10" i="26"/>
  <c r="AA17" i="26"/>
  <c r="AA16" i="26"/>
  <c r="AA81" i="26" s="1"/>
  <c r="AA15" i="26"/>
  <c r="Z37" i="26" l="1"/>
  <c r="Z46" i="26" s="1"/>
  <c r="Z48" i="26" s="1"/>
  <c r="AF84" i="29"/>
  <c r="AF87" i="29" s="1"/>
  <c r="AG83" i="29"/>
  <c r="AG78" i="29"/>
  <c r="AG66" i="29"/>
  <c r="AG61" i="29"/>
  <c r="AF67" i="29"/>
  <c r="AE70" i="29"/>
  <c r="AE74" i="29" s="1"/>
  <c r="AD94" i="29"/>
  <c r="AE49" i="29"/>
  <c r="AE53" i="29" s="1"/>
  <c r="AE56" i="29" s="1"/>
  <c r="AE91" i="29"/>
  <c r="AG90" i="29"/>
  <c r="AG73" i="29"/>
  <c r="AF46" i="29"/>
  <c r="AG35" i="29"/>
  <c r="AG45" i="29"/>
  <c r="AG23" i="29"/>
  <c r="AG52" i="29"/>
  <c r="AG40" i="29"/>
  <c r="AF29" i="29"/>
  <c r="AF32" i="29" s="1"/>
  <c r="AF36" i="29" s="1"/>
  <c r="AF15" i="29"/>
  <c r="AF16" i="29"/>
  <c r="AF17" i="29"/>
  <c r="AH7" i="29"/>
  <c r="AG28" i="29"/>
  <c r="AG9" i="29"/>
  <c r="AG10" i="29"/>
  <c r="AA17" i="28"/>
  <c r="AA16" i="28"/>
  <c r="AA15" i="28"/>
  <c r="AB10" i="28"/>
  <c r="AB9" i="28"/>
  <c r="AC7" i="28"/>
  <c r="AB77" i="26"/>
  <c r="AB78" i="26" s="1"/>
  <c r="AB79" i="26" s="1"/>
  <c r="AA84" i="26"/>
  <c r="AA86" i="26" s="1"/>
  <c r="AC71" i="26"/>
  <c r="AC76" i="26"/>
  <c r="AC24" i="26"/>
  <c r="AC29" i="26"/>
  <c r="AA30" i="26"/>
  <c r="AA43" i="26" s="1"/>
  <c r="AD7" i="26"/>
  <c r="AC10" i="26"/>
  <c r="AC9" i="26"/>
  <c r="AB15" i="26"/>
  <c r="AB17" i="26"/>
  <c r="AB16" i="26"/>
  <c r="AB81" i="26" s="1"/>
  <c r="AA37" i="26" l="1"/>
  <c r="AA46" i="26" s="1"/>
  <c r="AA48" i="26" s="1"/>
  <c r="AG84" i="29"/>
  <c r="AG87" i="29" s="1"/>
  <c r="AH66" i="29"/>
  <c r="AH61" i="29"/>
  <c r="AH83" i="29"/>
  <c r="AH78" i="29"/>
  <c r="AE94" i="29"/>
  <c r="AG67" i="29"/>
  <c r="AF70" i="29"/>
  <c r="AF74" i="29" s="1"/>
  <c r="AF49" i="29"/>
  <c r="AF53" i="29" s="1"/>
  <c r="AF56" i="29" s="1"/>
  <c r="AF91" i="29"/>
  <c r="AH90" i="29"/>
  <c r="AH73" i="29"/>
  <c r="AG46" i="29"/>
  <c r="AH35" i="29"/>
  <c r="AH45" i="29"/>
  <c r="AH23" i="29"/>
  <c r="AH52" i="29"/>
  <c r="AH40" i="29"/>
  <c r="AG29" i="29"/>
  <c r="AG32" i="29" s="1"/>
  <c r="AG36" i="29" s="1"/>
  <c r="AI7" i="29"/>
  <c r="AH28" i="29"/>
  <c r="AH9" i="29"/>
  <c r="AH10" i="29"/>
  <c r="AG15" i="29"/>
  <c r="AG16" i="29"/>
  <c r="AG17" i="29"/>
  <c r="AC10" i="28"/>
  <c r="AC9" i="28"/>
  <c r="AD7" i="28"/>
  <c r="AB17" i="28"/>
  <c r="AB16" i="28"/>
  <c r="AB15" i="28"/>
  <c r="AD71" i="26"/>
  <c r="AD76" i="26"/>
  <c r="AC77" i="26"/>
  <c r="AC78" i="26" s="1"/>
  <c r="AC79" i="26" s="1"/>
  <c r="AB84" i="26"/>
  <c r="AB86" i="26" s="1"/>
  <c r="AD24" i="26"/>
  <c r="AD29" i="26"/>
  <c r="AB30" i="26"/>
  <c r="AB43" i="26" s="1"/>
  <c r="AC17" i="26"/>
  <c r="AC16" i="26"/>
  <c r="AC81" i="26" s="1"/>
  <c r="AC15" i="26"/>
  <c r="AD9" i="26"/>
  <c r="AE7" i="26"/>
  <c r="AD10" i="26"/>
  <c r="AB37" i="26" l="1"/>
  <c r="AB46" i="26" s="1"/>
  <c r="AB48" i="26" s="1"/>
  <c r="AH84" i="29"/>
  <c r="AH87" i="29" s="1"/>
  <c r="AI61" i="29"/>
  <c r="AI78" i="29"/>
  <c r="AI66" i="29"/>
  <c r="AI83" i="29"/>
  <c r="AF94" i="29"/>
  <c r="AH67" i="29"/>
  <c r="AG70" i="29"/>
  <c r="AG74" i="29" s="1"/>
  <c r="AG49" i="29"/>
  <c r="AG53" i="29" s="1"/>
  <c r="AG56" i="29" s="1"/>
  <c r="AG91" i="29"/>
  <c r="AI90" i="29"/>
  <c r="AI73" i="29"/>
  <c r="AH46" i="29"/>
  <c r="AI35" i="29"/>
  <c r="AI23" i="29"/>
  <c r="AI45" i="29"/>
  <c r="AI52" i="29"/>
  <c r="AI40" i="29"/>
  <c r="AH29" i="29"/>
  <c r="AH32" i="29" s="1"/>
  <c r="AH36" i="29" s="1"/>
  <c r="AH16" i="29"/>
  <c r="AH17" i="29"/>
  <c r="AH15" i="29"/>
  <c r="AI28" i="29"/>
  <c r="AI9" i="29"/>
  <c r="AI10" i="29"/>
  <c r="AJ7" i="29"/>
  <c r="AD9" i="28"/>
  <c r="AD10" i="28"/>
  <c r="AE7" i="28"/>
  <c r="AC17" i="28"/>
  <c r="AC16" i="28"/>
  <c r="AC15" i="28"/>
  <c r="AE76" i="26"/>
  <c r="AE71" i="26"/>
  <c r="AD77" i="26"/>
  <c r="AD78" i="26" s="1"/>
  <c r="AD79" i="26" s="1"/>
  <c r="AC84" i="26"/>
  <c r="AC86" i="26" s="1"/>
  <c r="AE24" i="26"/>
  <c r="AE29" i="26"/>
  <c r="AC30" i="26"/>
  <c r="AC43" i="26" s="1"/>
  <c r="AD17" i="26"/>
  <c r="AD16" i="26"/>
  <c r="AD81" i="26" s="1"/>
  <c r="AD15" i="26"/>
  <c r="AF7" i="26"/>
  <c r="AE9" i="26"/>
  <c r="AE10" i="26"/>
  <c r="AC37" i="26" l="1"/>
  <c r="AC46" i="26" s="1"/>
  <c r="AC48" i="26" s="1"/>
  <c r="AI84" i="29"/>
  <c r="AI87" i="29" s="1"/>
  <c r="AJ66" i="29"/>
  <c r="AJ61" i="29"/>
  <c r="AJ78" i="29"/>
  <c r="AJ83" i="29"/>
  <c r="AI67" i="29"/>
  <c r="AH70" i="29"/>
  <c r="AH74" i="29" s="1"/>
  <c r="AG94" i="29"/>
  <c r="AH49" i="29"/>
  <c r="AH53" i="29" s="1"/>
  <c r="AH56" i="29" s="1"/>
  <c r="AJ90" i="29"/>
  <c r="AJ73" i="29"/>
  <c r="AH91" i="29"/>
  <c r="AI46" i="29"/>
  <c r="AJ35" i="29"/>
  <c r="AJ52" i="29"/>
  <c r="AJ40" i="29"/>
  <c r="AJ23" i="29"/>
  <c r="AJ45" i="29"/>
  <c r="AI29" i="29"/>
  <c r="AI32" i="29" s="1"/>
  <c r="AI36" i="29" s="1"/>
  <c r="AJ9" i="29"/>
  <c r="AJ10" i="29"/>
  <c r="AK7" i="29"/>
  <c r="AJ28" i="29"/>
  <c r="AI17" i="29"/>
  <c r="AI16" i="29"/>
  <c r="AI15" i="29"/>
  <c r="AE10" i="28"/>
  <c r="AF7" i="28"/>
  <c r="AE9" i="28"/>
  <c r="AD16" i="28"/>
  <c r="AD15" i="28"/>
  <c r="AD17" i="28"/>
  <c r="AF71" i="26"/>
  <c r="AF76" i="26"/>
  <c r="AE77" i="26"/>
  <c r="AE78" i="26" s="1"/>
  <c r="AE79" i="26" s="1"/>
  <c r="AD84" i="26"/>
  <c r="AD86" i="26" s="1"/>
  <c r="AD30" i="26"/>
  <c r="AD43" i="26" s="1"/>
  <c r="AF24" i="26"/>
  <c r="AF29" i="26"/>
  <c r="AF9" i="26"/>
  <c r="AF10" i="26"/>
  <c r="AG7" i="26"/>
  <c r="AE17" i="26"/>
  <c r="AE16" i="26"/>
  <c r="AE81" i="26" s="1"/>
  <c r="AE15" i="26"/>
  <c r="AD37" i="26" l="1"/>
  <c r="AD46" i="26" s="1"/>
  <c r="AD48" i="26" s="1"/>
  <c r="AJ84" i="29"/>
  <c r="AJ87" i="29" s="1"/>
  <c r="AK83" i="29"/>
  <c r="AK78" i="29"/>
  <c r="AK66" i="29"/>
  <c r="AK61" i="29"/>
  <c r="AH94" i="29"/>
  <c r="AJ67" i="29"/>
  <c r="AI70" i="29"/>
  <c r="AI74" i="29" s="1"/>
  <c r="AI49" i="29"/>
  <c r="AI53" i="29" s="1"/>
  <c r="AI56" i="29" s="1"/>
  <c r="AK73" i="29"/>
  <c r="AK90" i="29"/>
  <c r="AI91" i="29"/>
  <c r="AJ46" i="29"/>
  <c r="AK35" i="29"/>
  <c r="AK52" i="29"/>
  <c r="AK45" i="29"/>
  <c r="AK23" i="29"/>
  <c r="AK40" i="29"/>
  <c r="AJ29" i="29"/>
  <c r="AJ32" i="29" s="1"/>
  <c r="AJ36" i="29" s="1"/>
  <c r="AK9" i="29"/>
  <c r="AK10" i="29"/>
  <c r="AK28" i="29"/>
  <c r="AL7" i="29"/>
  <c r="AJ17" i="29"/>
  <c r="AJ15" i="29"/>
  <c r="AJ16" i="29"/>
  <c r="AE16" i="28"/>
  <c r="AE15" i="28"/>
  <c r="AE17" i="28"/>
  <c r="AG7" i="28"/>
  <c r="AF10" i="28"/>
  <c r="AF9" i="28"/>
  <c r="AF77" i="26"/>
  <c r="AF78" i="26" s="1"/>
  <c r="AF79" i="26" s="1"/>
  <c r="AE84" i="26"/>
  <c r="AE86" i="26" s="1"/>
  <c r="AG71" i="26"/>
  <c r="AG76" i="26"/>
  <c r="AG24" i="26"/>
  <c r="AG29" i="26"/>
  <c r="AE30" i="26"/>
  <c r="AE43" i="26" s="1"/>
  <c r="AG9" i="26"/>
  <c r="AG10" i="26"/>
  <c r="AH7" i="26"/>
  <c r="AF17" i="26"/>
  <c r="AF16" i="26"/>
  <c r="AF81" i="26" s="1"/>
  <c r="AF15" i="26"/>
  <c r="AE37" i="26" l="1"/>
  <c r="AE46" i="26" s="1"/>
  <c r="AE48" i="26" s="1"/>
  <c r="AK84" i="29"/>
  <c r="AK87" i="29" s="1"/>
  <c r="AL78" i="29"/>
  <c r="AL83" i="29"/>
  <c r="AL66" i="29"/>
  <c r="AL61" i="29"/>
  <c r="AI94" i="29"/>
  <c r="AJ49" i="29"/>
  <c r="AJ53" i="29" s="1"/>
  <c r="AJ56" i="29" s="1"/>
  <c r="AK67" i="29"/>
  <c r="AJ70" i="29"/>
  <c r="AJ74" i="29" s="1"/>
  <c r="AL73" i="29"/>
  <c r="AL90" i="29"/>
  <c r="AJ91" i="29"/>
  <c r="AK46" i="29"/>
  <c r="AL35" i="29"/>
  <c r="AL40" i="29"/>
  <c r="AL45" i="29"/>
  <c r="AL23" i="29"/>
  <c r="AL52" i="29"/>
  <c r="AK29" i="29"/>
  <c r="AK32" i="29" s="1"/>
  <c r="AK36" i="29" s="1"/>
  <c r="AK17" i="29"/>
  <c r="AK16" i="29"/>
  <c r="AK15" i="29"/>
  <c r="AL28" i="29"/>
  <c r="AL10" i="29"/>
  <c r="AM7" i="29"/>
  <c r="AL9" i="29"/>
  <c r="AF15" i="28"/>
  <c r="AF17" i="28"/>
  <c r="AF16" i="28"/>
  <c r="AG9" i="28"/>
  <c r="AH7" i="28"/>
  <c r="AG10" i="28"/>
  <c r="AH71" i="26"/>
  <c r="AH76" i="26"/>
  <c r="AG77" i="26"/>
  <c r="AG78" i="26" s="1"/>
  <c r="AG79" i="26" s="1"/>
  <c r="AF84" i="26"/>
  <c r="AF86" i="26" s="1"/>
  <c r="AF30" i="26"/>
  <c r="AF43" i="26" s="1"/>
  <c r="AH24" i="26"/>
  <c r="AH29" i="26"/>
  <c r="AH9" i="26"/>
  <c r="AH10" i="26"/>
  <c r="AI7" i="26"/>
  <c r="AG17" i="26"/>
  <c r="AG16" i="26"/>
  <c r="AG81" i="26" s="1"/>
  <c r="AG15" i="26"/>
  <c r="AF37" i="26" l="1"/>
  <c r="AF46" i="26" s="1"/>
  <c r="AF48" i="26" s="1"/>
  <c r="AL84" i="29"/>
  <c r="AL87" i="29" s="1"/>
  <c r="AM61" i="29"/>
  <c r="AM66" i="29"/>
  <c r="AM83" i="29"/>
  <c r="AM78" i="29"/>
  <c r="AJ94" i="29"/>
  <c r="AL67" i="29"/>
  <c r="AK70" i="29"/>
  <c r="AK74" i="29" s="1"/>
  <c r="AK49" i="29"/>
  <c r="AK53" i="29" s="1"/>
  <c r="AK56" i="29" s="1"/>
  <c r="AK91" i="29"/>
  <c r="AM73" i="29"/>
  <c r="AM90" i="29"/>
  <c r="AL46" i="29"/>
  <c r="AM35" i="29"/>
  <c r="AM45" i="29"/>
  <c r="AM23" i="29"/>
  <c r="AM52" i="29"/>
  <c r="AM40" i="29"/>
  <c r="AL29" i="29"/>
  <c r="AL32" i="29" s="1"/>
  <c r="AL36" i="29" s="1"/>
  <c r="AL16" i="29"/>
  <c r="AL17" i="29"/>
  <c r="AL15" i="29"/>
  <c r="AN7" i="29"/>
  <c r="AM9" i="29"/>
  <c r="AM10" i="29"/>
  <c r="AM28" i="29"/>
  <c r="AH9" i="28"/>
  <c r="AH10" i="28"/>
  <c r="AI7" i="28"/>
  <c r="AG17" i="28"/>
  <c r="AG16" i="28"/>
  <c r="AG15" i="28"/>
  <c r="AI71" i="26"/>
  <c r="AI76" i="26"/>
  <c r="AH77" i="26"/>
  <c r="AH78" i="26" s="1"/>
  <c r="AH79" i="26" s="1"/>
  <c r="AG84" i="26"/>
  <c r="AG86" i="26" s="1"/>
  <c r="AI24" i="26"/>
  <c r="AI29" i="26"/>
  <c r="AG30" i="26"/>
  <c r="AG43" i="26" s="1"/>
  <c r="AH17" i="26"/>
  <c r="AH16" i="26"/>
  <c r="AH81" i="26" s="1"/>
  <c r="AH15" i="26"/>
  <c r="AI10" i="26"/>
  <c r="AI9" i="26"/>
  <c r="AJ7" i="26"/>
  <c r="AG37" i="26" l="1"/>
  <c r="AG46" i="26" s="1"/>
  <c r="AG48" i="26" s="1"/>
  <c r="AM84" i="29"/>
  <c r="AM87" i="29" s="1"/>
  <c r="AN78" i="29"/>
  <c r="AN61" i="29"/>
  <c r="AN66" i="29"/>
  <c r="AN83" i="29"/>
  <c r="AL49" i="29"/>
  <c r="AL53" i="29" s="1"/>
  <c r="AL56" i="29" s="1"/>
  <c r="AM67" i="29"/>
  <c r="AL70" i="29"/>
  <c r="AL74" i="29" s="1"/>
  <c r="AK94" i="29"/>
  <c r="AL91" i="29"/>
  <c r="AN73" i="29"/>
  <c r="AN90" i="29"/>
  <c r="AM46" i="29"/>
  <c r="AN35" i="29"/>
  <c r="AN45" i="29"/>
  <c r="AN23" i="29"/>
  <c r="AN52" i="29"/>
  <c r="AN40" i="29"/>
  <c r="AM29" i="29"/>
  <c r="AM32" i="29" s="1"/>
  <c r="AM36" i="29" s="1"/>
  <c r="AN28" i="29"/>
  <c r="AO7" i="29"/>
  <c r="AN10" i="29"/>
  <c r="AN9" i="29"/>
  <c r="AM15" i="29"/>
  <c r="AM17" i="29"/>
  <c r="AM16" i="29"/>
  <c r="AI10" i="28"/>
  <c r="AJ7" i="28"/>
  <c r="AI9" i="28"/>
  <c r="AH15" i="28"/>
  <c r="AH17" i="28"/>
  <c r="AH16" i="28"/>
  <c r="AI77" i="26"/>
  <c r="AH84" i="26"/>
  <c r="AH86" i="26" s="1"/>
  <c r="AJ76" i="26"/>
  <c r="AJ71" i="26"/>
  <c r="AH30" i="26"/>
  <c r="AH43" i="26" s="1"/>
  <c r="AJ24" i="26"/>
  <c r="AJ29" i="26"/>
  <c r="AI17" i="26"/>
  <c r="AI16" i="26"/>
  <c r="AI15" i="26"/>
  <c r="AK7" i="26"/>
  <c r="AJ9" i="26"/>
  <c r="AJ10" i="26"/>
  <c r="AH37" i="26" l="1"/>
  <c r="AH46" i="26" s="1"/>
  <c r="AH48" i="26" s="1"/>
  <c r="AN84" i="29"/>
  <c r="AN87" i="29" s="1"/>
  <c r="AL94" i="29"/>
  <c r="AO83" i="29"/>
  <c r="AO66" i="29"/>
  <c r="AO78" i="29"/>
  <c r="AO61" i="29"/>
  <c r="AM49" i="29"/>
  <c r="AM53" i="29" s="1"/>
  <c r="AM56" i="29" s="1"/>
  <c r="AN67" i="29"/>
  <c r="AM70" i="29"/>
  <c r="AM74" i="29" s="1"/>
  <c r="AM91" i="29"/>
  <c r="AO90" i="29"/>
  <c r="AO73" i="29"/>
  <c r="AN46" i="29"/>
  <c r="AO35" i="29"/>
  <c r="AO45" i="29"/>
  <c r="AO23" i="29"/>
  <c r="AO52" i="29"/>
  <c r="AO40" i="29"/>
  <c r="AN29" i="29"/>
  <c r="AN32" i="29" s="1"/>
  <c r="AN36" i="29" s="1"/>
  <c r="AP7" i="29"/>
  <c r="AO28" i="29"/>
  <c r="AO9" i="29"/>
  <c r="AO10" i="29"/>
  <c r="AN15" i="29"/>
  <c r="AN16" i="29"/>
  <c r="AN17" i="29"/>
  <c r="AI17" i="28"/>
  <c r="AI16" i="28"/>
  <c r="AI15" i="28"/>
  <c r="AJ10" i="28"/>
  <c r="AJ9" i="28"/>
  <c r="AK7" i="28"/>
  <c r="AK71" i="26"/>
  <c r="AK76" i="26"/>
  <c r="AJ77" i="26"/>
  <c r="AI84" i="26"/>
  <c r="AI86" i="26" s="1"/>
  <c r="AK24" i="26"/>
  <c r="AK29" i="26"/>
  <c r="AI30" i="26"/>
  <c r="AI43" i="26" s="1"/>
  <c r="AJ17" i="26"/>
  <c r="AJ16" i="26"/>
  <c r="AJ15" i="26"/>
  <c r="AL7" i="26"/>
  <c r="AK10" i="26"/>
  <c r="AK9" i="26"/>
  <c r="AI37" i="26" l="1"/>
  <c r="AI46" i="26" s="1"/>
  <c r="AI48" i="26" s="1"/>
  <c r="AO84" i="29"/>
  <c r="AO87" i="29" s="1"/>
  <c r="AP66" i="29"/>
  <c r="AP61" i="29"/>
  <c r="AP83" i="29"/>
  <c r="AP78" i="29"/>
  <c r="AO67" i="29"/>
  <c r="AN70" i="29"/>
  <c r="AN74" i="29" s="1"/>
  <c r="AN49" i="29"/>
  <c r="AN53" i="29" s="1"/>
  <c r="AN56" i="29" s="1"/>
  <c r="AM94" i="29"/>
  <c r="AP90" i="29"/>
  <c r="AP73" i="29"/>
  <c r="AN91" i="29"/>
  <c r="AO46" i="29"/>
  <c r="AP35" i="29"/>
  <c r="AP45" i="29"/>
  <c r="AP23" i="29"/>
  <c r="AP52" i="29"/>
  <c r="AP40" i="29"/>
  <c r="AO29" i="29"/>
  <c r="AO32" i="29" s="1"/>
  <c r="AO36" i="29" s="1"/>
  <c r="AO15" i="29"/>
  <c r="AO16" i="29"/>
  <c r="AO17" i="29"/>
  <c r="AQ7" i="29"/>
  <c r="AP28" i="29"/>
  <c r="AP9" i="29"/>
  <c r="AP10" i="29"/>
  <c r="AK10" i="28"/>
  <c r="AK9" i="28"/>
  <c r="AL7" i="28"/>
  <c r="AJ17" i="28"/>
  <c r="AJ16" i="28"/>
  <c r="AJ15" i="28"/>
  <c r="AK77" i="26"/>
  <c r="AJ84" i="26"/>
  <c r="AJ86" i="26" s="1"/>
  <c r="AL71" i="26"/>
  <c r="AL76" i="26"/>
  <c r="AL24" i="26"/>
  <c r="AL29" i="26"/>
  <c r="AJ30" i="26"/>
  <c r="AJ43" i="26" s="1"/>
  <c r="AK17" i="26"/>
  <c r="AK16" i="26"/>
  <c r="AK15" i="26"/>
  <c r="AL10" i="26"/>
  <c r="AM7" i="26"/>
  <c r="AL9" i="26"/>
  <c r="AJ37" i="26" l="1"/>
  <c r="AJ46" i="26" s="1"/>
  <c r="AJ48" i="26" s="1"/>
  <c r="AP84" i="29"/>
  <c r="AP87" i="29" s="1"/>
  <c r="AQ61" i="29"/>
  <c r="AQ83" i="29"/>
  <c r="AQ78" i="29"/>
  <c r="AQ66" i="29"/>
  <c r="AN94" i="29"/>
  <c r="AO49" i="29"/>
  <c r="AO53" i="29" s="1"/>
  <c r="AO56" i="29" s="1"/>
  <c r="AP46" i="29"/>
  <c r="AP49" i="29" s="1"/>
  <c r="AP53" i="29" s="1"/>
  <c r="AP67" i="29"/>
  <c r="AO70" i="29"/>
  <c r="AO74" i="29" s="1"/>
  <c r="AO91" i="29"/>
  <c r="AQ90" i="29"/>
  <c r="AQ73" i="29"/>
  <c r="AQ35" i="29"/>
  <c r="AQ23" i="29"/>
  <c r="AQ52" i="29"/>
  <c r="AQ40" i="29"/>
  <c r="AQ45" i="29"/>
  <c r="AP29" i="29"/>
  <c r="AP32" i="29" s="1"/>
  <c r="AP36" i="29" s="1"/>
  <c r="AQ9" i="29"/>
  <c r="AQ28" i="29"/>
  <c r="AQ10" i="29"/>
  <c r="AR7" i="29"/>
  <c r="AP15" i="29"/>
  <c r="AP16" i="29"/>
  <c r="AP17" i="29"/>
  <c r="AL9" i="28"/>
  <c r="AL10" i="28"/>
  <c r="AM7" i="28"/>
  <c r="AK17" i="28"/>
  <c r="AK16" i="28"/>
  <c r="AK15" i="28"/>
  <c r="AM71" i="26"/>
  <c r="AM76" i="26"/>
  <c r="AL77" i="26"/>
  <c r="AK84" i="26"/>
  <c r="AK86" i="26" s="1"/>
  <c r="AM24" i="26"/>
  <c r="AM29" i="26"/>
  <c r="AK30" i="26"/>
  <c r="AK43" i="26" s="1"/>
  <c r="AN7" i="26"/>
  <c r="AM9" i="26"/>
  <c r="AM10" i="26"/>
  <c r="AL17" i="26"/>
  <c r="AL16" i="26"/>
  <c r="AL15" i="26"/>
  <c r="AK37" i="26" l="1"/>
  <c r="AK46" i="26" s="1"/>
  <c r="AK48" i="26" s="1"/>
  <c r="AQ84" i="29"/>
  <c r="AQ87" i="29" s="1"/>
  <c r="AR66" i="29"/>
  <c r="AR78" i="29"/>
  <c r="AR61" i="29"/>
  <c r="AR83" i="29"/>
  <c r="AO94" i="29"/>
  <c r="AQ67" i="29"/>
  <c r="AP70" i="29"/>
  <c r="AP74" i="29" s="1"/>
  <c r="AP91" i="29"/>
  <c r="AR73" i="29"/>
  <c r="AR90" i="29"/>
  <c r="AP56" i="29"/>
  <c r="AQ46" i="29"/>
  <c r="AR35" i="29"/>
  <c r="AR52" i="29"/>
  <c r="AR40" i="29"/>
  <c r="AR23" i="29"/>
  <c r="AR45" i="29"/>
  <c r="AQ29" i="29"/>
  <c r="AQ32" i="29" s="1"/>
  <c r="AQ36" i="29" s="1"/>
  <c r="AR28" i="29"/>
  <c r="AR9" i="29"/>
  <c r="AR10" i="29"/>
  <c r="AQ17" i="29"/>
  <c r="AQ16" i="29"/>
  <c r="AQ15" i="29"/>
  <c r="AM10" i="28"/>
  <c r="AM9" i="28"/>
  <c r="AN7" i="28"/>
  <c r="AL17" i="28"/>
  <c r="AL15" i="28"/>
  <c r="AL16" i="28"/>
  <c r="AM77" i="26"/>
  <c r="AL84" i="26"/>
  <c r="AL86" i="26" s="1"/>
  <c r="AN76" i="26"/>
  <c r="AN71" i="26"/>
  <c r="AN24" i="26"/>
  <c r="AN29" i="26"/>
  <c r="AL30" i="26"/>
  <c r="AL43" i="26" s="1"/>
  <c r="AN9" i="26"/>
  <c r="AN10" i="26"/>
  <c r="AO7" i="26"/>
  <c r="AM17" i="26"/>
  <c r="AM16" i="26"/>
  <c r="AM15" i="26"/>
  <c r="AL37" i="26" l="1"/>
  <c r="AL46" i="26" s="1"/>
  <c r="AL48" i="26" s="1"/>
  <c r="AR84" i="29"/>
  <c r="AR87" i="29" s="1"/>
  <c r="AQ49" i="29"/>
  <c r="AQ53" i="29" s="1"/>
  <c r="AQ56" i="29" s="1"/>
  <c r="AR67" i="29"/>
  <c r="AR70" i="29" s="1"/>
  <c r="AQ70" i="29"/>
  <c r="AQ74" i="29" s="1"/>
  <c r="AP94" i="29"/>
  <c r="AQ91" i="29"/>
  <c r="AR46" i="29"/>
  <c r="AR49" i="29" s="1"/>
  <c r="AR29" i="29"/>
  <c r="AR32" i="29" s="1"/>
  <c r="AR36" i="29" s="1"/>
  <c r="AR15" i="29"/>
  <c r="AR16" i="29"/>
  <c r="AR17" i="29"/>
  <c r="AM17" i="28"/>
  <c r="AM16" i="28"/>
  <c r="AM15" i="28"/>
  <c r="AO7" i="28"/>
  <c r="AN9" i="28"/>
  <c r="AN10" i="28"/>
  <c r="AO71" i="26"/>
  <c r="AO76" i="26"/>
  <c r="AN77" i="26"/>
  <c r="AM84" i="26"/>
  <c r="AM86" i="26" s="1"/>
  <c r="AO24" i="26"/>
  <c r="AO29" i="26"/>
  <c r="AM30" i="26"/>
  <c r="AM43" i="26" s="1"/>
  <c r="AN17" i="26"/>
  <c r="AN16" i="26"/>
  <c r="AN15" i="26"/>
  <c r="AO9" i="26"/>
  <c r="AO10" i="26"/>
  <c r="AP7" i="26"/>
  <c r="AM37" i="26" l="1"/>
  <c r="AM46" i="26" s="1"/>
  <c r="AM48" i="26" s="1"/>
  <c r="AQ94" i="29"/>
  <c r="D67" i="29"/>
  <c r="AR74" i="29"/>
  <c r="D74" i="29" s="1"/>
  <c r="D70" i="29"/>
  <c r="D46" i="29"/>
  <c r="D84" i="29"/>
  <c r="AR53" i="29"/>
  <c r="D53" i="29" s="1"/>
  <c r="D49" i="29"/>
  <c r="D36" i="29"/>
  <c r="D29" i="29"/>
  <c r="D32" i="29"/>
  <c r="AO9" i="28"/>
  <c r="AP7" i="28"/>
  <c r="AO10" i="28"/>
  <c r="AN17" i="28"/>
  <c r="AN16" i="28"/>
  <c r="AN15" i="28"/>
  <c r="AO77" i="26"/>
  <c r="AN84" i="26"/>
  <c r="AN86" i="26" s="1"/>
  <c r="AP76" i="26"/>
  <c r="AP71" i="26"/>
  <c r="AP24" i="26"/>
  <c r="AP29" i="26"/>
  <c r="AN30" i="26"/>
  <c r="AN43" i="26" s="1"/>
  <c r="AO17" i="26"/>
  <c r="AO16" i="26"/>
  <c r="AO15" i="26"/>
  <c r="AP9" i="26"/>
  <c r="AP10" i="26"/>
  <c r="AQ7" i="26"/>
  <c r="AN37" i="26" l="1"/>
  <c r="AN46" i="26" s="1"/>
  <c r="AN48" i="26" s="1"/>
  <c r="AR91" i="29"/>
  <c r="D87" i="29"/>
  <c r="AR56" i="29"/>
  <c r="AO17" i="28"/>
  <c r="AO16" i="28"/>
  <c r="AO15" i="28"/>
  <c r="AP9" i="28"/>
  <c r="AP10" i="28"/>
  <c r="AQ7" i="28"/>
  <c r="AQ71" i="26"/>
  <c r="AQ76" i="26"/>
  <c r="AP77" i="26"/>
  <c r="AO84" i="26"/>
  <c r="AO86" i="26" s="1"/>
  <c r="AQ24" i="26"/>
  <c r="AQ29" i="26"/>
  <c r="AO30" i="26"/>
  <c r="AO43" i="26" s="1"/>
  <c r="AP17" i="26"/>
  <c r="AP16" i="26"/>
  <c r="AP15" i="26"/>
  <c r="AQ10" i="26"/>
  <c r="AR7" i="26"/>
  <c r="AQ9" i="26"/>
  <c r="AO37" i="26" l="1"/>
  <c r="AO46" i="26" s="1"/>
  <c r="AO48" i="26" s="1"/>
  <c r="D91" i="29"/>
  <c r="AR94" i="29"/>
  <c r="D94" i="29" s="1"/>
  <c r="AP16" i="28"/>
  <c r="AP15" i="28"/>
  <c r="AP17" i="28"/>
  <c r="AQ10" i="28"/>
  <c r="AR7" i="28"/>
  <c r="AQ9" i="28"/>
  <c r="AR76" i="26"/>
  <c r="AR71" i="26"/>
  <c r="AQ77" i="26"/>
  <c r="AP84" i="26"/>
  <c r="AP86" i="26" s="1"/>
  <c r="AP30" i="26"/>
  <c r="AP43" i="26" s="1"/>
  <c r="AR24" i="26"/>
  <c r="AR29" i="26"/>
  <c r="AR9" i="26"/>
  <c r="AR10" i="26"/>
  <c r="AQ17" i="26"/>
  <c r="AQ16" i="26"/>
  <c r="AQ15" i="26"/>
  <c r="AP37" i="26" l="1"/>
  <c r="AP46" i="26" s="1"/>
  <c r="AP48" i="26" s="1"/>
  <c r="AR10" i="28"/>
  <c r="AR9" i="28"/>
  <c r="AQ16" i="28"/>
  <c r="AQ15" i="28"/>
  <c r="AQ17" i="28"/>
  <c r="AR77" i="26"/>
  <c r="AQ84" i="26"/>
  <c r="AQ86" i="26" s="1"/>
  <c r="AQ30" i="26"/>
  <c r="AQ43" i="26" s="1"/>
  <c r="AR17" i="26"/>
  <c r="AR15" i="26"/>
  <c r="AR16" i="26"/>
  <c r="AR84" i="26" l="1"/>
  <c r="AR86" i="26" s="1"/>
  <c r="D86" i="26" s="1"/>
  <c r="D77" i="26"/>
  <c r="AQ37" i="26"/>
  <c r="AQ46" i="26" s="1"/>
  <c r="AQ48" i="26" s="1"/>
  <c r="AR17" i="28"/>
  <c r="AR16" i="28"/>
  <c r="AR15" i="28"/>
  <c r="AR30" i="26"/>
  <c r="D84" i="26" l="1"/>
  <c r="AR37" i="26"/>
  <c r="D37" i="26" s="1"/>
  <c r="AR43" i="26"/>
  <c r="D43" i="26" s="1"/>
  <c r="D30" i="26"/>
  <c r="AR46" i="26" l="1"/>
  <c r="AR48" i="26" s="1"/>
  <c r="D48" i="26" s="1"/>
  <c r="D46" i="26" l="1"/>
  <c r="B55" i="24"/>
  <c r="D55" i="24"/>
  <c r="B53" i="24"/>
  <c r="B22" i="24"/>
  <c r="C6" i="25"/>
  <c r="D10" i="25" s="1"/>
  <c r="D17" i="24"/>
  <c r="D16" i="24"/>
  <c r="D15" i="24"/>
  <c r="F8" i="24"/>
  <c r="G8" i="24" s="1"/>
  <c r="H8" i="24" s="1"/>
  <c r="I8" i="24" s="1"/>
  <c r="J8" i="24" s="1"/>
  <c r="K8" i="24" s="1"/>
  <c r="L8" i="24" s="1"/>
  <c r="M8" i="24" s="1"/>
  <c r="N8" i="24" s="1"/>
  <c r="O8" i="24" s="1"/>
  <c r="P8" i="24" s="1"/>
  <c r="Q8" i="24" s="1"/>
  <c r="R8" i="24" s="1"/>
  <c r="S8" i="24" s="1"/>
  <c r="T8" i="24" s="1"/>
  <c r="U8" i="24" s="1"/>
  <c r="V8" i="24" s="1"/>
  <c r="W8" i="24" s="1"/>
  <c r="X8" i="24" s="1"/>
  <c r="Y8" i="24" s="1"/>
  <c r="Z8" i="24" s="1"/>
  <c r="AA8" i="24" s="1"/>
  <c r="AB8" i="24" s="1"/>
  <c r="AC8" i="24" s="1"/>
  <c r="AD8" i="24" s="1"/>
  <c r="AE8" i="24" s="1"/>
  <c r="AF8" i="24" s="1"/>
  <c r="AG8" i="24" s="1"/>
  <c r="AH8" i="24" s="1"/>
  <c r="AI8" i="24" s="1"/>
  <c r="AJ8" i="24" s="1"/>
  <c r="AK8" i="24" s="1"/>
  <c r="AL8" i="24" s="1"/>
  <c r="AM8" i="24" s="1"/>
  <c r="AN8" i="24" s="1"/>
  <c r="AO8" i="24" s="1"/>
  <c r="AP8" i="24" s="1"/>
  <c r="AQ8" i="24" s="1"/>
  <c r="AR8" i="24" s="1"/>
  <c r="F7" i="24"/>
  <c r="F27" i="24" s="1"/>
  <c r="A4" i="24"/>
  <c r="A1" i="24"/>
  <c r="F9" i="24" l="1"/>
  <c r="F25" i="24"/>
  <c r="F26" i="24"/>
  <c r="D11" i="25"/>
  <c r="D9" i="25"/>
  <c r="G7" i="24"/>
  <c r="G27" i="24" s="1"/>
  <c r="G25" i="24" l="1"/>
  <c r="G26" i="24"/>
  <c r="G9" i="24"/>
  <c r="H7" i="24"/>
  <c r="H27" i="24" s="1"/>
  <c r="H25" i="24" l="1"/>
  <c r="H26" i="24"/>
  <c r="I7" i="24"/>
  <c r="H9" i="24"/>
  <c r="H10" i="24" l="1"/>
  <c r="H17" i="24" s="1"/>
  <c r="I10" i="24"/>
  <c r="J7" i="24"/>
  <c r="J27" i="24" s="1"/>
  <c r="I9" i="24"/>
  <c r="F10" i="24"/>
  <c r="G10" i="24"/>
  <c r="J25" i="24" l="1"/>
  <c r="J26" i="24"/>
  <c r="H15" i="24"/>
  <c r="H16" i="24"/>
  <c r="F17" i="24"/>
  <c r="F16" i="24"/>
  <c r="F15" i="24"/>
  <c r="I17" i="24"/>
  <c r="I16" i="24"/>
  <c r="I15" i="24"/>
  <c r="G17" i="24"/>
  <c r="G16" i="24"/>
  <c r="G15" i="24"/>
  <c r="K7" i="24"/>
  <c r="K27" i="24" s="1"/>
  <c r="J10" i="24"/>
  <c r="J9" i="24"/>
  <c r="K26" i="24" l="1"/>
  <c r="K25" i="24"/>
  <c r="J17" i="24"/>
  <c r="J16" i="24"/>
  <c r="J15" i="24"/>
  <c r="K9" i="24"/>
  <c r="K10" i="24"/>
  <c r="L7" i="24"/>
  <c r="L27" i="24" s="1"/>
  <c r="L25" i="24" l="1"/>
  <c r="L26" i="24"/>
  <c r="L10" i="24"/>
  <c r="L9" i="24"/>
  <c r="M7" i="24"/>
  <c r="M27" i="24" s="1"/>
  <c r="K17" i="24"/>
  <c r="K16" i="24"/>
  <c r="K15" i="24"/>
  <c r="M26" i="24" l="1"/>
  <c r="M25" i="24"/>
  <c r="M10" i="24"/>
  <c r="M9" i="24"/>
  <c r="N7" i="24"/>
  <c r="N27" i="24" s="1"/>
  <c r="L16" i="24"/>
  <c r="L17" i="24"/>
  <c r="L15" i="24"/>
  <c r="N26" i="24" l="1"/>
  <c r="N25" i="24"/>
  <c r="N9" i="24"/>
  <c r="N10" i="24"/>
  <c r="O7" i="24"/>
  <c r="O27" i="24" s="1"/>
  <c r="M17" i="24"/>
  <c r="M16" i="24"/>
  <c r="M15" i="24"/>
  <c r="O25" i="24" l="1"/>
  <c r="O26" i="24"/>
  <c r="O10" i="24"/>
  <c r="O9" i="24"/>
  <c r="P7" i="24"/>
  <c r="P27" i="24" s="1"/>
  <c r="N17" i="24"/>
  <c r="N16" i="24"/>
  <c r="N15" i="24"/>
  <c r="P26" i="24" l="1"/>
  <c r="P25" i="24"/>
  <c r="P10" i="24"/>
  <c r="P9" i="24"/>
  <c r="Q7" i="24"/>
  <c r="Q27" i="24" s="1"/>
  <c r="O17" i="24"/>
  <c r="O16" i="24"/>
  <c r="O15" i="24"/>
  <c r="Q25" i="24" l="1"/>
  <c r="Q26" i="24"/>
  <c r="Q10" i="24"/>
  <c r="R7" i="24"/>
  <c r="R27" i="24" s="1"/>
  <c r="Q9" i="24"/>
  <c r="P17" i="24"/>
  <c r="P16" i="24"/>
  <c r="P15" i="24"/>
  <c r="R26" i="24" l="1"/>
  <c r="R25" i="24"/>
  <c r="S7" i="24"/>
  <c r="S27" i="24" s="1"/>
  <c r="R9" i="24"/>
  <c r="R10" i="24"/>
  <c r="Q17" i="24"/>
  <c r="Q16" i="24"/>
  <c r="Q15" i="24"/>
  <c r="S26" i="24" l="1"/>
  <c r="S25" i="24"/>
  <c r="S9" i="24"/>
  <c r="S10" i="24"/>
  <c r="T7" i="24"/>
  <c r="T27" i="24" s="1"/>
  <c r="R16" i="24"/>
  <c r="R17" i="24"/>
  <c r="R15" i="24"/>
  <c r="T25" i="24" l="1"/>
  <c r="T26" i="24"/>
  <c r="S17" i="24"/>
  <c r="S16" i="24"/>
  <c r="S15" i="24"/>
  <c r="T9" i="24"/>
  <c r="T10" i="24"/>
  <c r="U7" i="24"/>
  <c r="U27" i="24" s="1"/>
  <c r="U25" i="24" l="1"/>
  <c r="U26" i="24"/>
  <c r="T16" i="24"/>
  <c r="T17" i="24"/>
  <c r="T15" i="24"/>
  <c r="U9" i="24"/>
  <c r="U10" i="24"/>
  <c r="V7" i="24"/>
  <c r="V27" i="24" s="1"/>
  <c r="V25" i="24" l="1"/>
  <c r="V26" i="24"/>
  <c r="V9" i="24"/>
  <c r="V10" i="24"/>
  <c r="W7" i="24"/>
  <c r="W27" i="24" s="1"/>
  <c r="U16" i="24"/>
  <c r="U17" i="24"/>
  <c r="U15" i="24"/>
  <c r="W25" i="24" l="1"/>
  <c r="W26" i="24"/>
  <c r="W10" i="24"/>
  <c r="X7" i="24"/>
  <c r="X27" i="24" s="1"/>
  <c r="W9" i="24"/>
  <c r="V17" i="24"/>
  <c r="V16" i="24"/>
  <c r="V15" i="24"/>
  <c r="X25" i="24" l="1"/>
  <c r="X26" i="24"/>
  <c r="X9" i="24"/>
  <c r="Y7" i="24"/>
  <c r="Y27" i="24" s="1"/>
  <c r="X10" i="24"/>
  <c r="W17" i="24"/>
  <c r="W16" i="24"/>
  <c r="W15" i="24"/>
  <c r="Y25" i="24" l="1"/>
  <c r="Y26" i="24"/>
  <c r="Y10" i="24"/>
  <c r="Z7" i="24"/>
  <c r="Z27" i="24" s="1"/>
  <c r="Y9" i="24"/>
  <c r="X17" i="24"/>
  <c r="X16" i="24"/>
  <c r="X15" i="24"/>
  <c r="Z26" i="24" l="1"/>
  <c r="Z25" i="24"/>
  <c r="AA7" i="24"/>
  <c r="AA27" i="24" s="1"/>
  <c r="Z9" i="24"/>
  <c r="Z10" i="24"/>
  <c r="Y17" i="24"/>
  <c r="Y16" i="24"/>
  <c r="Y15" i="24"/>
  <c r="AA26" i="24" l="1"/>
  <c r="AA25" i="24"/>
  <c r="Z16" i="24"/>
  <c r="Z17" i="24"/>
  <c r="Z15" i="24"/>
  <c r="AA9" i="24"/>
  <c r="AA10" i="24"/>
  <c r="AB7" i="24"/>
  <c r="AB27" i="24" s="1"/>
  <c r="AB25" i="24" l="1"/>
  <c r="AB26" i="24"/>
  <c r="AB9" i="24"/>
  <c r="AB10" i="24"/>
  <c r="AC7" i="24"/>
  <c r="AC27" i="24" s="1"/>
  <c r="AA17" i="24"/>
  <c r="AA16" i="24"/>
  <c r="AA15" i="24"/>
  <c r="AC25" i="24" l="1"/>
  <c r="AC26" i="24"/>
  <c r="AC9" i="24"/>
  <c r="AC10" i="24"/>
  <c r="AD7" i="24"/>
  <c r="AD27" i="24" s="1"/>
  <c r="AB16" i="24"/>
  <c r="AB17" i="24"/>
  <c r="AB15" i="24"/>
  <c r="AD26" i="24" l="1"/>
  <c r="AD25" i="24"/>
  <c r="AD9" i="24"/>
  <c r="AD10" i="24"/>
  <c r="AE7" i="24"/>
  <c r="AE27" i="24" s="1"/>
  <c r="AC17" i="24"/>
  <c r="AC16" i="24"/>
  <c r="AC15" i="24"/>
  <c r="AE25" i="24" l="1"/>
  <c r="AE26" i="24"/>
  <c r="AE10" i="24"/>
  <c r="AE9" i="24"/>
  <c r="AF7" i="24"/>
  <c r="AF27" i="24" s="1"/>
  <c r="AD17" i="24"/>
  <c r="AD16" i="24"/>
  <c r="AD15" i="24"/>
  <c r="AF26" i="24" l="1"/>
  <c r="AF25" i="24"/>
  <c r="AE17" i="24"/>
  <c r="AE16" i="24"/>
  <c r="AE15" i="24"/>
  <c r="AF9" i="24"/>
  <c r="AF10" i="24"/>
  <c r="AG7" i="24"/>
  <c r="AG27" i="24" s="1"/>
  <c r="AG26" i="24" l="1"/>
  <c r="AG25" i="24"/>
  <c r="AG10" i="24"/>
  <c r="AG9" i="24"/>
  <c r="AH7" i="24"/>
  <c r="AH27" i="24" s="1"/>
  <c r="AF17" i="24"/>
  <c r="AF16" i="24"/>
  <c r="AF15" i="24"/>
  <c r="AH25" i="24" l="1"/>
  <c r="AH26" i="24"/>
  <c r="AI7" i="24"/>
  <c r="AI27" i="24" s="1"/>
  <c r="AH10" i="24"/>
  <c r="AH9" i="24"/>
  <c r="AG17" i="24"/>
  <c r="AG16" i="24"/>
  <c r="AG15" i="24"/>
  <c r="AI26" i="24" l="1"/>
  <c r="AI25" i="24"/>
  <c r="AH16" i="24"/>
  <c r="AH17" i="24"/>
  <c r="AH15" i="24"/>
  <c r="AI9" i="24"/>
  <c r="AI10" i="24"/>
  <c r="AJ7" i="24"/>
  <c r="AJ27" i="24" s="1"/>
  <c r="AJ25" i="24" l="1"/>
  <c r="AJ26" i="24"/>
  <c r="AI17" i="24"/>
  <c r="AI16" i="24"/>
  <c r="AI15" i="24"/>
  <c r="AJ9" i="24"/>
  <c r="AJ10" i="24"/>
  <c r="AK7" i="24"/>
  <c r="AK27" i="24" s="1"/>
  <c r="AK26" i="24" l="1"/>
  <c r="AK25" i="24"/>
  <c r="AJ16" i="24"/>
  <c r="AJ17" i="24"/>
  <c r="AJ15" i="24"/>
  <c r="AK9" i="24"/>
  <c r="AK10" i="24"/>
  <c r="AL7" i="24"/>
  <c r="AL27" i="24" s="1"/>
  <c r="AL25" i="24" l="1"/>
  <c r="AL26" i="24"/>
  <c r="AL9" i="24"/>
  <c r="AL10" i="24"/>
  <c r="AM7" i="24"/>
  <c r="AM27" i="24" s="1"/>
  <c r="AK16" i="24"/>
  <c r="AK17" i="24"/>
  <c r="AK15" i="24"/>
  <c r="AM25" i="24" l="1"/>
  <c r="AM26" i="24"/>
  <c r="AM10" i="24"/>
  <c r="AN7" i="24"/>
  <c r="AN27" i="24" s="1"/>
  <c r="AM9" i="24"/>
  <c r="AL17" i="24"/>
  <c r="AL16" i="24"/>
  <c r="AL15" i="24"/>
  <c r="AN25" i="24" l="1"/>
  <c r="AN26" i="24"/>
  <c r="AM17" i="24"/>
  <c r="AM16" i="24"/>
  <c r="AM15" i="24"/>
  <c r="AN9" i="24"/>
  <c r="AN10" i="24"/>
  <c r="AO7" i="24"/>
  <c r="AO27" i="24" s="1"/>
  <c r="AO25" i="24" l="1"/>
  <c r="AO26" i="24"/>
  <c r="AO10" i="24"/>
  <c r="AP7" i="24"/>
  <c r="AP27" i="24" s="1"/>
  <c r="AO9" i="24"/>
  <c r="AN17" i="24"/>
  <c r="AN16" i="24"/>
  <c r="AN15" i="24"/>
  <c r="AP25" i="24" l="1"/>
  <c r="AP26" i="24"/>
  <c r="AQ7" i="24"/>
  <c r="AQ27" i="24" s="1"/>
  <c r="AP9" i="24"/>
  <c r="AP10" i="24"/>
  <c r="AO17" i="24"/>
  <c r="AO16" i="24"/>
  <c r="AO15" i="24"/>
  <c r="AQ26" i="24" l="1"/>
  <c r="AQ25" i="24"/>
  <c r="AQ9" i="24"/>
  <c r="AQ10" i="24"/>
  <c r="AR7" i="24"/>
  <c r="AR27" i="24" s="1"/>
  <c r="AP16" i="24"/>
  <c r="AP17" i="24"/>
  <c r="AP15" i="24"/>
  <c r="AR25" i="24" l="1"/>
  <c r="AR26" i="24"/>
  <c r="AQ17" i="24"/>
  <c r="AQ16" i="24"/>
  <c r="AQ15" i="24"/>
  <c r="AR9" i="24"/>
  <c r="AR10" i="24"/>
  <c r="AR16" i="24" l="1"/>
  <c r="AR17" i="24"/>
  <c r="AR15" i="24"/>
  <c r="D50" i="23" l="1"/>
  <c r="D49" i="23"/>
  <c r="F8" i="23" l="1"/>
  <c r="G8" i="23" s="1"/>
  <c r="H8" i="23" s="1"/>
  <c r="I8" i="23" s="1"/>
  <c r="J8" i="23" s="1"/>
  <c r="K8" i="23" s="1"/>
  <c r="L8" i="23" s="1"/>
  <c r="M8" i="23" s="1"/>
  <c r="N8" i="23" s="1"/>
  <c r="O8" i="23" s="1"/>
  <c r="P8" i="23" s="1"/>
  <c r="Q8" i="23" s="1"/>
  <c r="R8" i="23" s="1"/>
  <c r="S8" i="23" s="1"/>
  <c r="T8" i="23" s="1"/>
  <c r="U8" i="23" s="1"/>
  <c r="V8" i="23" s="1"/>
  <c r="W8" i="23" s="1"/>
  <c r="X8" i="23" s="1"/>
  <c r="Y8" i="23" s="1"/>
  <c r="Z8" i="23" s="1"/>
  <c r="AA8" i="23" s="1"/>
  <c r="AB8" i="23" s="1"/>
  <c r="AC8" i="23" s="1"/>
  <c r="AD8" i="23" s="1"/>
  <c r="AE8" i="23" s="1"/>
  <c r="AF8" i="23" s="1"/>
  <c r="AG8" i="23" s="1"/>
  <c r="AH8" i="23" s="1"/>
  <c r="AI8" i="23" s="1"/>
  <c r="AJ8" i="23" s="1"/>
  <c r="AK8" i="23" s="1"/>
  <c r="AL8" i="23" s="1"/>
  <c r="AM8" i="23" s="1"/>
  <c r="AN8" i="23" s="1"/>
  <c r="AO8" i="23" s="1"/>
  <c r="AP8" i="23" s="1"/>
  <c r="AQ8" i="23" s="1"/>
  <c r="AR8" i="23" s="1"/>
  <c r="F7" i="23"/>
  <c r="A4" i="23"/>
  <c r="A1" i="23"/>
  <c r="D32" i="22"/>
  <c r="F40" i="2"/>
  <c r="F60" i="2" s="1"/>
  <c r="D25" i="21"/>
  <c r="D24" i="21"/>
  <c r="D23" i="21"/>
  <c r="D22" i="21"/>
  <c r="D118" i="20"/>
  <c r="E50" i="1"/>
  <c r="D20" i="23" s="1"/>
  <c r="D17" i="22"/>
  <c r="D16" i="22"/>
  <c r="D15" i="22"/>
  <c r="F8" i="22"/>
  <c r="G8" i="22" s="1"/>
  <c r="H8" i="22" s="1"/>
  <c r="I8" i="22" s="1"/>
  <c r="J8" i="22" s="1"/>
  <c r="K8" i="22" s="1"/>
  <c r="L8" i="22" s="1"/>
  <c r="M8" i="22" s="1"/>
  <c r="N8" i="22" s="1"/>
  <c r="O8" i="22" s="1"/>
  <c r="P8" i="22" s="1"/>
  <c r="Q8" i="22" s="1"/>
  <c r="R8" i="22" s="1"/>
  <c r="S8" i="22" s="1"/>
  <c r="T8" i="22" s="1"/>
  <c r="U8" i="22" s="1"/>
  <c r="V8" i="22" s="1"/>
  <c r="W8" i="22" s="1"/>
  <c r="X8" i="22" s="1"/>
  <c r="Y8" i="22" s="1"/>
  <c r="Z8" i="22" s="1"/>
  <c r="AA8" i="22" s="1"/>
  <c r="AB8" i="22" s="1"/>
  <c r="AC8" i="22" s="1"/>
  <c r="AD8" i="22" s="1"/>
  <c r="AE8" i="22" s="1"/>
  <c r="AF8" i="22" s="1"/>
  <c r="AG8" i="22" s="1"/>
  <c r="AH8" i="22" s="1"/>
  <c r="AI8" i="22" s="1"/>
  <c r="AJ8" i="22" s="1"/>
  <c r="AK8" i="22" s="1"/>
  <c r="AL8" i="22" s="1"/>
  <c r="AM8" i="22" s="1"/>
  <c r="AN8" i="22" s="1"/>
  <c r="AO8" i="22" s="1"/>
  <c r="AP8" i="22" s="1"/>
  <c r="AQ8" i="22" s="1"/>
  <c r="AR8" i="22" s="1"/>
  <c r="F7" i="22"/>
  <c r="F9" i="22" s="1"/>
  <c r="A4" i="22"/>
  <c r="A1" i="22"/>
  <c r="F34" i="23" l="1"/>
  <c r="D38" i="23"/>
  <c r="D39" i="23" s="1"/>
  <c r="E52" i="1"/>
  <c r="D22" i="23" s="1"/>
  <c r="D23" i="23" s="1"/>
  <c r="F72" i="2"/>
  <c r="F80" i="2"/>
  <c r="F92" i="2" s="1"/>
  <c r="G40" i="2"/>
  <c r="G60" i="2" s="1"/>
  <c r="F52" i="2"/>
  <c r="F49" i="23"/>
  <c r="D51" i="23"/>
  <c r="D52" i="23" s="1"/>
  <c r="F20" i="23"/>
  <c r="D24" i="23"/>
  <c r="F22" i="23"/>
  <c r="F36" i="23" s="1"/>
  <c r="F9" i="23"/>
  <c r="G7" i="23"/>
  <c r="G7" i="22"/>
  <c r="D26" i="21"/>
  <c r="D17" i="21"/>
  <c r="D16" i="21"/>
  <c r="D15" i="21"/>
  <c r="F8" i="21"/>
  <c r="G8" i="21" s="1"/>
  <c r="H8" i="21" s="1"/>
  <c r="I8" i="21" s="1"/>
  <c r="J8" i="21" s="1"/>
  <c r="K8" i="21" s="1"/>
  <c r="L8" i="21" s="1"/>
  <c r="M8" i="21" s="1"/>
  <c r="N8" i="21" s="1"/>
  <c r="O8" i="21" s="1"/>
  <c r="P8" i="21" s="1"/>
  <c r="Q8" i="21" s="1"/>
  <c r="R8" i="21" s="1"/>
  <c r="S8" i="21" s="1"/>
  <c r="T8" i="21" s="1"/>
  <c r="U8" i="21" s="1"/>
  <c r="V8" i="21" s="1"/>
  <c r="W8" i="21" s="1"/>
  <c r="X8" i="21" s="1"/>
  <c r="Y8" i="21" s="1"/>
  <c r="Z8" i="21" s="1"/>
  <c r="AA8" i="21" s="1"/>
  <c r="AB8" i="21" s="1"/>
  <c r="AC8" i="21" s="1"/>
  <c r="AD8" i="21" s="1"/>
  <c r="AE8" i="21" s="1"/>
  <c r="AF8" i="21" s="1"/>
  <c r="AG8" i="21" s="1"/>
  <c r="AH8" i="21" s="1"/>
  <c r="AI8" i="21" s="1"/>
  <c r="AJ8" i="21" s="1"/>
  <c r="AK8" i="21" s="1"/>
  <c r="AL8" i="21" s="1"/>
  <c r="AM8" i="21" s="1"/>
  <c r="AN8" i="21" s="1"/>
  <c r="AO8" i="21" s="1"/>
  <c r="AP8" i="21" s="1"/>
  <c r="AQ8" i="21" s="1"/>
  <c r="AR8" i="21" s="1"/>
  <c r="F7" i="21"/>
  <c r="F57" i="21" s="1"/>
  <c r="A4" i="21"/>
  <c r="A1" i="21"/>
  <c r="G34" i="23" l="1"/>
  <c r="G39" i="23"/>
  <c r="G36" i="23"/>
  <c r="F39" i="23"/>
  <c r="F42" i="23" s="1"/>
  <c r="F61" i="23" s="1"/>
  <c r="F48" i="21"/>
  <c r="F45" i="21"/>
  <c r="F47" i="21"/>
  <c r="F46" i="21"/>
  <c r="G51" i="23"/>
  <c r="G72" i="2"/>
  <c r="G80" i="2"/>
  <c r="G92" i="2" s="1"/>
  <c r="H40" i="2"/>
  <c r="H60" i="2" s="1"/>
  <c r="G52" i="2"/>
  <c r="G25" i="23"/>
  <c r="G49" i="23"/>
  <c r="D25" i="23"/>
  <c r="F25" i="23" s="1"/>
  <c r="F28" i="23" s="1"/>
  <c r="F56" i="23" s="1"/>
  <c r="G20" i="23"/>
  <c r="G9" i="23"/>
  <c r="G22" i="23"/>
  <c r="H7" i="23"/>
  <c r="H7" i="22"/>
  <c r="G9" i="22"/>
  <c r="F35" i="21"/>
  <c r="F27" i="21" s="1"/>
  <c r="F9" i="21"/>
  <c r="G7" i="21"/>
  <c r="G57" i="21" s="1"/>
  <c r="D39" i="20"/>
  <c r="F17" i="20"/>
  <c r="F18" i="20" s="1"/>
  <c r="Q14" i="20"/>
  <c r="Q13" i="20"/>
  <c r="F11" i="20"/>
  <c r="F12" i="20" s="1"/>
  <c r="F4" i="20"/>
  <c r="F5" i="20" s="1"/>
  <c r="G42" i="23" l="1"/>
  <c r="G61" i="23" s="1"/>
  <c r="F44" i="23"/>
  <c r="F63" i="23" s="1"/>
  <c r="F43" i="23"/>
  <c r="F62" i="23" s="1"/>
  <c r="H34" i="23"/>
  <c r="H39" i="23"/>
  <c r="H36" i="23"/>
  <c r="S12" i="20"/>
  <c r="Q15" i="20" s="1"/>
  <c r="F2" i="20"/>
  <c r="I2" i="20" s="1"/>
  <c r="F29" i="23"/>
  <c r="F30" i="23"/>
  <c r="G48" i="21"/>
  <c r="G45" i="21"/>
  <c r="G46" i="21"/>
  <c r="G47" i="21"/>
  <c r="F49" i="21"/>
  <c r="H72" i="2"/>
  <c r="H80" i="2"/>
  <c r="H92" i="2" s="1"/>
  <c r="I40" i="2"/>
  <c r="I60" i="2" s="1"/>
  <c r="H52" i="2"/>
  <c r="F22" i="24"/>
  <c r="G28" i="23"/>
  <c r="G56" i="23" s="1"/>
  <c r="H49" i="23"/>
  <c r="H51" i="23"/>
  <c r="H20" i="23"/>
  <c r="H25" i="23"/>
  <c r="H22" i="23"/>
  <c r="I7" i="23"/>
  <c r="H9" i="23"/>
  <c r="H9" i="22"/>
  <c r="I7" i="22"/>
  <c r="G35" i="21"/>
  <c r="G27" i="21" s="1"/>
  <c r="H7" i="21"/>
  <c r="H57" i="21" s="1"/>
  <c r="G9" i="21"/>
  <c r="I34" i="23" l="1"/>
  <c r="I39" i="23"/>
  <c r="I36" i="23"/>
  <c r="H42" i="23"/>
  <c r="H61" i="23" s="1"/>
  <c r="G44" i="23"/>
  <c r="G63" i="23" s="1"/>
  <c r="G43" i="23"/>
  <c r="G62" i="23" s="1"/>
  <c r="D25" i="20"/>
  <c r="D32" i="20" s="1"/>
  <c r="D33" i="20" s="1"/>
  <c r="F33" i="20" s="1"/>
  <c r="F34" i="20" s="1"/>
  <c r="S13" i="20"/>
  <c r="D40" i="20"/>
  <c r="F40" i="20" s="1"/>
  <c r="F41" i="20" s="1"/>
  <c r="F58" i="23"/>
  <c r="F57" i="23"/>
  <c r="G30" i="23"/>
  <c r="G29" i="23"/>
  <c r="H46" i="21"/>
  <c r="H45" i="21"/>
  <c r="H48" i="21"/>
  <c r="H47" i="21"/>
  <c r="I72" i="2"/>
  <c r="I80" i="2"/>
  <c r="I92" i="2" s="1"/>
  <c r="J40" i="2"/>
  <c r="J60" i="2" s="1"/>
  <c r="I52" i="2"/>
  <c r="F68" i="26"/>
  <c r="F53" i="24"/>
  <c r="G22" i="24"/>
  <c r="H28" i="23"/>
  <c r="H56" i="23" s="1"/>
  <c r="I49" i="23"/>
  <c r="I51" i="23"/>
  <c r="I20" i="23"/>
  <c r="I25" i="23"/>
  <c r="H10" i="23"/>
  <c r="I22" i="23"/>
  <c r="G10" i="23"/>
  <c r="I9" i="23"/>
  <c r="F10" i="23"/>
  <c r="I10" i="23"/>
  <c r="J7" i="23"/>
  <c r="G10" i="22"/>
  <c r="I10" i="22"/>
  <c r="F10" i="22"/>
  <c r="H10" i="22"/>
  <c r="G49" i="21"/>
  <c r="J7" i="22"/>
  <c r="J10" i="22" s="1"/>
  <c r="I9" i="22"/>
  <c r="H35" i="21"/>
  <c r="H27" i="21" s="1"/>
  <c r="I7" i="21"/>
  <c r="I57" i="21" s="1"/>
  <c r="H9" i="21"/>
  <c r="I42" i="23" l="1"/>
  <c r="I61" i="23" s="1"/>
  <c r="H44" i="23"/>
  <c r="H63" i="23" s="1"/>
  <c r="H43" i="23"/>
  <c r="H62" i="23" s="1"/>
  <c r="J34" i="23"/>
  <c r="J39" i="23"/>
  <c r="J36" i="23"/>
  <c r="F25" i="20"/>
  <c r="F26" i="20" s="1"/>
  <c r="G57" i="23"/>
  <c r="G58" i="23"/>
  <c r="H30" i="23"/>
  <c r="H29" i="23"/>
  <c r="I46" i="21"/>
  <c r="I45" i="21"/>
  <c r="I47" i="21"/>
  <c r="I48" i="21"/>
  <c r="J72" i="2"/>
  <c r="J80" i="2"/>
  <c r="J92" i="2" s="1"/>
  <c r="K40" i="2"/>
  <c r="K60" i="2" s="1"/>
  <c r="J52" i="2"/>
  <c r="H10" i="21"/>
  <c r="H16" i="21" s="1"/>
  <c r="G68" i="26"/>
  <c r="I28" i="23"/>
  <c r="I56" i="23" s="1"/>
  <c r="G53" i="24"/>
  <c r="H22" i="24"/>
  <c r="J49" i="23"/>
  <c r="J51" i="23"/>
  <c r="J20" i="23"/>
  <c r="J25" i="23"/>
  <c r="J22" i="23"/>
  <c r="J9" i="23"/>
  <c r="K7" i="23"/>
  <c r="J10" i="23"/>
  <c r="H16" i="22"/>
  <c r="H17" i="22"/>
  <c r="F16" i="22"/>
  <c r="F17" i="22"/>
  <c r="I17" i="22"/>
  <c r="I16" i="22"/>
  <c r="J16" i="22"/>
  <c r="J17" i="22"/>
  <c r="G16" i="22"/>
  <c r="G17" i="22"/>
  <c r="G10" i="21"/>
  <c r="F10" i="21"/>
  <c r="I10" i="21"/>
  <c r="I15" i="21" s="1"/>
  <c r="H49" i="21"/>
  <c r="H15" i="22"/>
  <c r="I15" i="22"/>
  <c r="K7" i="22"/>
  <c r="K10" i="22" s="1"/>
  <c r="J9" i="22"/>
  <c r="F15" i="22"/>
  <c r="G15" i="22"/>
  <c r="J7" i="21"/>
  <c r="J57" i="21" s="1"/>
  <c r="I35" i="21"/>
  <c r="I27" i="21" s="1"/>
  <c r="I9" i="21"/>
  <c r="A3" i="2"/>
  <c r="A3" i="41" s="1"/>
  <c r="K39" i="23" l="1"/>
  <c r="K36" i="23"/>
  <c r="K34" i="23"/>
  <c r="J42" i="23"/>
  <c r="J61" i="23" s="1"/>
  <c r="I44" i="23"/>
  <c r="I63" i="23" s="1"/>
  <c r="I43" i="23"/>
  <c r="I62" i="23" s="1"/>
  <c r="H58" i="23"/>
  <c r="H57" i="23"/>
  <c r="I30" i="23"/>
  <c r="I29" i="23"/>
  <c r="H17" i="21"/>
  <c r="H62" i="21" s="1"/>
  <c r="J46" i="21"/>
  <c r="J47" i="21"/>
  <c r="J48" i="21"/>
  <c r="J45" i="21"/>
  <c r="K72" i="2"/>
  <c r="K80" i="2"/>
  <c r="K92" i="2" s="1"/>
  <c r="L40" i="2"/>
  <c r="L60" i="2" s="1"/>
  <c r="K52" i="2"/>
  <c r="A3" i="33"/>
  <c r="A3" i="35"/>
  <c r="A3" i="28"/>
  <c r="A3" i="29"/>
  <c r="J28" i="23"/>
  <c r="J56" i="23" s="1"/>
  <c r="I22" i="24"/>
  <c r="I25" i="24" s="1"/>
  <c r="D31" i="24" s="1"/>
  <c r="H68" i="26"/>
  <c r="H53" i="24"/>
  <c r="A3" i="24"/>
  <c r="A3" i="26"/>
  <c r="K49" i="23"/>
  <c r="K51" i="23"/>
  <c r="K20" i="23"/>
  <c r="K25" i="23"/>
  <c r="K22" i="23"/>
  <c r="L7" i="23"/>
  <c r="K9" i="23"/>
  <c r="K10" i="23"/>
  <c r="A3" i="22"/>
  <c r="A3" i="23"/>
  <c r="J10" i="21"/>
  <c r="J17" i="21" s="1"/>
  <c r="I16" i="21"/>
  <c r="I61" i="21" s="1"/>
  <c r="I17" i="21"/>
  <c r="I62" i="21" s="1"/>
  <c r="F16" i="21"/>
  <c r="F61" i="21" s="1"/>
  <c r="F17" i="21"/>
  <c r="F62" i="21" s="1"/>
  <c r="G15" i="21"/>
  <c r="G60" i="21" s="1"/>
  <c r="G16" i="21"/>
  <c r="G61" i="21" s="1"/>
  <c r="G17" i="21"/>
  <c r="G62" i="21" s="1"/>
  <c r="K17" i="22"/>
  <c r="K16" i="22"/>
  <c r="I60" i="21"/>
  <c r="I49" i="21"/>
  <c r="L7" i="22"/>
  <c r="L10" i="22" s="1"/>
  <c r="K9" i="22"/>
  <c r="J15" i="22"/>
  <c r="F15" i="21"/>
  <c r="I30" i="21"/>
  <c r="J35" i="21"/>
  <c r="J27" i="21" s="1"/>
  <c r="K7" i="21"/>
  <c r="K57" i="21" s="1"/>
  <c r="J9" i="21"/>
  <c r="H15" i="21"/>
  <c r="H60" i="21" s="1"/>
  <c r="H61" i="21"/>
  <c r="A3" i="21"/>
  <c r="E17" i="18"/>
  <c r="D17" i="18"/>
  <c r="J17" i="18" s="1"/>
  <c r="B17" i="18"/>
  <c r="L39" i="23" l="1"/>
  <c r="L36" i="23"/>
  <c r="L34" i="23"/>
  <c r="K42" i="23"/>
  <c r="K61" i="23" s="1"/>
  <c r="J43" i="23"/>
  <c r="J62" i="23" s="1"/>
  <c r="J44" i="23"/>
  <c r="J63" i="23" s="1"/>
  <c r="I58" i="23"/>
  <c r="I53" i="24"/>
  <c r="I57" i="23"/>
  <c r="J30" i="23"/>
  <c r="J29" i="23"/>
  <c r="K46" i="21"/>
  <c r="K45" i="21"/>
  <c r="K47" i="21"/>
  <c r="K48" i="21"/>
  <c r="J22" i="24"/>
  <c r="J40" i="24" s="1"/>
  <c r="I68" i="26"/>
  <c r="L72" i="2"/>
  <c r="L80" i="2"/>
  <c r="L92" i="2" s="1"/>
  <c r="M40" i="2"/>
  <c r="M60" i="2" s="1"/>
  <c r="L52" i="2"/>
  <c r="J53" i="24"/>
  <c r="K28" i="23"/>
  <c r="K56" i="23" s="1"/>
  <c r="I27" i="24"/>
  <c r="D33" i="24" s="1"/>
  <c r="D60" i="24" s="1"/>
  <c r="I26" i="24"/>
  <c r="D32" i="24" s="1"/>
  <c r="J16" i="21"/>
  <c r="J61" i="21" s="1"/>
  <c r="F32" i="21"/>
  <c r="F36" i="21" s="1"/>
  <c r="G40" i="24"/>
  <c r="I40" i="24"/>
  <c r="H40" i="24"/>
  <c r="F40" i="24"/>
  <c r="D58" i="24"/>
  <c r="L49" i="23"/>
  <c r="L51" i="23"/>
  <c r="L20" i="23"/>
  <c r="L25" i="23"/>
  <c r="L22" i="23"/>
  <c r="M7" i="23"/>
  <c r="L10" i="23"/>
  <c r="L9" i="23"/>
  <c r="K10" i="21"/>
  <c r="K16" i="21" s="1"/>
  <c r="G30" i="21"/>
  <c r="L16" i="22"/>
  <c r="L17" i="22"/>
  <c r="F30" i="21"/>
  <c r="F60" i="21"/>
  <c r="J49" i="21"/>
  <c r="K15" i="22"/>
  <c r="L9" i="22"/>
  <c r="M7" i="22"/>
  <c r="M10" i="22" s="1"/>
  <c r="I31" i="21"/>
  <c r="J32" i="21"/>
  <c r="J15" i="21"/>
  <c r="J60" i="21" s="1"/>
  <c r="H30" i="21"/>
  <c r="G31" i="21"/>
  <c r="I32" i="21"/>
  <c r="H31" i="21"/>
  <c r="F31" i="21"/>
  <c r="H32" i="21"/>
  <c r="G32" i="21"/>
  <c r="L7" i="21"/>
  <c r="L57" i="21" s="1"/>
  <c r="K9" i="21"/>
  <c r="K35" i="21"/>
  <c r="K27" i="21" s="1"/>
  <c r="E16" i="1"/>
  <c r="K44" i="23" l="1"/>
  <c r="K63" i="23" s="1"/>
  <c r="K43" i="23"/>
  <c r="K62" i="23" s="1"/>
  <c r="L42" i="23"/>
  <c r="L61" i="23" s="1"/>
  <c r="M39" i="23"/>
  <c r="M36" i="23"/>
  <c r="M34" i="23"/>
  <c r="J58" i="23"/>
  <c r="J57" i="23"/>
  <c r="K29" i="23"/>
  <c r="K30" i="23"/>
  <c r="J41" i="24"/>
  <c r="J47" i="24" s="1"/>
  <c r="L45" i="21"/>
  <c r="L47" i="21"/>
  <c r="L48" i="21"/>
  <c r="L46" i="21"/>
  <c r="J68" i="26"/>
  <c r="J31" i="21"/>
  <c r="M72" i="2"/>
  <c r="M80" i="2"/>
  <c r="M92" i="2" s="1"/>
  <c r="N40" i="2"/>
  <c r="N60" i="2" s="1"/>
  <c r="M52" i="2"/>
  <c r="H41" i="24"/>
  <c r="H47" i="24" s="1"/>
  <c r="D59" i="24"/>
  <c r="H68" i="24" s="1"/>
  <c r="H74" i="24" s="1"/>
  <c r="F41" i="24"/>
  <c r="F42" i="24" s="1"/>
  <c r="L28" i="23"/>
  <c r="L56" i="23" s="1"/>
  <c r="I41" i="24"/>
  <c r="I47" i="24" s="1"/>
  <c r="G41" i="24"/>
  <c r="G47" i="24" s="1"/>
  <c r="K22" i="24"/>
  <c r="K40" i="24" s="1"/>
  <c r="K46" i="24" s="1"/>
  <c r="K15" i="21"/>
  <c r="K60" i="21" s="1"/>
  <c r="J46" i="24"/>
  <c r="F46" i="24"/>
  <c r="J67" i="24"/>
  <c r="K17" i="21"/>
  <c r="K62" i="21" s="1"/>
  <c r="F67" i="24"/>
  <c r="G67" i="24"/>
  <c r="H46" i="24"/>
  <c r="H67" i="24"/>
  <c r="I46" i="24"/>
  <c r="I67" i="24"/>
  <c r="G46" i="24"/>
  <c r="M49" i="23"/>
  <c r="M51" i="23"/>
  <c r="M20" i="23"/>
  <c r="M25" i="23"/>
  <c r="M22" i="23"/>
  <c r="M10" i="23"/>
  <c r="M9" i="23"/>
  <c r="N7" i="23"/>
  <c r="L10" i="21"/>
  <c r="L17" i="21" s="1"/>
  <c r="M16" i="22"/>
  <c r="M17" i="22"/>
  <c r="I36" i="21"/>
  <c r="H36" i="21"/>
  <c r="J36" i="21"/>
  <c r="G36" i="21"/>
  <c r="F39" i="21"/>
  <c r="F71" i="21" s="1"/>
  <c r="F48" i="2" s="1"/>
  <c r="F40" i="21"/>
  <c r="F72" i="21" s="1"/>
  <c r="F68" i="2" s="1"/>
  <c r="F41" i="21"/>
  <c r="F73" i="21" s="1"/>
  <c r="F88" i="2" s="1"/>
  <c r="J62" i="21"/>
  <c r="K49" i="21"/>
  <c r="M9" i="22"/>
  <c r="N7" i="22"/>
  <c r="N10" i="22" s="1"/>
  <c r="L15" i="22"/>
  <c r="J30" i="21"/>
  <c r="M7" i="21"/>
  <c r="M57" i="21" s="1"/>
  <c r="K61" i="21"/>
  <c r="L35" i="21"/>
  <c r="L27" i="21" s="1"/>
  <c r="L9" i="21"/>
  <c r="E17" i="1"/>
  <c r="L44" i="23" l="1"/>
  <c r="L63" i="23" s="1"/>
  <c r="M42" i="23"/>
  <c r="M61" i="23" s="1"/>
  <c r="L43" i="23"/>
  <c r="L62" i="23" s="1"/>
  <c r="N39" i="23"/>
  <c r="N36" i="23"/>
  <c r="N34" i="23"/>
  <c r="K57" i="23"/>
  <c r="K58" i="23"/>
  <c r="L30" i="23"/>
  <c r="L29" i="23"/>
  <c r="K53" i="24"/>
  <c r="K67" i="24" s="1"/>
  <c r="J42" i="24"/>
  <c r="J48" i="24"/>
  <c r="I42" i="24"/>
  <c r="M47" i="21"/>
  <c r="M48" i="21"/>
  <c r="M45" i="21"/>
  <c r="M46" i="21"/>
  <c r="G68" i="24"/>
  <c r="G74" i="24" s="1"/>
  <c r="F68" i="24"/>
  <c r="F69" i="24" s="1"/>
  <c r="L68" i="26"/>
  <c r="I68" i="24"/>
  <c r="I74" i="24" s="1"/>
  <c r="J68" i="24"/>
  <c r="J74" i="24" s="1"/>
  <c r="L22" i="24"/>
  <c r="L41" i="24" s="1"/>
  <c r="H48" i="24"/>
  <c r="H42" i="24"/>
  <c r="F47" i="24"/>
  <c r="F48" i="24" s="1"/>
  <c r="N72" i="2"/>
  <c r="N80" i="2"/>
  <c r="N92" i="2" s="1"/>
  <c r="O40" i="2"/>
  <c r="O60" i="2" s="1"/>
  <c r="N52" i="2"/>
  <c r="G42" i="24"/>
  <c r="G48" i="24"/>
  <c r="M28" i="23"/>
  <c r="M56" i="23" s="1"/>
  <c r="I48" i="24"/>
  <c r="K68" i="26"/>
  <c r="K41" i="24"/>
  <c r="K47" i="24" s="1"/>
  <c r="K48" i="24" s="1"/>
  <c r="K30" i="21"/>
  <c r="H73" i="24"/>
  <c r="H75" i="24" s="1"/>
  <c r="H69" i="24"/>
  <c r="I73" i="24"/>
  <c r="G73" i="24"/>
  <c r="F73" i="24"/>
  <c r="J73" i="24"/>
  <c r="N49" i="23"/>
  <c r="N51" i="23"/>
  <c r="N20" i="23"/>
  <c r="N25" i="23"/>
  <c r="N22" i="23"/>
  <c r="O7" i="23"/>
  <c r="N10" i="23"/>
  <c r="N9" i="23"/>
  <c r="M10" i="21"/>
  <c r="M16" i="21" s="1"/>
  <c r="L16" i="21"/>
  <c r="L61" i="21" s="1"/>
  <c r="N16" i="22"/>
  <c r="N17" i="22"/>
  <c r="H40" i="21"/>
  <c r="H72" i="21" s="1"/>
  <c r="H68" i="2" s="1"/>
  <c r="H41" i="21"/>
  <c r="H73" i="21" s="1"/>
  <c r="H88" i="2" s="1"/>
  <c r="H39" i="21"/>
  <c r="H71" i="21" s="1"/>
  <c r="H48" i="2" s="1"/>
  <c r="J39" i="21"/>
  <c r="J71" i="21" s="1"/>
  <c r="J48" i="2" s="1"/>
  <c r="J40" i="21"/>
  <c r="J72" i="21" s="1"/>
  <c r="J68" i="2" s="1"/>
  <c r="J41" i="21"/>
  <c r="J73" i="21" s="1"/>
  <c r="J88" i="2" s="1"/>
  <c r="I41" i="21"/>
  <c r="I73" i="21" s="1"/>
  <c r="I88" i="2" s="1"/>
  <c r="I39" i="21"/>
  <c r="I71" i="21" s="1"/>
  <c r="I48" i="2" s="1"/>
  <c r="I40" i="21"/>
  <c r="I72" i="21" s="1"/>
  <c r="I68" i="2" s="1"/>
  <c r="G39" i="21"/>
  <c r="G71" i="21" s="1"/>
  <c r="G48" i="2" s="1"/>
  <c r="G40" i="21"/>
  <c r="G72" i="21" s="1"/>
  <c r="G68" i="2" s="1"/>
  <c r="G41" i="21"/>
  <c r="G73" i="21" s="1"/>
  <c r="G88" i="2" s="1"/>
  <c r="L62" i="21"/>
  <c r="L49" i="21"/>
  <c r="O7" i="22"/>
  <c r="O10" i="22" s="1"/>
  <c r="N9" i="22"/>
  <c r="M15" i="22"/>
  <c r="K32" i="21"/>
  <c r="K31" i="21"/>
  <c r="L32" i="21"/>
  <c r="N7" i="21"/>
  <c r="N57" i="21" s="1"/>
  <c r="M9" i="21"/>
  <c r="M35" i="21"/>
  <c r="M27" i="21" s="1"/>
  <c r="L15" i="21"/>
  <c r="L60" i="21" s="1"/>
  <c r="E26" i="1"/>
  <c r="H11" i="26" s="1"/>
  <c r="AP11" i="41" l="1"/>
  <c r="AI11" i="41"/>
  <c r="AA11" i="41"/>
  <c r="S11" i="41"/>
  <c r="K11" i="41"/>
  <c r="AQ11" i="41"/>
  <c r="AO11" i="41"/>
  <c r="AG11" i="41"/>
  <c r="Y11" i="41"/>
  <c r="Q11" i="41"/>
  <c r="I11" i="41"/>
  <c r="AN11" i="41"/>
  <c r="AF11" i="41"/>
  <c r="X11" i="41"/>
  <c r="P11" i="41"/>
  <c r="H11" i="41"/>
  <c r="Z11" i="41"/>
  <c r="R11" i="41"/>
  <c r="O11" i="41"/>
  <c r="AL11" i="41"/>
  <c r="AD11" i="41"/>
  <c r="V11" i="41"/>
  <c r="N11" i="41"/>
  <c r="F11" i="41"/>
  <c r="AH11" i="41"/>
  <c r="J11" i="41"/>
  <c r="AM11" i="41"/>
  <c r="AE11" i="41"/>
  <c r="W11" i="41"/>
  <c r="AK11" i="41"/>
  <c r="AC11" i="41"/>
  <c r="U11" i="41"/>
  <c r="M11" i="41"/>
  <c r="G11" i="41"/>
  <c r="AR11" i="41"/>
  <c r="AJ11" i="41"/>
  <c r="AB11" i="41"/>
  <c r="T11" i="41"/>
  <c r="L11" i="41"/>
  <c r="O34" i="23"/>
  <c r="O39" i="23"/>
  <c r="O36" i="23"/>
  <c r="M43" i="23"/>
  <c r="M62" i="23" s="1"/>
  <c r="N42" i="23"/>
  <c r="N61" i="23" s="1"/>
  <c r="M44" i="23"/>
  <c r="M63" i="23" s="1"/>
  <c r="L57" i="23"/>
  <c r="L58" i="23"/>
  <c r="K68" i="24"/>
  <c r="K74" i="24" s="1"/>
  <c r="M30" i="23"/>
  <c r="M29" i="23"/>
  <c r="G75" i="24"/>
  <c r="L53" i="24"/>
  <c r="L67" i="24" s="1"/>
  <c r="I75" i="24"/>
  <c r="N48" i="21"/>
  <c r="N45" i="21"/>
  <c r="N46" i="21"/>
  <c r="N47" i="21"/>
  <c r="I69" i="24"/>
  <c r="F74" i="24"/>
  <c r="F75" i="24" s="1"/>
  <c r="G69" i="24"/>
  <c r="J75" i="24"/>
  <c r="L40" i="24"/>
  <c r="L42" i="24" s="1"/>
  <c r="AB11" i="35"/>
  <c r="AB76" i="35" s="1"/>
  <c r="AB43" i="2" s="1"/>
  <c r="J69" i="24"/>
  <c r="T11" i="35"/>
  <c r="T77" i="35" s="1"/>
  <c r="T63" i="2" s="1"/>
  <c r="L11" i="35"/>
  <c r="L77" i="35" s="1"/>
  <c r="L63" i="2" s="1"/>
  <c r="M22" i="24"/>
  <c r="M41" i="24" s="1"/>
  <c r="M47" i="24" s="1"/>
  <c r="N28" i="23"/>
  <c r="N56" i="23" s="1"/>
  <c r="AR11" i="35"/>
  <c r="AR77" i="35" s="1"/>
  <c r="AJ11" i="35"/>
  <c r="AJ77" i="35" s="1"/>
  <c r="AJ63" i="2" s="1"/>
  <c r="AQ11" i="35"/>
  <c r="AI11" i="35"/>
  <c r="AA11" i="35"/>
  <c r="S11" i="35"/>
  <c r="K11" i="35"/>
  <c r="AP11" i="35"/>
  <c r="AH11" i="35"/>
  <c r="Z11" i="35"/>
  <c r="R11" i="35"/>
  <c r="J11" i="35"/>
  <c r="AO11" i="35"/>
  <c r="AG11" i="35"/>
  <c r="Y11" i="35"/>
  <c r="Q11" i="35"/>
  <c r="I11" i="35"/>
  <c r="AN11" i="35"/>
  <c r="AF11" i="35"/>
  <c r="X11" i="35"/>
  <c r="P11" i="35"/>
  <c r="H11" i="35"/>
  <c r="AM11" i="35"/>
  <c r="AE11" i="35"/>
  <c r="W11" i="35"/>
  <c r="O11" i="35"/>
  <c r="F11" i="35"/>
  <c r="AL11" i="35"/>
  <c r="AD11" i="35"/>
  <c r="V11" i="35"/>
  <c r="N11" i="35"/>
  <c r="G11" i="35"/>
  <c r="AK11" i="35"/>
  <c r="AC11" i="35"/>
  <c r="U11" i="35"/>
  <c r="M11" i="35"/>
  <c r="O72" i="2"/>
  <c r="O80" i="2"/>
  <c r="O92" i="2" s="1"/>
  <c r="P40" i="2"/>
  <c r="P60" i="2" s="1"/>
  <c r="O52" i="2"/>
  <c r="AB11" i="29"/>
  <c r="AB100" i="29" s="1"/>
  <c r="AB84" i="2" s="1"/>
  <c r="AK11" i="33"/>
  <c r="AC11" i="33"/>
  <c r="U11" i="33"/>
  <c r="M11" i="33"/>
  <c r="AA11" i="29"/>
  <c r="AR11" i="33"/>
  <c r="AJ11" i="33"/>
  <c r="AB11" i="33"/>
  <c r="T11" i="33"/>
  <c r="L11" i="33"/>
  <c r="AR11" i="29"/>
  <c r="AR100" i="29" s="1"/>
  <c r="AR84" i="2" s="1"/>
  <c r="U11" i="29"/>
  <c r="U98" i="29" s="1"/>
  <c r="U44" i="2" s="1"/>
  <c r="AQ11" i="33"/>
  <c r="AI11" i="33"/>
  <c r="AA11" i="33"/>
  <c r="S11" i="33"/>
  <c r="K11" i="33"/>
  <c r="AQ11" i="29"/>
  <c r="AQ100" i="29" s="1"/>
  <c r="AQ84" i="2" s="1"/>
  <c r="T11" i="29"/>
  <c r="T100" i="29" s="1"/>
  <c r="T84" i="2" s="1"/>
  <c r="AP11" i="33"/>
  <c r="AH11" i="33"/>
  <c r="Z11" i="33"/>
  <c r="R11" i="33"/>
  <c r="J11" i="33"/>
  <c r="AK11" i="29"/>
  <c r="AK100" i="29" s="1"/>
  <c r="AK84" i="2" s="1"/>
  <c r="S11" i="29"/>
  <c r="S100" i="29" s="1"/>
  <c r="S84" i="2" s="1"/>
  <c r="AO11" i="33"/>
  <c r="AG11" i="33"/>
  <c r="Y11" i="33"/>
  <c r="Q11" i="33"/>
  <c r="I11" i="33"/>
  <c r="AJ11" i="29"/>
  <c r="AJ100" i="29" s="1"/>
  <c r="AJ84" i="2" s="1"/>
  <c r="M11" i="29"/>
  <c r="M100" i="29" s="1"/>
  <c r="M84" i="2" s="1"/>
  <c r="AN11" i="33"/>
  <c r="AF11" i="33"/>
  <c r="X11" i="33"/>
  <c r="P11" i="33"/>
  <c r="H11" i="33"/>
  <c r="K42" i="24"/>
  <c r="AI11" i="29"/>
  <c r="AI100" i="29" s="1"/>
  <c r="AI84" i="2" s="1"/>
  <c r="L11" i="29"/>
  <c r="L100" i="29" s="1"/>
  <c r="L84" i="2" s="1"/>
  <c r="AM11" i="33"/>
  <c r="AE11" i="33"/>
  <c r="W11" i="33"/>
  <c r="O11" i="33"/>
  <c r="G11" i="33"/>
  <c r="AC11" i="29"/>
  <c r="K11" i="29"/>
  <c r="K100" i="29" s="1"/>
  <c r="K84" i="2" s="1"/>
  <c r="AL11" i="33"/>
  <c r="AD11" i="33"/>
  <c r="V11" i="33"/>
  <c r="N11" i="33"/>
  <c r="F11" i="33"/>
  <c r="AP11" i="29"/>
  <c r="AP100" i="29" s="1"/>
  <c r="AP84" i="2" s="1"/>
  <c r="AH11" i="29"/>
  <c r="AH100" i="29" s="1"/>
  <c r="AH84" i="2" s="1"/>
  <c r="Z11" i="29"/>
  <c r="Z100" i="29" s="1"/>
  <c r="Z84" i="2" s="1"/>
  <c r="R11" i="29"/>
  <c r="R100" i="29" s="1"/>
  <c r="R84" i="2" s="1"/>
  <c r="J11" i="29"/>
  <c r="J100" i="29" s="1"/>
  <c r="J84" i="2" s="1"/>
  <c r="AO11" i="29"/>
  <c r="AO100" i="29" s="1"/>
  <c r="AO84" i="2" s="1"/>
  <c r="AG11" i="29"/>
  <c r="AG100" i="29" s="1"/>
  <c r="AG84" i="2" s="1"/>
  <c r="Y11" i="29"/>
  <c r="Y100" i="29" s="1"/>
  <c r="Y84" i="2" s="1"/>
  <c r="Q11" i="29"/>
  <c r="Q100" i="29" s="1"/>
  <c r="Q84" i="2" s="1"/>
  <c r="I11" i="29"/>
  <c r="I100" i="29" s="1"/>
  <c r="I84" i="2" s="1"/>
  <c r="AN11" i="29"/>
  <c r="AN100" i="29" s="1"/>
  <c r="AN84" i="2" s="1"/>
  <c r="AF11" i="29"/>
  <c r="AF100" i="29" s="1"/>
  <c r="AF84" i="2" s="1"/>
  <c r="X11" i="29"/>
  <c r="X100" i="29" s="1"/>
  <c r="X84" i="2" s="1"/>
  <c r="P11" i="29"/>
  <c r="P100" i="29" s="1"/>
  <c r="P84" i="2" s="1"/>
  <c r="H11" i="29"/>
  <c r="H100" i="29" s="1"/>
  <c r="H84" i="2" s="1"/>
  <c r="AM11" i="29"/>
  <c r="AM100" i="29" s="1"/>
  <c r="AM84" i="2" s="1"/>
  <c r="AE11" i="29"/>
  <c r="AE100" i="29" s="1"/>
  <c r="AE84" i="2" s="1"/>
  <c r="W11" i="29"/>
  <c r="W100" i="29" s="1"/>
  <c r="W84" i="2" s="1"/>
  <c r="O11" i="29"/>
  <c r="O100" i="29" s="1"/>
  <c r="O84" i="2" s="1"/>
  <c r="G11" i="29"/>
  <c r="G100" i="29" s="1"/>
  <c r="G84" i="2" s="1"/>
  <c r="AL11" i="29"/>
  <c r="AL100" i="29" s="1"/>
  <c r="AL84" i="2" s="1"/>
  <c r="AD11" i="29"/>
  <c r="AD100" i="29" s="1"/>
  <c r="AD84" i="2" s="1"/>
  <c r="V11" i="29"/>
  <c r="V100" i="29" s="1"/>
  <c r="V84" i="2" s="1"/>
  <c r="N11" i="29"/>
  <c r="N100" i="29" s="1"/>
  <c r="N84" i="2" s="1"/>
  <c r="F11" i="29"/>
  <c r="F100" i="29" s="1"/>
  <c r="F84" i="2" s="1"/>
  <c r="AN11" i="24"/>
  <c r="AA11" i="28"/>
  <c r="S11" i="28"/>
  <c r="Z11" i="28"/>
  <c r="R11" i="28"/>
  <c r="AF11" i="24"/>
  <c r="AQ11" i="28"/>
  <c r="K11" i="28"/>
  <c r="AP11" i="28"/>
  <c r="J11" i="28"/>
  <c r="AI11" i="28"/>
  <c r="AH11" i="28"/>
  <c r="H11" i="24"/>
  <c r="H80" i="24" s="1"/>
  <c r="H61" i="2" s="1"/>
  <c r="AO11" i="28"/>
  <c r="AG11" i="28"/>
  <c r="Y11" i="28"/>
  <c r="Q11" i="28"/>
  <c r="I11" i="28"/>
  <c r="AM11" i="26"/>
  <c r="AN11" i="28"/>
  <c r="AF11" i="28"/>
  <c r="X11" i="28"/>
  <c r="P11" i="28"/>
  <c r="H11" i="28"/>
  <c r="AM11" i="28"/>
  <c r="AE11" i="28"/>
  <c r="W11" i="28"/>
  <c r="O11" i="28"/>
  <c r="G11" i="28"/>
  <c r="F11" i="26"/>
  <c r="F13" i="26" s="1"/>
  <c r="AL11" i="28"/>
  <c r="AD11" i="28"/>
  <c r="V11" i="28"/>
  <c r="N11" i="28"/>
  <c r="F11" i="28"/>
  <c r="F13" i="28" s="1"/>
  <c r="O11" i="26"/>
  <c r="AK11" i="28"/>
  <c r="AC11" i="28"/>
  <c r="U11" i="28"/>
  <c r="M11" i="28"/>
  <c r="AR11" i="28"/>
  <c r="AJ11" i="28"/>
  <c r="AB11" i="28"/>
  <c r="T11" i="28"/>
  <c r="L11" i="28"/>
  <c r="AM11" i="24"/>
  <c r="G11" i="24"/>
  <c r="G43" i="24" s="1"/>
  <c r="N11" i="26"/>
  <c r="AE11" i="24"/>
  <c r="AL11" i="26"/>
  <c r="G11" i="26"/>
  <c r="K11" i="21"/>
  <c r="X11" i="24"/>
  <c r="AE11" i="26"/>
  <c r="K11" i="23"/>
  <c r="W11" i="24"/>
  <c r="AD11" i="26"/>
  <c r="N11" i="23"/>
  <c r="G11" i="21"/>
  <c r="P11" i="24"/>
  <c r="W11" i="26"/>
  <c r="M15" i="21"/>
  <c r="M60" i="21" s="1"/>
  <c r="L11" i="21"/>
  <c r="G11" i="23"/>
  <c r="O11" i="24"/>
  <c r="V11" i="26"/>
  <c r="J11" i="21"/>
  <c r="F11" i="21"/>
  <c r="F13" i="21" s="1"/>
  <c r="AL11" i="24"/>
  <c r="AD11" i="24"/>
  <c r="V11" i="24"/>
  <c r="N11" i="24"/>
  <c r="F11" i="24"/>
  <c r="F43" i="24" s="1"/>
  <c r="AK11" i="26"/>
  <c r="AC11" i="26"/>
  <c r="U11" i="26"/>
  <c r="M11" i="26"/>
  <c r="K73" i="24"/>
  <c r="J11" i="23"/>
  <c r="F11" i="23"/>
  <c r="AK11" i="24"/>
  <c r="AC11" i="24"/>
  <c r="U11" i="24"/>
  <c r="M11" i="24"/>
  <c r="AR11" i="26"/>
  <c r="AJ11" i="26"/>
  <c r="AB11" i="26"/>
  <c r="T11" i="26"/>
  <c r="L11" i="26"/>
  <c r="L47" i="24"/>
  <c r="M11" i="21"/>
  <c r="I11" i="21"/>
  <c r="AJ11" i="24"/>
  <c r="AB11" i="24"/>
  <c r="L11" i="24"/>
  <c r="AQ11" i="26"/>
  <c r="AI11" i="26"/>
  <c r="AA11" i="26"/>
  <c r="S11" i="26"/>
  <c r="K11" i="26"/>
  <c r="AR11" i="24"/>
  <c r="T11" i="24"/>
  <c r="H11" i="21"/>
  <c r="AQ11" i="24"/>
  <c r="AI11" i="24"/>
  <c r="AA11" i="24"/>
  <c r="S11" i="24"/>
  <c r="K11" i="24"/>
  <c r="AP11" i="26"/>
  <c r="AH11" i="26"/>
  <c r="V24" i="10" s="1"/>
  <c r="Z11" i="26"/>
  <c r="R11" i="26"/>
  <c r="J11" i="26"/>
  <c r="AP11" i="24"/>
  <c r="AH11" i="24"/>
  <c r="R11" i="24"/>
  <c r="J11" i="24"/>
  <c r="J43" i="24" s="1"/>
  <c r="AO11" i="26"/>
  <c r="AG11" i="26"/>
  <c r="Y11" i="26"/>
  <c r="Q11" i="26"/>
  <c r="I11" i="26"/>
  <c r="M11" i="23"/>
  <c r="I11" i="23"/>
  <c r="Z11" i="24"/>
  <c r="L11" i="23"/>
  <c r="H11" i="23"/>
  <c r="AO11" i="24"/>
  <c r="AG11" i="24"/>
  <c r="Y11" i="24"/>
  <c r="Q11" i="24"/>
  <c r="I11" i="24"/>
  <c r="I43" i="24" s="1"/>
  <c r="AN11" i="26"/>
  <c r="AF11" i="26"/>
  <c r="X11" i="26"/>
  <c r="P11" i="26"/>
  <c r="O49" i="23"/>
  <c r="O51" i="23"/>
  <c r="O20" i="23"/>
  <c r="O25" i="23"/>
  <c r="O22" i="23"/>
  <c r="O9" i="23"/>
  <c r="O11" i="23"/>
  <c r="P7" i="23"/>
  <c r="O10" i="23"/>
  <c r="N10" i="21"/>
  <c r="N17" i="21" s="1"/>
  <c r="N11" i="21"/>
  <c r="M17" i="21"/>
  <c r="M32" i="21" s="1"/>
  <c r="O16" i="22"/>
  <c r="O17" i="22"/>
  <c r="F22" i="22"/>
  <c r="F23" i="22" s="1"/>
  <c r="G22" i="22"/>
  <c r="G23" i="22" s="1"/>
  <c r="H22" i="22"/>
  <c r="H23" i="22" s="1"/>
  <c r="I22" i="22"/>
  <c r="I23" i="22" s="1"/>
  <c r="J22" i="22"/>
  <c r="J23" i="22" s="1"/>
  <c r="K22" i="22"/>
  <c r="K23" i="22" s="1"/>
  <c r="L22" i="22"/>
  <c r="L23" i="22" s="1"/>
  <c r="M22" i="22"/>
  <c r="M23" i="22" s="1"/>
  <c r="M27" i="22" s="1"/>
  <c r="M45" i="22" s="1"/>
  <c r="M11" i="22"/>
  <c r="L11" i="22"/>
  <c r="N11" i="22"/>
  <c r="I11" i="22"/>
  <c r="N22" i="22"/>
  <c r="N23" i="22" s="1"/>
  <c r="N27" i="22" s="1"/>
  <c r="N45" i="22" s="1"/>
  <c r="J11" i="22"/>
  <c r="K11" i="22"/>
  <c r="O22" i="22"/>
  <c r="O23" i="22" s="1"/>
  <c r="L36" i="21"/>
  <c r="K36" i="21"/>
  <c r="M49" i="21"/>
  <c r="H11" i="22"/>
  <c r="G11" i="22"/>
  <c r="F11" i="22"/>
  <c r="F13" i="22" s="1"/>
  <c r="O11" i="22"/>
  <c r="P7" i="22"/>
  <c r="O9" i="22"/>
  <c r="N15" i="22"/>
  <c r="N9" i="21"/>
  <c r="O7" i="21"/>
  <c r="O57" i="21" s="1"/>
  <c r="M31" i="21"/>
  <c r="L31" i="21"/>
  <c r="L30" i="21"/>
  <c r="N35" i="21"/>
  <c r="N27" i="21" s="1"/>
  <c r="I70" i="24" l="1"/>
  <c r="G70" i="24"/>
  <c r="J70" i="24"/>
  <c r="F70" i="24"/>
  <c r="H70" i="24"/>
  <c r="K43" i="24"/>
  <c r="H43" i="24"/>
  <c r="L43" i="24"/>
  <c r="F14" i="23"/>
  <c r="F12" i="23"/>
  <c r="F75" i="23" s="1"/>
  <c r="F13" i="41"/>
  <c r="G13" i="41" s="1"/>
  <c r="H13" i="41" s="1"/>
  <c r="I13" i="41" s="1"/>
  <c r="J13" i="41" s="1"/>
  <c r="K13" i="41" s="1"/>
  <c r="L13" i="41" s="1"/>
  <c r="M13" i="41" s="1"/>
  <c r="N13" i="41" s="1"/>
  <c r="O13" i="41" s="1"/>
  <c r="P13" i="41" s="1"/>
  <c r="Q13" i="41" s="1"/>
  <c r="R13" i="41" s="1"/>
  <c r="S13" i="41" s="1"/>
  <c r="T13" i="41" s="1"/>
  <c r="U13" i="41" s="1"/>
  <c r="V13" i="41" s="1"/>
  <c r="W13" i="41" s="1"/>
  <c r="X13" i="41" s="1"/>
  <c r="Y13" i="41" s="1"/>
  <c r="Z13" i="41" s="1"/>
  <c r="AA13" i="41" s="1"/>
  <c r="AB13" i="41" s="1"/>
  <c r="AC13" i="41" s="1"/>
  <c r="AD13" i="41" s="1"/>
  <c r="AE13" i="41" s="1"/>
  <c r="AF13" i="41" s="1"/>
  <c r="AG13" i="41" s="1"/>
  <c r="AH13" i="41" s="1"/>
  <c r="AI13" i="41" s="1"/>
  <c r="AJ13" i="41" s="1"/>
  <c r="AK13" i="41" s="1"/>
  <c r="AL13" i="41" s="1"/>
  <c r="AM13" i="41" s="1"/>
  <c r="AN13" i="41" s="1"/>
  <c r="AO13" i="41" s="1"/>
  <c r="AP13" i="41" s="1"/>
  <c r="AQ13" i="41" s="1"/>
  <c r="AR13" i="41" s="1"/>
  <c r="O42" i="23"/>
  <c r="O61" i="23" s="1"/>
  <c r="N44" i="23"/>
  <c r="N63" i="23" s="1"/>
  <c r="N43" i="23"/>
  <c r="N62" i="23" s="1"/>
  <c r="P34" i="23"/>
  <c r="P39" i="23"/>
  <c r="P36" i="23"/>
  <c r="K69" i="24"/>
  <c r="K70" i="24" s="1"/>
  <c r="K75" i="24"/>
  <c r="K80" i="24" s="1"/>
  <c r="K61" i="2" s="1"/>
  <c r="M57" i="23"/>
  <c r="M58" i="23"/>
  <c r="N30" i="23"/>
  <c r="N29" i="23"/>
  <c r="G81" i="24"/>
  <c r="G81" i="2" s="1"/>
  <c r="L46" i="24"/>
  <c r="L48" i="24" s="1"/>
  <c r="AB77" i="35"/>
  <c r="AB63" i="2" s="1"/>
  <c r="AB78" i="35"/>
  <c r="AB83" i="2" s="1"/>
  <c r="L68" i="24"/>
  <c r="L69" i="24" s="1"/>
  <c r="L70" i="24" s="1"/>
  <c r="T76" i="35"/>
  <c r="T43" i="2" s="1"/>
  <c r="O48" i="21"/>
  <c r="O46" i="21"/>
  <c r="O47" i="21"/>
  <c r="O45" i="21"/>
  <c r="M40" i="24"/>
  <c r="M42" i="24" s="1"/>
  <c r="M43" i="24" s="1"/>
  <c r="T78" i="35"/>
  <c r="T83" i="2" s="1"/>
  <c r="N22" i="24"/>
  <c r="N41" i="24" s="1"/>
  <c r="N47" i="24" s="1"/>
  <c r="O28" i="23"/>
  <c r="O56" i="23" s="1"/>
  <c r="L78" i="35"/>
  <c r="L83" i="2" s="1"/>
  <c r="AB99" i="29"/>
  <c r="AB64" i="2" s="1"/>
  <c r="AR78" i="35"/>
  <c r="AR83" i="2" s="1"/>
  <c r="L76" i="35"/>
  <c r="L43" i="2" s="1"/>
  <c r="M98" i="29"/>
  <c r="M44" i="2" s="1"/>
  <c r="AR76" i="35"/>
  <c r="AR43" i="2" s="1"/>
  <c r="AK98" i="29"/>
  <c r="AK44" i="2" s="1"/>
  <c r="S98" i="29"/>
  <c r="S44" i="2" s="1"/>
  <c r="AJ78" i="35"/>
  <c r="AJ83" i="2" s="1"/>
  <c r="S99" i="29"/>
  <c r="S64" i="2" s="1"/>
  <c r="AJ76" i="35"/>
  <c r="AJ43" i="2" s="1"/>
  <c r="K98" i="29"/>
  <c r="K44" i="2" s="1"/>
  <c r="AQ99" i="29"/>
  <c r="AQ64" i="2" s="1"/>
  <c r="AQ98" i="29"/>
  <c r="AQ44" i="2" s="1"/>
  <c r="AJ99" i="29"/>
  <c r="AJ64" i="2" s="1"/>
  <c r="AR99" i="29"/>
  <c r="AR64" i="2" s="1"/>
  <c r="AJ98" i="29"/>
  <c r="AJ44" i="2" s="1"/>
  <c r="AR98" i="29"/>
  <c r="AR44" i="2" s="1"/>
  <c r="T98" i="29"/>
  <c r="T44" i="2" s="1"/>
  <c r="AB98" i="29"/>
  <c r="AB44" i="2" s="1"/>
  <c r="T99" i="29"/>
  <c r="T64" i="2" s="1"/>
  <c r="K46" i="33"/>
  <c r="K67" i="2" s="1"/>
  <c r="K47" i="33"/>
  <c r="K87" i="2" s="1"/>
  <c r="K45" i="33"/>
  <c r="K47" i="2" s="1"/>
  <c r="AK47" i="33"/>
  <c r="AK87" i="2" s="1"/>
  <c r="AK45" i="33"/>
  <c r="AK47" i="2" s="1"/>
  <c r="AK46" i="33"/>
  <c r="AK67" i="2" s="1"/>
  <c r="Y77" i="35"/>
  <c r="Y63" i="2" s="1"/>
  <c r="Y78" i="35"/>
  <c r="Y83" i="2" s="1"/>
  <c r="Y76" i="35"/>
  <c r="Y43" i="2" s="1"/>
  <c r="J46" i="33"/>
  <c r="J67" i="2" s="1"/>
  <c r="J45" i="33"/>
  <c r="J47" i="2" s="1"/>
  <c r="J47" i="33"/>
  <c r="J87" i="2" s="1"/>
  <c r="S47" i="33"/>
  <c r="S87" i="2" s="1"/>
  <c r="S45" i="33"/>
  <c r="S47" i="2" s="1"/>
  <c r="S46" i="33"/>
  <c r="S67" i="2" s="1"/>
  <c r="AB45" i="33"/>
  <c r="AB47" i="2" s="1"/>
  <c r="AB46" i="33"/>
  <c r="AB67" i="2" s="1"/>
  <c r="AB47" i="33"/>
  <c r="AB87" i="2" s="1"/>
  <c r="AK76" i="35"/>
  <c r="AK43" i="2" s="1"/>
  <c r="AK78" i="35"/>
  <c r="AK83" i="2" s="1"/>
  <c r="AK77" i="35"/>
  <c r="AK63" i="2" s="1"/>
  <c r="AG78" i="35"/>
  <c r="AG83" i="2" s="1"/>
  <c r="AG76" i="35"/>
  <c r="AG43" i="2" s="1"/>
  <c r="AG77" i="35"/>
  <c r="AG63" i="2" s="1"/>
  <c r="Z78" i="35"/>
  <c r="Z83" i="2" s="1"/>
  <c r="Z76" i="35"/>
  <c r="Z43" i="2" s="1"/>
  <c r="Z77" i="35"/>
  <c r="Z63" i="2" s="1"/>
  <c r="S78" i="35"/>
  <c r="S83" i="2" s="1"/>
  <c r="S76" i="35"/>
  <c r="S43" i="2" s="1"/>
  <c r="S77" i="35"/>
  <c r="S63" i="2" s="1"/>
  <c r="AL45" i="33"/>
  <c r="AL47" i="2" s="1"/>
  <c r="AL46" i="33"/>
  <c r="AL67" i="2" s="1"/>
  <c r="AL47" i="33"/>
  <c r="AL87" i="2" s="1"/>
  <c r="AC98" i="29"/>
  <c r="AC44" i="2" s="1"/>
  <c r="AC100" i="29"/>
  <c r="AC84" i="2" s="1"/>
  <c r="I46" i="33"/>
  <c r="I67" i="2" s="1"/>
  <c r="I47" i="33"/>
  <c r="I87" i="2" s="1"/>
  <c r="I45" i="33"/>
  <c r="I47" i="2" s="1"/>
  <c r="R47" i="33"/>
  <c r="R87" i="2" s="1"/>
  <c r="R46" i="33"/>
  <c r="R67" i="2" s="1"/>
  <c r="R45" i="33"/>
  <c r="R47" i="2" s="1"/>
  <c r="AA45" i="33"/>
  <c r="AA47" i="2" s="1"/>
  <c r="AA47" i="33"/>
  <c r="AA87" i="2" s="1"/>
  <c r="AA46" i="33"/>
  <c r="AA67" i="2" s="1"/>
  <c r="AJ45" i="33"/>
  <c r="AJ47" i="2" s="1"/>
  <c r="AJ46" i="33"/>
  <c r="AJ67" i="2" s="1"/>
  <c r="AJ47" i="33"/>
  <c r="AJ87" i="2" s="1"/>
  <c r="G77" i="35"/>
  <c r="G63" i="2" s="1"/>
  <c r="G78" i="35"/>
  <c r="G83" i="2" s="1"/>
  <c r="G76" i="35"/>
  <c r="G43" i="2" s="1"/>
  <c r="AO77" i="35"/>
  <c r="AO63" i="2" s="1"/>
  <c r="AO78" i="35"/>
  <c r="AO83" i="2" s="1"/>
  <c r="AO76" i="35"/>
  <c r="AO43" i="2" s="1"/>
  <c r="AH78" i="35"/>
  <c r="AH83" i="2" s="1"/>
  <c r="AH77" i="35"/>
  <c r="AH63" i="2" s="1"/>
  <c r="AH76" i="35"/>
  <c r="AH43" i="2" s="1"/>
  <c r="AA78" i="35"/>
  <c r="AA83" i="2" s="1"/>
  <c r="AA76" i="35"/>
  <c r="AA43" i="2" s="1"/>
  <c r="AA77" i="35"/>
  <c r="AA63" i="2" s="1"/>
  <c r="R78" i="35"/>
  <c r="R83" i="2" s="1"/>
  <c r="R77" i="35"/>
  <c r="R63" i="2" s="1"/>
  <c r="R76" i="35"/>
  <c r="R43" i="2" s="1"/>
  <c r="L99" i="29"/>
  <c r="L64" i="2" s="1"/>
  <c r="G45" i="33"/>
  <c r="G47" i="2" s="1"/>
  <c r="G46" i="33"/>
  <c r="G67" i="2" s="1"/>
  <c r="G47" i="33"/>
  <c r="G87" i="2" s="1"/>
  <c r="H45" i="33"/>
  <c r="H47" i="2" s="1"/>
  <c r="H46" i="33"/>
  <c r="H67" i="2" s="1"/>
  <c r="H47" i="33"/>
  <c r="H87" i="2" s="1"/>
  <c r="Q46" i="33"/>
  <c r="Q67" i="2" s="1"/>
  <c r="Q47" i="33"/>
  <c r="Q87" i="2" s="1"/>
  <c r="Q45" i="33"/>
  <c r="Q47" i="2" s="1"/>
  <c r="Z46" i="33"/>
  <c r="Z67" i="2" s="1"/>
  <c r="Z47" i="33"/>
  <c r="Z87" i="2" s="1"/>
  <c r="Z45" i="33"/>
  <c r="Z47" i="2" s="1"/>
  <c r="AI47" i="33"/>
  <c r="AI87" i="2" s="1"/>
  <c r="AI46" i="33"/>
  <c r="AI67" i="2" s="1"/>
  <c r="AI45" i="33"/>
  <c r="AI47" i="2" s="1"/>
  <c r="AR45" i="33"/>
  <c r="AR47" i="2" s="1"/>
  <c r="AR47" i="33"/>
  <c r="AR87" i="2" s="1"/>
  <c r="AR46" i="33"/>
  <c r="AR67" i="2" s="1"/>
  <c r="N76" i="35"/>
  <c r="N43" i="2" s="1"/>
  <c r="N78" i="35"/>
  <c r="N83" i="2" s="1"/>
  <c r="N77" i="35"/>
  <c r="N63" i="2" s="1"/>
  <c r="F13" i="35"/>
  <c r="G13" i="35" s="1"/>
  <c r="H13" i="35" s="1"/>
  <c r="I13" i="35" s="1"/>
  <c r="J13" i="35" s="1"/>
  <c r="K13" i="35" s="1"/>
  <c r="L13" i="35" s="1"/>
  <c r="M13" i="35" s="1"/>
  <c r="N13" i="35" s="1"/>
  <c r="O13" i="35" s="1"/>
  <c r="P13" i="35" s="1"/>
  <c r="Q13" i="35" s="1"/>
  <c r="R13" i="35" s="1"/>
  <c r="S13" i="35" s="1"/>
  <c r="T13" i="35" s="1"/>
  <c r="U13" i="35" s="1"/>
  <c r="V13" i="35" s="1"/>
  <c r="W13" i="35" s="1"/>
  <c r="X13" i="35" s="1"/>
  <c r="Y13" i="35" s="1"/>
  <c r="Z13" i="35" s="1"/>
  <c r="AA13" i="35" s="1"/>
  <c r="AB13" i="35" s="1"/>
  <c r="AC13" i="35" s="1"/>
  <c r="AD13" i="35" s="1"/>
  <c r="AE13" i="35" s="1"/>
  <c r="AF13" i="35" s="1"/>
  <c r="AG13" i="35" s="1"/>
  <c r="AH13" i="35" s="1"/>
  <c r="AI13" i="35" s="1"/>
  <c r="AJ13" i="35" s="1"/>
  <c r="AK13" i="35" s="1"/>
  <c r="AL13" i="35" s="1"/>
  <c r="AM13" i="35" s="1"/>
  <c r="AN13" i="35" s="1"/>
  <c r="AO13" i="35" s="1"/>
  <c r="AP13" i="35" s="1"/>
  <c r="AQ13" i="35" s="1"/>
  <c r="AR13" i="35" s="1"/>
  <c r="F78" i="35"/>
  <c r="F83" i="2" s="1"/>
  <c r="F76" i="35"/>
  <c r="F43" i="2" s="1"/>
  <c r="F77" i="35"/>
  <c r="F63" i="2" s="1"/>
  <c r="AP78" i="35"/>
  <c r="AP83" i="2" s="1"/>
  <c r="AP77" i="35"/>
  <c r="AP63" i="2" s="1"/>
  <c r="AP76" i="35"/>
  <c r="AP43" i="2" s="1"/>
  <c r="AI78" i="35"/>
  <c r="AI83" i="2" s="1"/>
  <c r="AI76" i="35"/>
  <c r="AI43" i="2" s="1"/>
  <c r="AI77" i="35"/>
  <c r="AI63" i="2" s="1"/>
  <c r="T45" i="33"/>
  <c r="T47" i="2" s="1"/>
  <c r="T46" i="33"/>
  <c r="T67" i="2" s="1"/>
  <c r="T47" i="33"/>
  <c r="T87" i="2" s="1"/>
  <c r="K78" i="35"/>
  <c r="K83" i="2" s="1"/>
  <c r="K77" i="35"/>
  <c r="K63" i="2" s="1"/>
  <c r="K76" i="35"/>
  <c r="K43" i="2" s="1"/>
  <c r="L98" i="29"/>
  <c r="L44" i="2" s="1"/>
  <c r="F13" i="33"/>
  <c r="G13" i="33" s="1"/>
  <c r="H13" i="33" s="1"/>
  <c r="I13" i="33" s="1"/>
  <c r="J13" i="33" s="1"/>
  <c r="K13" i="33" s="1"/>
  <c r="L13" i="33" s="1"/>
  <c r="M13" i="33" s="1"/>
  <c r="N13" i="33" s="1"/>
  <c r="O13" i="33" s="1"/>
  <c r="P13" i="33" s="1"/>
  <c r="Q13" i="33" s="1"/>
  <c r="R13" i="33" s="1"/>
  <c r="S13" i="33" s="1"/>
  <c r="T13" i="33" s="1"/>
  <c r="U13" i="33" s="1"/>
  <c r="V13" i="33" s="1"/>
  <c r="W13" i="33" s="1"/>
  <c r="X13" i="33" s="1"/>
  <c r="Y13" i="33" s="1"/>
  <c r="Z13" i="33" s="1"/>
  <c r="AA13" i="33" s="1"/>
  <c r="AB13" i="33" s="1"/>
  <c r="AC13" i="33" s="1"/>
  <c r="AD13" i="33" s="1"/>
  <c r="AE13" i="33" s="1"/>
  <c r="AF13" i="33" s="1"/>
  <c r="AG13" i="33" s="1"/>
  <c r="AH13" i="33" s="1"/>
  <c r="AI13" i="33" s="1"/>
  <c r="AJ13" i="33" s="1"/>
  <c r="AK13" i="33" s="1"/>
  <c r="AL13" i="33" s="1"/>
  <c r="AM13" i="33" s="1"/>
  <c r="AN13" i="33" s="1"/>
  <c r="AO13" i="33" s="1"/>
  <c r="AP13" i="33" s="1"/>
  <c r="AQ13" i="33" s="1"/>
  <c r="AR13" i="33" s="1"/>
  <c r="F45" i="33"/>
  <c r="F47" i="2" s="1"/>
  <c r="F46" i="33"/>
  <c r="F67" i="2" s="1"/>
  <c r="F47" i="33"/>
  <c r="F87" i="2" s="1"/>
  <c r="O45" i="33"/>
  <c r="O47" i="2" s="1"/>
  <c r="O46" i="33"/>
  <c r="O67" i="2" s="1"/>
  <c r="O47" i="33"/>
  <c r="O87" i="2" s="1"/>
  <c r="P45" i="33"/>
  <c r="P47" i="2" s="1"/>
  <c r="P46" i="33"/>
  <c r="P67" i="2" s="1"/>
  <c r="P47" i="33"/>
  <c r="P87" i="2" s="1"/>
  <c r="Y47" i="33"/>
  <c r="Y87" i="2" s="1"/>
  <c r="Y46" i="33"/>
  <c r="Y67" i="2" s="1"/>
  <c r="Y45" i="33"/>
  <c r="Y47" i="2" s="1"/>
  <c r="AH46" i="33"/>
  <c r="AH67" i="2" s="1"/>
  <c r="AH45" i="33"/>
  <c r="AH47" i="2" s="1"/>
  <c r="AH47" i="33"/>
  <c r="AH87" i="2" s="1"/>
  <c r="AQ45" i="33"/>
  <c r="AQ47" i="2" s="1"/>
  <c r="AQ46" i="33"/>
  <c r="AQ67" i="2" s="1"/>
  <c r="AQ47" i="33"/>
  <c r="AQ87" i="2" s="1"/>
  <c r="AA98" i="29"/>
  <c r="AA44" i="2" s="1"/>
  <c r="AA100" i="29"/>
  <c r="AA84" i="2" s="1"/>
  <c r="V78" i="35"/>
  <c r="V83" i="2" s="1"/>
  <c r="V76" i="35"/>
  <c r="V43" i="2" s="1"/>
  <c r="V77" i="35"/>
  <c r="V63" i="2" s="1"/>
  <c r="O77" i="35"/>
  <c r="O63" i="2" s="1"/>
  <c r="O76" i="35"/>
  <c r="O43" i="2" s="1"/>
  <c r="O78" i="35"/>
  <c r="O83" i="2" s="1"/>
  <c r="H77" i="35"/>
  <c r="H63" i="2" s="1"/>
  <c r="H78" i="35"/>
  <c r="H83" i="2" s="1"/>
  <c r="H76" i="35"/>
  <c r="H43" i="2" s="1"/>
  <c r="AQ76" i="35"/>
  <c r="AQ43" i="2" s="1"/>
  <c r="AQ78" i="35"/>
  <c r="AQ83" i="2" s="1"/>
  <c r="AQ77" i="35"/>
  <c r="AQ63" i="2" s="1"/>
  <c r="AC77" i="35"/>
  <c r="AC63" i="2" s="1"/>
  <c r="AC76" i="35"/>
  <c r="AC43" i="2" s="1"/>
  <c r="AC78" i="35"/>
  <c r="AC83" i="2" s="1"/>
  <c r="AI99" i="29"/>
  <c r="AI64" i="2" s="1"/>
  <c r="N45" i="33"/>
  <c r="N47" i="2" s="1"/>
  <c r="N47" i="33"/>
  <c r="N87" i="2" s="1"/>
  <c r="N46" i="33"/>
  <c r="N67" i="2" s="1"/>
  <c r="W46" i="33"/>
  <c r="W67" i="2" s="1"/>
  <c r="W47" i="33"/>
  <c r="W87" i="2" s="1"/>
  <c r="W45" i="33"/>
  <c r="W47" i="2" s="1"/>
  <c r="X45" i="33"/>
  <c r="X47" i="2" s="1"/>
  <c r="X47" i="33"/>
  <c r="X87" i="2" s="1"/>
  <c r="X46" i="33"/>
  <c r="X67" i="2" s="1"/>
  <c r="AG46" i="33"/>
  <c r="AG67" i="2" s="1"/>
  <c r="AG47" i="33"/>
  <c r="AG87" i="2" s="1"/>
  <c r="AG45" i="33"/>
  <c r="AG47" i="2" s="1"/>
  <c r="AP47" i="33"/>
  <c r="AP87" i="2" s="1"/>
  <c r="AP46" i="33"/>
  <c r="AP67" i="2" s="1"/>
  <c r="AP45" i="33"/>
  <c r="AP47" i="2" s="1"/>
  <c r="U99" i="29"/>
  <c r="U64" i="2" s="1"/>
  <c r="U100" i="29"/>
  <c r="U84" i="2" s="1"/>
  <c r="M45" i="33"/>
  <c r="M47" i="2" s="1"/>
  <c r="M46" i="33"/>
  <c r="M67" i="2" s="1"/>
  <c r="M47" i="33"/>
  <c r="M87" i="2" s="1"/>
  <c r="AD78" i="35"/>
  <c r="AD83" i="2" s="1"/>
  <c r="AD76" i="35"/>
  <c r="AD43" i="2" s="1"/>
  <c r="AD77" i="35"/>
  <c r="AD63" i="2" s="1"/>
  <c r="W78" i="35"/>
  <c r="W83" i="2" s="1"/>
  <c r="W76" i="35"/>
  <c r="W43" i="2" s="1"/>
  <c r="W77" i="35"/>
  <c r="W63" i="2" s="1"/>
  <c r="P78" i="35"/>
  <c r="P83" i="2" s="1"/>
  <c r="P76" i="35"/>
  <c r="P43" i="2" s="1"/>
  <c r="P77" i="35"/>
  <c r="P63" i="2" s="1"/>
  <c r="AN78" i="35"/>
  <c r="AN83" i="2" s="1"/>
  <c r="AN77" i="35"/>
  <c r="AN63" i="2" s="1"/>
  <c r="AN76" i="35"/>
  <c r="AN43" i="2" s="1"/>
  <c r="AI98" i="29"/>
  <c r="AI44" i="2" s="1"/>
  <c r="V45" i="33"/>
  <c r="V47" i="2" s="1"/>
  <c r="V46" i="33"/>
  <c r="V67" i="2" s="1"/>
  <c r="V47" i="33"/>
  <c r="V87" i="2" s="1"/>
  <c r="AE47" i="33"/>
  <c r="AE87" i="2" s="1"/>
  <c r="AE46" i="33"/>
  <c r="AE67" i="2" s="1"/>
  <c r="AE45" i="33"/>
  <c r="AE47" i="2" s="1"/>
  <c r="AF46" i="33"/>
  <c r="AF67" i="2" s="1"/>
  <c r="AF47" i="33"/>
  <c r="AF87" i="2" s="1"/>
  <c r="AF45" i="33"/>
  <c r="AF47" i="2" s="1"/>
  <c r="AO45" i="33"/>
  <c r="AO47" i="2" s="1"/>
  <c r="AO46" i="33"/>
  <c r="AO67" i="2" s="1"/>
  <c r="AO47" i="33"/>
  <c r="AO87" i="2" s="1"/>
  <c r="U45" i="33"/>
  <c r="U47" i="2" s="1"/>
  <c r="U46" i="33"/>
  <c r="U67" i="2" s="1"/>
  <c r="U47" i="33"/>
  <c r="U87" i="2" s="1"/>
  <c r="M78" i="35"/>
  <c r="M83" i="2" s="1"/>
  <c r="M77" i="35"/>
  <c r="M63" i="2" s="1"/>
  <c r="M76" i="35"/>
  <c r="M43" i="2" s="1"/>
  <c r="AL76" i="35"/>
  <c r="AL43" i="2" s="1"/>
  <c r="AL78" i="35"/>
  <c r="AL83" i="2" s="1"/>
  <c r="AL77" i="35"/>
  <c r="AL63" i="2" s="1"/>
  <c r="AE76" i="35"/>
  <c r="AE43" i="2" s="1"/>
  <c r="AE77" i="35"/>
  <c r="AE63" i="2" s="1"/>
  <c r="AE78" i="35"/>
  <c r="AE83" i="2" s="1"/>
  <c r="X78" i="35"/>
  <c r="X83" i="2" s="1"/>
  <c r="X76" i="35"/>
  <c r="X43" i="2" s="1"/>
  <c r="X77" i="35"/>
  <c r="X63" i="2" s="1"/>
  <c r="I78" i="35"/>
  <c r="I83" i="2" s="1"/>
  <c r="I77" i="35"/>
  <c r="I63" i="2" s="1"/>
  <c r="I76" i="35"/>
  <c r="I43" i="2" s="1"/>
  <c r="AR63" i="2"/>
  <c r="K99" i="29"/>
  <c r="K64" i="2" s="1"/>
  <c r="M99" i="29"/>
  <c r="M64" i="2" s="1"/>
  <c r="AK99" i="29"/>
  <c r="AK64" i="2" s="1"/>
  <c r="AD45" i="33"/>
  <c r="AD47" i="2" s="1"/>
  <c r="AD46" i="33"/>
  <c r="AD67" i="2" s="1"/>
  <c r="AD47" i="33"/>
  <c r="AD87" i="2" s="1"/>
  <c r="AM47" i="33"/>
  <c r="AM87" i="2" s="1"/>
  <c r="AM46" i="33"/>
  <c r="AM67" i="2" s="1"/>
  <c r="AM45" i="33"/>
  <c r="AM47" i="2" s="1"/>
  <c r="AN47" i="33"/>
  <c r="AN87" i="2" s="1"/>
  <c r="AN46" i="33"/>
  <c r="AN67" i="2" s="1"/>
  <c r="AN45" i="33"/>
  <c r="AN47" i="2" s="1"/>
  <c r="L45" i="33"/>
  <c r="L47" i="2" s="1"/>
  <c r="L47" i="33"/>
  <c r="L87" i="2" s="1"/>
  <c r="L46" i="33"/>
  <c r="L67" i="2" s="1"/>
  <c r="AC47" i="33"/>
  <c r="AC87" i="2" s="1"/>
  <c r="AC45" i="33"/>
  <c r="AC47" i="2" s="1"/>
  <c r="AC46" i="33"/>
  <c r="AC67" i="2" s="1"/>
  <c r="U76" i="35"/>
  <c r="U43" i="2" s="1"/>
  <c r="U77" i="35"/>
  <c r="U63" i="2" s="1"/>
  <c r="U78" i="35"/>
  <c r="U83" i="2" s="1"/>
  <c r="AM77" i="35"/>
  <c r="AM63" i="2" s="1"/>
  <c r="AM78" i="35"/>
  <c r="AM83" i="2" s="1"/>
  <c r="AM76" i="35"/>
  <c r="AM43" i="2" s="1"/>
  <c r="AF77" i="35"/>
  <c r="AF63" i="2" s="1"/>
  <c r="AF78" i="35"/>
  <c r="AF83" i="2" s="1"/>
  <c r="AF76" i="35"/>
  <c r="AF43" i="2" s="1"/>
  <c r="Q77" i="35"/>
  <c r="Q63" i="2" s="1"/>
  <c r="Q78" i="35"/>
  <c r="Q83" i="2" s="1"/>
  <c r="Q76" i="35"/>
  <c r="Q43" i="2" s="1"/>
  <c r="J76" i="35"/>
  <c r="J43" i="2" s="1"/>
  <c r="J77" i="35"/>
  <c r="J63" i="2" s="1"/>
  <c r="J78" i="35"/>
  <c r="J83" i="2" s="1"/>
  <c r="P72" i="2"/>
  <c r="P80" i="2"/>
  <c r="P92" i="2" s="1"/>
  <c r="Q40" i="2"/>
  <c r="Q60" i="2" s="1"/>
  <c r="P52" i="2"/>
  <c r="AA99" i="29"/>
  <c r="AA64" i="2" s="1"/>
  <c r="AC99" i="29"/>
  <c r="AC64" i="2" s="1"/>
  <c r="AL99" i="29"/>
  <c r="AL64" i="2" s="1"/>
  <c r="AL98" i="29"/>
  <c r="AL44" i="2" s="1"/>
  <c r="X98" i="29"/>
  <c r="X44" i="2" s="1"/>
  <c r="X99" i="29"/>
  <c r="X64" i="2" s="1"/>
  <c r="J99" i="29"/>
  <c r="J64" i="2" s="1"/>
  <c r="J98" i="29"/>
  <c r="J44" i="2" s="1"/>
  <c r="G98" i="29"/>
  <c r="G44" i="2" s="1"/>
  <c r="G99" i="29"/>
  <c r="G64" i="2" s="1"/>
  <c r="AF98" i="29"/>
  <c r="AF44" i="2" s="1"/>
  <c r="AF99" i="29"/>
  <c r="AF64" i="2" s="1"/>
  <c r="R99" i="29"/>
  <c r="R64" i="2" s="1"/>
  <c r="R98" i="29"/>
  <c r="R44" i="2" s="1"/>
  <c r="O99" i="29"/>
  <c r="O64" i="2" s="1"/>
  <c r="O98" i="29"/>
  <c r="O44" i="2" s="1"/>
  <c r="AN98" i="29"/>
  <c r="AN44" i="2" s="1"/>
  <c r="AN99" i="29"/>
  <c r="AN64" i="2" s="1"/>
  <c r="Z98" i="29"/>
  <c r="Z44" i="2" s="1"/>
  <c r="Z99" i="29"/>
  <c r="Z64" i="2" s="1"/>
  <c r="W99" i="29"/>
  <c r="W64" i="2" s="1"/>
  <c r="W98" i="29"/>
  <c r="W44" i="2" s="1"/>
  <c r="I99" i="29"/>
  <c r="I64" i="2" s="1"/>
  <c r="I98" i="29"/>
  <c r="I44" i="2" s="1"/>
  <c r="AH98" i="29"/>
  <c r="AH44" i="2" s="1"/>
  <c r="AH99" i="29"/>
  <c r="AH64" i="2" s="1"/>
  <c r="F13" i="29"/>
  <c r="G13" i="29" s="1"/>
  <c r="H13" i="29" s="1"/>
  <c r="I13" i="29" s="1"/>
  <c r="J13" i="29" s="1"/>
  <c r="K13" i="29" s="1"/>
  <c r="L13" i="29" s="1"/>
  <c r="M13" i="29" s="1"/>
  <c r="N13" i="29" s="1"/>
  <c r="O13" i="29" s="1"/>
  <c r="P13" i="29" s="1"/>
  <c r="Q13" i="29" s="1"/>
  <c r="R13" i="29" s="1"/>
  <c r="S13" i="29" s="1"/>
  <c r="T13" i="29" s="1"/>
  <c r="U13" i="29" s="1"/>
  <c r="V13" i="29" s="1"/>
  <c r="W13" i="29" s="1"/>
  <c r="X13" i="29" s="1"/>
  <c r="Y13" i="29" s="1"/>
  <c r="Z13" i="29" s="1"/>
  <c r="AA13" i="29" s="1"/>
  <c r="AB13" i="29" s="1"/>
  <c r="AC13" i="29" s="1"/>
  <c r="AD13" i="29" s="1"/>
  <c r="AE13" i="29" s="1"/>
  <c r="AF13" i="29" s="1"/>
  <c r="AG13" i="29" s="1"/>
  <c r="AH13" i="29" s="1"/>
  <c r="AI13" i="29" s="1"/>
  <c r="AJ13" i="29" s="1"/>
  <c r="AK13" i="29" s="1"/>
  <c r="AL13" i="29" s="1"/>
  <c r="AM13" i="29" s="1"/>
  <c r="AN13" i="29" s="1"/>
  <c r="AO13" i="29" s="1"/>
  <c r="AP13" i="29" s="1"/>
  <c r="AQ13" i="29" s="1"/>
  <c r="AR13" i="29" s="1"/>
  <c r="F98" i="29"/>
  <c r="F44" i="2" s="1"/>
  <c r="F99" i="29"/>
  <c r="F64" i="2" s="1"/>
  <c r="AE99" i="29"/>
  <c r="AE64" i="2" s="1"/>
  <c r="AE98" i="29"/>
  <c r="AE44" i="2" s="1"/>
  <c r="Q98" i="29"/>
  <c r="Q44" i="2" s="1"/>
  <c r="Q99" i="29"/>
  <c r="Q64" i="2" s="1"/>
  <c r="AP99" i="29"/>
  <c r="AP64" i="2" s="1"/>
  <c r="AP98" i="29"/>
  <c r="AP44" i="2" s="1"/>
  <c r="N99" i="29"/>
  <c r="N64" i="2" s="1"/>
  <c r="N98" i="29"/>
  <c r="N44" i="2" s="1"/>
  <c r="AM99" i="29"/>
  <c r="AM64" i="2" s="1"/>
  <c r="AM98" i="29"/>
  <c r="AM44" i="2" s="1"/>
  <c r="Y99" i="29"/>
  <c r="Y64" i="2" s="1"/>
  <c r="Y98" i="29"/>
  <c r="Y44" i="2" s="1"/>
  <c r="V99" i="29"/>
  <c r="V64" i="2" s="1"/>
  <c r="V98" i="29"/>
  <c r="V44" i="2" s="1"/>
  <c r="H98" i="29"/>
  <c r="H44" i="2" s="1"/>
  <c r="H99" i="29"/>
  <c r="H64" i="2" s="1"/>
  <c r="AG99" i="29"/>
  <c r="AG64" i="2" s="1"/>
  <c r="AG98" i="29"/>
  <c r="AG44" i="2" s="1"/>
  <c r="AD98" i="29"/>
  <c r="AD44" i="2" s="1"/>
  <c r="AD99" i="29"/>
  <c r="AD64" i="2" s="1"/>
  <c r="P98" i="29"/>
  <c r="P44" i="2" s="1"/>
  <c r="P99" i="29"/>
  <c r="P64" i="2" s="1"/>
  <c r="AO98" i="29"/>
  <c r="AO44" i="2" s="1"/>
  <c r="AO99" i="29"/>
  <c r="AO64" i="2" s="1"/>
  <c r="H81" i="24"/>
  <c r="H81" i="2" s="1"/>
  <c r="H79" i="24"/>
  <c r="H41" i="2" s="1"/>
  <c r="M30" i="21"/>
  <c r="G79" i="24"/>
  <c r="G41" i="2" s="1"/>
  <c r="G80" i="24"/>
  <c r="G61" i="2" s="1"/>
  <c r="N68" i="26"/>
  <c r="G13" i="28"/>
  <c r="H13" i="28" s="1"/>
  <c r="I13" i="28" s="1"/>
  <c r="J13" i="28" s="1"/>
  <c r="K13" i="28" s="1"/>
  <c r="L13" i="28" s="1"/>
  <c r="M13" i="28" s="1"/>
  <c r="N13" i="28" s="1"/>
  <c r="O13" i="28" s="1"/>
  <c r="P13" i="28" s="1"/>
  <c r="Q13" i="28" s="1"/>
  <c r="R13" i="28" s="1"/>
  <c r="S13" i="28" s="1"/>
  <c r="T13" i="28" s="1"/>
  <c r="U13" i="28" s="1"/>
  <c r="V13" i="28" s="1"/>
  <c r="W13" i="28" s="1"/>
  <c r="X13" i="28" s="1"/>
  <c r="Y13" i="28" s="1"/>
  <c r="Z13" i="28" s="1"/>
  <c r="AA13" i="28" s="1"/>
  <c r="AB13" i="28" s="1"/>
  <c r="AC13" i="28" s="1"/>
  <c r="AD13" i="28" s="1"/>
  <c r="AE13" i="28" s="1"/>
  <c r="AF13" i="28" s="1"/>
  <c r="AG13" i="28" s="1"/>
  <c r="AH13" i="28" s="1"/>
  <c r="AI13" i="28" s="1"/>
  <c r="AJ13" i="28" s="1"/>
  <c r="AK13" i="28" s="1"/>
  <c r="AL13" i="28" s="1"/>
  <c r="AM13" i="28" s="1"/>
  <c r="AN13" i="28" s="1"/>
  <c r="AO13" i="28" s="1"/>
  <c r="AP13" i="28" s="1"/>
  <c r="AQ13" i="28" s="1"/>
  <c r="AR13" i="28" s="1"/>
  <c r="G14" i="23"/>
  <c r="H14" i="23" s="1"/>
  <c r="I14" i="23" s="1"/>
  <c r="J14" i="23" s="1"/>
  <c r="K14" i="23" s="1"/>
  <c r="L14" i="23" s="1"/>
  <c r="M14" i="23" s="1"/>
  <c r="N14" i="23" s="1"/>
  <c r="O14" i="23" s="1"/>
  <c r="N26" i="22"/>
  <c r="N44" i="22" s="1"/>
  <c r="N16" i="21"/>
  <c r="N61" i="21" s="1"/>
  <c r="G13" i="26"/>
  <c r="H13" i="26" s="1"/>
  <c r="I13" i="26" s="1"/>
  <c r="J13" i="26" s="1"/>
  <c r="K13" i="26" s="1"/>
  <c r="L13" i="26" s="1"/>
  <c r="M13" i="26" s="1"/>
  <c r="N13" i="26" s="1"/>
  <c r="O13" i="26" s="1"/>
  <c r="P13" i="26" s="1"/>
  <c r="Q13" i="26" s="1"/>
  <c r="R13" i="26" s="1"/>
  <c r="S13" i="26" s="1"/>
  <c r="T13" i="26" s="1"/>
  <c r="U13" i="26" s="1"/>
  <c r="V13" i="26" s="1"/>
  <c r="W13" i="26" s="1"/>
  <c r="X13" i="26" s="1"/>
  <c r="Y13" i="26" s="1"/>
  <c r="Z13" i="26" s="1"/>
  <c r="AA13" i="26" s="1"/>
  <c r="AB13" i="26" s="1"/>
  <c r="AC13" i="26" s="1"/>
  <c r="AD13" i="26" s="1"/>
  <c r="AE13" i="26" s="1"/>
  <c r="AF13" i="26" s="1"/>
  <c r="AG13" i="26" s="1"/>
  <c r="AH13" i="26" s="1"/>
  <c r="AI13" i="26" s="1"/>
  <c r="AJ13" i="26" s="1"/>
  <c r="AK13" i="26" s="1"/>
  <c r="AL13" i="26" s="1"/>
  <c r="AM13" i="26" s="1"/>
  <c r="AN13" i="26" s="1"/>
  <c r="AO13" i="26" s="1"/>
  <c r="AP13" i="26" s="1"/>
  <c r="AQ13" i="26" s="1"/>
  <c r="AR13" i="26" s="1"/>
  <c r="F80" i="24"/>
  <c r="F61" i="2" s="1"/>
  <c r="J80" i="24"/>
  <c r="J61" i="2" s="1"/>
  <c r="J79" i="24"/>
  <c r="J41" i="2" s="1"/>
  <c r="F13" i="24"/>
  <c r="G13" i="24" s="1"/>
  <c r="H13" i="24" s="1"/>
  <c r="I13" i="24" s="1"/>
  <c r="J13" i="24" s="1"/>
  <c r="K13" i="24" s="1"/>
  <c r="L13" i="24" s="1"/>
  <c r="M13" i="24" s="1"/>
  <c r="N13" i="24" s="1"/>
  <c r="O13" i="24" s="1"/>
  <c r="P13" i="24" s="1"/>
  <c r="Q13" i="24" s="1"/>
  <c r="R13" i="24" s="1"/>
  <c r="S13" i="24" s="1"/>
  <c r="T13" i="24" s="1"/>
  <c r="U13" i="24" s="1"/>
  <c r="V13" i="24" s="1"/>
  <c r="W13" i="24" s="1"/>
  <c r="X13" i="24" s="1"/>
  <c r="Y13" i="24" s="1"/>
  <c r="Z13" i="24" s="1"/>
  <c r="AA13" i="24" s="1"/>
  <c r="AB13" i="24" s="1"/>
  <c r="AC13" i="24" s="1"/>
  <c r="AD13" i="24" s="1"/>
  <c r="AE13" i="24" s="1"/>
  <c r="AF13" i="24" s="1"/>
  <c r="AG13" i="24" s="1"/>
  <c r="AH13" i="24" s="1"/>
  <c r="AI13" i="24" s="1"/>
  <c r="AJ13" i="24" s="1"/>
  <c r="AK13" i="24" s="1"/>
  <c r="AL13" i="24" s="1"/>
  <c r="AM13" i="24" s="1"/>
  <c r="AN13" i="24" s="1"/>
  <c r="AO13" i="24" s="1"/>
  <c r="AP13" i="24" s="1"/>
  <c r="AQ13" i="24" s="1"/>
  <c r="AR13" i="24" s="1"/>
  <c r="F81" i="24"/>
  <c r="F81" i="2" s="1"/>
  <c r="F79" i="24"/>
  <c r="F41" i="2" s="1"/>
  <c r="I79" i="24"/>
  <c r="I41" i="2" s="1"/>
  <c r="I80" i="24"/>
  <c r="I61" i="2" s="1"/>
  <c r="I81" i="24"/>
  <c r="I81" i="2" s="1"/>
  <c r="L73" i="24"/>
  <c r="N53" i="24"/>
  <c r="J81" i="24"/>
  <c r="J81" i="2" s="1"/>
  <c r="P49" i="23"/>
  <c r="P51" i="23"/>
  <c r="P20" i="23"/>
  <c r="P25" i="23"/>
  <c r="P22" i="23"/>
  <c r="Q7" i="23"/>
  <c r="P9" i="23"/>
  <c r="P10" i="23"/>
  <c r="P11" i="23"/>
  <c r="O10" i="21"/>
  <c r="O17" i="21" s="1"/>
  <c r="O11" i="21"/>
  <c r="P22" i="22"/>
  <c r="P23" i="22" s="1"/>
  <c r="P10" i="22"/>
  <c r="N28" i="22"/>
  <c r="N46" i="22" s="1"/>
  <c r="J28" i="22"/>
  <c r="J46" i="22" s="1"/>
  <c r="J27" i="22"/>
  <c r="J45" i="22" s="1"/>
  <c r="J26" i="22"/>
  <c r="J44" i="22" s="1"/>
  <c r="M28" i="22"/>
  <c r="M46" i="22" s="1"/>
  <c r="I28" i="22"/>
  <c r="I46" i="22" s="1"/>
  <c r="I26" i="22"/>
  <c r="I44" i="22" s="1"/>
  <c r="I27" i="22"/>
  <c r="I45" i="22" s="1"/>
  <c r="H26" i="22"/>
  <c r="H44" i="22" s="1"/>
  <c r="H28" i="22"/>
  <c r="H46" i="22" s="1"/>
  <c r="H27" i="22"/>
  <c r="H45" i="22" s="1"/>
  <c r="M26" i="22"/>
  <c r="M44" i="22" s="1"/>
  <c r="G26" i="22"/>
  <c r="G44" i="22" s="1"/>
  <c r="G28" i="22"/>
  <c r="G46" i="22" s="1"/>
  <c r="G27" i="22"/>
  <c r="G45" i="22" s="1"/>
  <c r="F26" i="22"/>
  <c r="F44" i="22" s="1"/>
  <c r="F27" i="22"/>
  <c r="F45" i="22" s="1"/>
  <c r="F28" i="22"/>
  <c r="F46" i="22" s="1"/>
  <c r="L28" i="22"/>
  <c r="L46" i="22" s="1"/>
  <c r="L26" i="22"/>
  <c r="L44" i="22" s="1"/>
  <c r="L27" i="22"/>
  <c r="L45" i="22" s="1"/>
  <c r="K27" i="22"/>
  <c r="K45" i="22" s="1"/>
  <c r="K26" i="22"/>
  <c r="K44" i="22" s="1"/>
  <c r="K28" i="22"/>
  <c r="K46" i="22" s="1"/>
  <c r="K40" i="21"/>
  <c r="K72" i="21" s="1"/>
  <c r="K68" i="2" s="1"/>
  <c r="K39" i="21"/>
  <c r="K71" i="21" s="1"/>
  <c r="K48" i="2" s="1"/>
  <c r="K41" i="21"/>
  <c r="K73" i="21" s="1"/>
  <c r="K88" i="2" s="1"/>
  <c r="M36" i="21"/>
  <c r="L40" i="21"/>
  <c r="L72" i="21" s="1"/>
  <c r="L68" i="2" s="1"/>
  <c r="L41" i="21"/>
  <c r="L73" i="21" s="1"/>
  <c r="L88" i="2" s="1"/>
  <c r="L39" i="21"/>
  <c r="L71" i="21" s="1"/>
  <c r="L48" i="2" s="1"/>
  <c r="M61" i="21"/>
  <c r="M62" i="21"/>
  <c r="N49" i="21"/>
  <c r="N15" i="21"/>
  <c r="N30" i="21" s="1"/>
  <c r="N32" i="21"/>
  <c r="F33" i="22"/>
  <c r="F34" i="22" s="1"/>
  <c r="G13" i="22"/>
  <c r="G33" i="22" s="1"/>
  <c r="G34" i="22" s="1"/>
  <c r="O35" i="21"/>
  <c r="O27" i="21" s="1"/>
  <c r="O27" i="22"/>
  <c r="O45" i="22" s="1"/>
  <c r="O28" i="22"/>
  <c r="O46" i="22" s="1"/>
  <c r="O15" i="22"/>
  <c r="O26" i="22" s="1"/>
  <c r="O44" i="22" s="1"/>
  <c r="P11" i="22"/>
  <c r="P9" i="22"/>
  <c r="Q7" i="22"/>
  <c r="G13" i="21"/>
  <c r="P7" i="21"/>
  <c r="P57" i="21" s="1"/>
  <c r="O9" i="21"/>
  <c r="G12" i="23" l="1"/>
  <c r="G75" i="23" s="1"/>
  <c r="F73" i="23"/>
  <c r="F74" i="23"/>
  <c r="F72" i="23"/>
  <c r="K81" i="24"/>
  <c r="K81" i="2" s="1"/>
  <c r="K79" i="24"/>
  <c r="K41" i="2" s="1"/>
  <c r="Q34" i="23"/>
  <c r="Q39" i="23"/>
  <c r="Q36" i="23"/>
  <c r="P42" i="23"/>
  <c r="P61" i="23" s="1"/>
  <c r="O44" i="23"/>
  <c r="O63" i="23" s="1"/>
  <c r="O43" i="23"/>
  <c r="O62" i="23" s="1"/>
  <c r="N58" i="23"/>
  <c r="N57" i="23"/>
  <c r="M53" i="24"/>
  <c r="M68" i="26"/>
  <c r="O22" i="24"/>
  <c r="O41" i="24" s="1"/>
  <c r="O30" i="23"/>
  <c r="O29" i="23"/>
  <c r="L74" i="24"/>
  <c r="L75" i="24" s="1"/>
  <c r="L80" i="24" s="1"/>
  <c r="L61" i="2" s="1"/>
  <c r="P28" i="23"/>
  <c r="P56" i="23" s="1"/>
  <c r="M46" i="24"/>
  <c r="M48" i="24" s="1"/>
  <c r="N40" i="24"/>
  <c r="N42" i="24" s="1"/>
  <c r="N43" i="24" s="1"/>
  <c r="P46" i="21"/>
  <c r="P48" i="21"/>
  <c r="P45" i="21"/>
  <c r="P47" i="21"/>
  <c r="D84" i="2"/>
  <c r="E16" i="2" s="1"/>
  <c r="D47" i="2"/>
  <c r="C19" i="2" s="1"/>
  <c r="D64" i="2"/>
  <c r="D16" i="2" s="1"/>
  <c r="K35" i="10" s="1"/>
  <c r="D44" i="2"/>
  <c r="C16" i="2" s="1"/>
  <c r="D77" i="35"/>
  <c r="D63" i="2"/>
  <c r="D15" i="2" s="1"/>
  <c r="K34" i="10" s="1"/>
  <c r="D76" i="35"/>
  <c r="D43" i="2"/>
  <c r="C15" i="2" s="1"/>
  <c r="D78" i="35"/>
  <c r="D87" i="2"/>
  <c r="E19" i="2" s="1"/>
  <c r="D83" i="2"/>
  <c r="E15" i="2" s="1"/>
  <c r="D67" i="2"/>
  <c r="D19" i="2" s="1"/>
  <c r="K37" i="10" s="1"/>
  <c r="Q72" i="2"/>
  <c r="Q80" i="2"/>
  <c r="Q92" i="2" s="1"/>
  <c r="R40" i="2"/>
  <c r="R60" i="2" s="1"/>
  <c r="Q52" i="2"/>
  <c r="N31" i="21"/>
  <c r="N68" i="24"/>
  <c r="N74" i="24" s="1"/>
  <c r="N67" i="24"/>
  <c r="P14" i="23"/>
  <c r="Q49" i="23"/>
  <c r="Q51" i="23"/>
  <c r="Q20" i="23"/>
  <c r="Q25" i="23"/>
  <c r="Q22" i="23"/>
  <c r="Q10" i="23"/>
  <c r="R7" i="23"/>
  <c r="Q11" i="23"/>
  <c r="Q9" i="23"/>
  <c r="O16" i="21"/>
  <c r="O61" i="21" s="1"/>
  <c r="P10" i="21"/>
  <c r="P16" i="21" s="1"/>
  <c r="P11" i="21"/>
  <c r="Q22" i="22"/>
  <c r="Q23" i="22" s="1"/>
  <c r="Q10" i="22"/>
  <c r="P16" i="22"/>
  <c r="P27" i="22" s="1"/>
  <c r="P45" i="22" s="1"/>
  <c r="P17" i="22"/>
  <c r="P28" i="22" s="1"/>
  <c r="P46" i="22" s="1"/>
  <c r="M39" i="21"/>
  <c r="M71" i="21" s="1"/>
  <c r="M48" i="2" s="1"/>
  <c r="M41" i="21"/>
  <c r="M73" i="21" s="1"/>
  <c r="M88" i="2" s="1"/>
  <c r="M40" i="21"/>
  <c r="M72" i="21" s="1"/>
  <c r="M68" i="2" s="1"/>
  <c r="N36" i="21"/>
  <c r="N62" i="21"/>
  <c r="O62" i="21"/>
  <c r="N60" i="21"/>
  <c r="O49" i="21"/>
  <c r="F39" i="22"/>
  <c r="F40" i="22"/>
  <c r="F38" i="22"/>
  <c r="H13" i="22"/>
  <c r="H33" i="22" s="1"/>
  <c r="H34" i="22" s="1"/>
  <c r="G39" i="22"/>
  <c r="G40" i="22"/>
  <c r="G38" i="22"/>
  <c r="Q9" i="22"/>
  <c r="R7" i="22"/>
  <c r="Q11" i="22"/>
  <c r="P15" i="22"/>
  <c r="P26" i="22" s="1"/>
  <c r="P44" i="22" s="1"/>
  <c r="H13" i="21"/>
  <c r="Q7" i="21"/>
  <c r="Q57" i="21" s="1"/>
  <c r="P9" i="21"/>
  <c r="P35" i="21"/>
  <c r="P27" i="21" s="1"/>
  <c r="O15" i="21"/>
  <c r="O60" i="21" s="1"/>
  <c r="O32" i="21"/>
  <c r="F77" i="23" l="1"/>
  <c r="H12" i="23"/>
  <c r="H75" i="23" s="1"/>
  <c r="G74" i="23"/>
  <c r="G73" i="23"/>
  <c r="G72" i="23"/>
  <c r="Q42" i="23"/>
  <c r="Q61" i="23" s="1"/>
  <c r="P44" i="23"/>
  <c r="P63" i="23" s="1"/>
  <c r="P43" i="23"/>
  <c r="P62" i="23" s="1"/>
  <c r="R34" i="23"/>
  <c r="R39" i="23"/>
  <c r="R36" i="23"/>
  <c r="L35" i="10"/>
  <c r="F7" i="10"/>
  <c r="L34" i="10"/>
  <c r="F6" i="10"/>
  <c r="L37" i="10"/>
  <c r="F9" i="10"/>
  <c r="J34" i="10"/>
  <c r="J35" i="10"/>
  <c r="J37" i="10"/>
  <c r="O58" i="23"/>
  <c r="O40" i="24"/>
  <c r="O42" i="24" s="1"/>
  <c r="O43" i="24" s="1"/>
  <c r="O53" i="24"/>
  <c r="O68" i="24" s="1"/>
  <c r="O57" i="23"/>
  <c r="P30" i="23"/>
  <c r="P29" i="23"/>
  <c r="M68" i="24"/>
  <c r="M74" i="24" s="1"/>
  <c r="M67" i="24"/>
  <c r="O68" i="26"/>
  <c r="N46" i="24"/>
  <c r="N48" i="24" s="1"/>
  <c r="P22" i="24"/>
  <c r="P40" i="24" s="1"/>
  <c r="Q28" i="23"/>
  <c r="Q56" i="23" s="1"/>
  <c r="Q46" i="21"/>
  <c r="Q45" i="21"/>
  <c r="Q47" i="21"/>
  <c r="Q48" i="21"/>
  <c r="L81" i="24"/>
  <c r="L81" i="2" s="1"/>
  <c r="R72" i="2"/>
  <c r="R80" i="2"/>
  <c r="R92" i="2" s="1"/>
  <c r="S40" i="2"/>
  <c r="S60" i="2" s="1"/>
  <c r="R52" i="2"/>
  <c r="P17" i="21"/>
  <c r="P32" i="21" s="1"/>
  <c r="P68" i="26"/>
  <c r="Q14" i="23"/>
  <c r="P53" i="24"/>
  <c r="O47" i="24"/>
  <c r="N73" i="24"/>
  <c r="N69" i="24"/>
  <c r="N70" i="24" s="1"/>
  <c r="L79" i="24"/>
  <c r="L41" i="2" s="1"/>
  <c r="R49" i="23"/>
  <c r="R51" i="23"/>
  <c r="R20" i="23"/>
  <c r="R25" i="23"/>
  <c r="R22" i="23"/>
  <c r="R9" i="23"/>
  <c r="S7" i="23"/>
  <c r="R10" i="23"/>
  <c r="R11" i="23"/>
  <c r="Q10" i="21"/>
  <c r="Q16" i="21" s="1"/>
  <c r="Q11" i="21"/>
  <c r="R22" i="22"/>
  <c r="R23" i="22" s="1"/>
  <c r="R10" i="22"/>
  <c r="Q16" i="22"/>
  <c r="Q27" i="22" s="1"/>
  <c r="Q45" i="22" s="1"/>
  <c r="Q17" i="22"/>
  <c r="Q28" i="22" s="1"/>
  <c r="Q46" i="22" s="1"/>
  <c r="O36" i="21"/>
  <c r="N39" i="21"/>
  <c r="N71" i="21" s="1"/>
  <c r="N48" i="2" s="1"/>
  <c r="N40" i="21"/>
  <c r="N72" i="21" s="1"/>
  <c r="N68" i="2" s="1"/>
  <c r="N41" i="21"/>
  <c r="N73" i="21" s="1"/>
  <c r="N88" i="2" s="1"/>
  <c r="P61" i="21"/>
  <c r="P49" i="21"/>
  <c r="I13" i="22"/>
  <c r="I33" i="22" s="1"/>
  <c r="I34" i="22" s="1"/>
  <c r="H39" i="22"/>
  <c r="H40" i="22"/>
  <c r="H38" i="22"/>
  <c r="R11" i="22"/>
  <c r="S7" i="22"/>
  <c r="R9" i="22"/>
  <c r="Q15" i="22"/>
  <c r="Q26" i="22" s="1"/>
  <c r="Q44" i="22" s="1"/>
  <c r="Q9" i="21"/>
  <c r="Q35" i="21"/>
  <c r="Q27" i="21" s="1"/>
  <c r="R7" i="21"/>
  <c r="R57" i="21" s="1"/>
  <c r="I13" i="21"/>
  <c r="P31" i="21"/>
  <c r="P15" i="21"/>
  <c r="P60" i="21" s="1"/>
  <c r="O30" i="21"/>
  <c r="O31" i="21"/>
  <c r="F79" i="23" l="1"/>
  <c r="F30" i="41" s="1"/>
  <c r="F32" i="41" s="1"/>
  <c r="F34" i="41" s="1"/>
  <c r="F36" i="41" s="1"/>
  <c r="G77" i="23"/>
  <c r="I12" i="23"/>
  <c r="I75" i="23" s="1"/>
  <c r="H73" i="23"/>
  <c r="H72" i="23"/>
  <c r="H74" i="23"/>
  <c r="S34" i="23"/>
  <c r="S39" i="23"/>
  <c r="S36" i="23"/>
  <c r="R42" i="23"/>
  <c r="R61" i="23" s="1"/>
  <c r="Q44" i="23"/>
  <c r="Q63" i="23" s="1"/>
  <c r="Q43" i="23"/>
  <c r="Q62" i="23" s="1"/>
  <c r="O46" i="24"/>
  <c r="O48" i="24" s="1"/>
  <c r="O67" i="24"/>
  <c r="O73" i="24" s="1"/>
  <c r="P57" i="23"/>
  <c r="P58" i="23"/>
  <c r="M73" i="24"/>
  <c r="M75" i="24" s="1"/>
  <c r="M69" i="24"/>
  <c r="M70" i="24" s="1"/>
  <c r="Q29" i="23"/>
  <c r="Q30" i="23"/>
  <c r="R28" i="23"/>
  <c r="R56" i="23" s="1"/>
  <c r="Q22" i="24"/>
  <c r="Q40" i="24" s="1"/>
  <c r="P41" i="24"/>
  <c r="P47" i="24" s="1"/>
  <c r="Q15" i="21"/>
  <c r="Q30" i="21" s="1"/>
  <c r="R46" i="21"/>
  <c r="R45" i="21"/>
  <c r="R47" i="21"/>
  <c r="R48" i="21"/>
  <c r="S72" i="2"/>
  <c r="S80" i="2"/>
  <c r="S92" i="2" s="1"/>
  <c r="T40" i="2"/>
  <c r="T60" i="2" s="1"/>
  <c r="S52" i="2"/>
  <c r="R14" i="23"/>
  <c r="Q68" i="26"/>
  <c r="P46" i="24"/>
  <c r="Q53" i="24"/>
  <c r="P68" i="24"/>
  <c r="P74" i="24" s="1"/>
  <c r="P67" i="24"/>
  <c r="N75" i="24"/>
  <c r="N81" i="24" s="1"/>
  <c r="N81" i="2" s="1"/>
  <c r="O74" i="24"/>
  <c r="S49" i="23"/>
  <c r="S51" i="23"/>
  <c r="S20" i="23"/>
  <c r="S25" i="23"/>
  <c r="S22" i="23"/>
  <c r="S10" i="23"/>
  <c r="S11" i="23"/>
  <c r="S9" i="23"/>
  <c r="T7" i="23"/>
  <c r="Q17" i="21"/>
  <c r="Q32" i="21" s="1"/>
  <c r="R10" i="21"/>
  <c r="R15" i="21" s="1"/>
  <c r="R11" i="21"/>
  <c r="S22" i="22"/>
  <c r="S23" i="22" s="1"/>
  <c r="S10" i="22"/>
  <c r="R17" i="22"/>
  <c r="R28" i="22" s="1"/>
  <c r="R46" i="22" s="1"/>
  <c r="R16" i="22"/>
  <c r="R27" i="22" s="1"/>
  <c r="R45" i="22" s="1"/>
  <c r="J13" i="22"/>
  <c r="J33" i="22" s="1"/>
  <c r="J34" i="22" s="1"/>
  <c r="P36" i="21"/>
  <c r="O39" i="21"/>
  <c r="O71" i="21" s="1"/>
  <c r="O48" i="2" s="1"/>
  <c r="O40" i="21"/>
  <c r="O72" i="21" s="1"/>
  <c r="O68" i="2" s="1"/>
  <c r="O41" i="21"/>
  <c r="O73" i="21" s="1"/>
  <c r="O88" i="2" s="1"/>
  <c r="P62" i="21"/>
  <c r="Q49" i="21"/>
  <c r="I40" i="22"/>
  <c r="I39" i="22"/>
  <c r="I38" i="22"/>
  <c r="R35" i="21"/>
  <c r="R27" i="21" s="1"/>
  <c r="R15" i="22"/>
  <c r="R26" i="22" s="1"/>
  <c r="R44" i="22" s="1"/>
  <c r="S9" i="22"/>
  <c r="T7" i="22"/>
  <c r="S11" i="22"/>
  <c r="Q31" i="21"/>
  <c r="S7" i="21"/>
  <c r="S57" i="21" s="1"/>
  <c r="R9" i="21"/>
  <c r="J13" i="21"/>
  <c r="P30" i="21"/>
  <c r="F42" i="41" l="1"/>
  <c r="F66" i="2" s="1"/>
  <c r="F41" i="41"/>
  <c r="F46" i="2" s="1"/>
  <c r="F43" i="41"/>
  <c r="F86" i="2" s="1"/>
  <c r="G79" i="23"/>
  <c r="G30" i="41" s="1"/>
  <c r="G32" i="41" s="1"/>
  <c r="G34" i="41" s="1"/>
  <c r="G36" i="41" s="1"/>
  <c r="H77" i="23"/>
  <c r="J12" i="23"/>
  <c r="J75" i="23" s="1"/>
  <c r="I73" i="23"/>
  <c r="I72" i="23"/>
  <c r="I74" i="23"/>
  <c r="S42" i="23"/>
  <c r="S61" i="23" s="1"/>
  <c r="R44" i="23"/>
  <c r="R63" i="23" s="1"/>
  <c r="R43" i="23"/>
  <c r="R62" i="23" s="1"/>
  <c r="T39" i="23"/>
  <c r="T36" i="23"/>
  <c r="T34" i="23"/>
  <c r="Q60" i="21"/>
  <c r="O69" i="24"/>
  <c r="O70" i="24" s="1"/>
  <c r="Q57" i="23"/>
  <c r="Q58" i="23"/>
  <c r="R22" i="24"/>
  <c r="R41" i="24" s="1"/>
  <c r="R47" i="24" s="1"/>
  <c r="R30" i="23"/>
  <c r="R29" i="23"/>
  <c r="M80" i="24"/>
  <c r="M61" i="2" s="1"/>
  <c r="M79" i="24"/>
  <c r="M41" i="2" s="1"/>
  <c r="M81" i="24"/>
  <c r="M81" i="2" s="1"/>
  <c r="S28" i="23"/>
  <c r="S56" i="23" s="1"/>
  <c r="Q41" i="24"/>
  <c r="Q47" i="24" s="1"/>
  <c r="P42" i="24"/>
  <c r="P43" i="24" s="1"/>
  <c r="S46" i="21"/>
  <c r="S45" i="21"/>
  <c r="S47" i="21"/>
  <c r="S48" i="21"/>
  <c r="S14" i="23"/>
  <c r="T72" i="2"/>
  <c r="T80" i="2"/>
  <c r="T92" i="2" s="1"/>
  <c r="U40" i="2"/>
  <c r="U60" i="2" s="1"/>
  <c r="T52" i="2"/>
  <c r="R16" i="21"/>
  <c r="R31" i="21" s="1"/>
  <c r="R17" i="21"/>
  <c r="R32" i="21" s="1"/>
  <c r="O75" i="24"/>
  <c r="O81" i="24" s="1"/>
  <c r="O81" i="2" s="1"/>
  <c r="N80" i="24"/>
  <c r="N61" i="2" s="1"/>
  <c r="P69" i="24"/>
  <c r="P70" i="24" s="1"/>
  <c r="P73" i="24"/>
  <c r="P75" i="24" s="1"/>
  <c r="N79" i="24"/>
  <c r="N41" i="2" s="1"/>
  <c r="Q46" i="24"/>
  <c r="Q67" i="24"/>
  <c r="Q68" i="24"/>
  <c r="Q74" i="24" s="1"/>
  <c r="P48" i="24"/>
  <c r="T49" i="23"/>
  <c r="T51" i="23"/>
  <c r="T20" i="23"/>
  <c r="T25" i="23"/>
  <c r="T22" i="23"/>
  <c r="U7" i="23"/>
  <c r="T9" i="23"/>
  <c r="T10" i="23"/>
  <c r="T11" i="23"/>
  <c r="S10" i="21"/>
  <c r="S16" i="21" s="1"/>
  <c r="S11" i="21"/>
  <c r="K13" i="22"/>
  <c r="K33" i="22" s="1"/>
  <c r="K34" i="22" s="1"/>
  <c r="T22" i="22"/>
  <c r="T23" i="22" s="1"/>
  <c r="T10" i="22"/>
  <c r="S17" i="22"/>
  <c r="S28" i="22" s="1"/>
  <c r="S46" i="22" s="1"/>
  <c r="S16" i="22"/>
  <c r="S27" i="22" s="1"/>
  <c r="S45" i="22" s="1"/>
  <c r="Q36" i="21"/>
  <c r="P40" i="21"/>
  <c r="P72" i="21" s="1"/>
  <c r="P68" i="2" s="1"/>
  <c r="P41" i="21"/>
  <c r="P73" i="21" s="1"/>
  <c r="P88" i="2" s="1"/>
  <c r="P39" i="21"/>
  <c r="P71" i="21" s="1"/>
  <c r="P48" i="2" s="1"/>
  <c r="Q62" i="21"/>
  <c r="Q61" i="21"/>
  <c r="R60" i="21"/>
  <c r="R49" i="21"/>
  <c r="J40" i="22"/>
  <c r="J38" i="22"/>
  <c r="J39" i="22"/>
  <c r="S15" i="22"/>
  <c r="S26" i="22" s="1"/>
  <c r="S44" i="22" s="1"/>
  <c r="T11" i="22"/>
  <c r="T9" i="22"/>
  <c r="U7" i="22"/>
  <c r="S9" i="21"/>
  <c r="T7" i="21"/>
  <c r="T57" i="21" s="1"/>
  <c r="S35" i="21"/>
  <c r="S27" i="21" s="1"/>
  <c r="K13" i="21"/>
  <c r="R30" i="21"/>
  <c r="G43" i="41" l="1"/>
  <c r="G86" i="2" s="1"/>
  <c r="G41" i="41"/>
  <c r="G46" i="2" s="1"/>
  <c r="G42" i="41"/>
  <c r="G66" i="2" s="1"/>
  <c r="H79" i="23"/>
  <c r="H30" i="41" s="1"/>
  <c r="H32" i="41" s="1"/>
  <c r="H34" i="41" s="1"/>
  <c r="H36" i="41" s="1"/>
  <c r="I77" i="23"/>
  <c r="K12" i="23"/>
  <c r="K75" i="23" s="1"/>
  <c r="J73" i="23"/>
  <c r="J72" i="23"/>
  <c r="J74" i="23"/>
  <c r="U36" i="23"/>
  <c r="U39" i="23"/>
  <c r="U34" i="23"/>
  <c r="T42" i="23"/>
  <c r="T61" i="23" s="1"/>
  <c r="S44" i="23"/>
  <c r="S63" i="23" s="1"/>
  <c r="S43" i="23"/>
  <c r="S62" i="23" s="1"/>
  <c r="R40" i="24"/>
  <c r="R46" i="24" s="1"/>
  <c r="R48" i="24" s="1"/>
  <c r="R58" i="23"/>
  <c r="R68" i="26"/>
  <c r="R57" i="23"/>
  <c r="S22" i="24"/>
  <c r="S40" i="24" s="1"/>
  <c r="S30" i="23"/>
  <c r="S29" i="23"/>
  <c r="T28" i="23"/>
  <c r="T56" i="23" s="1"/>
  <c r="Q42" i="24"/>
  <c r="Q43" i="24" s="1"/>
  <c r="R53" i="24"/>
  <c r="R67" i="24" s="1"/>
  <c r="T14" i="23"/>
  <c r="T45" i="21"/>
  <c r="T47" i="21"/>
  <c r="T48" i="21"/>
  <c r="T46" i="21"/>
  <c r="U72" i="2"/>
  <c r="U80" i="2"/>
  <c r="U92" i="2" s="1"/>
  <c r="V40" i="2"/>
  <c r="V60" i="2" s="1"/>
  <c r="U52" i="2"/>
  <c r="O80" i="24"/>
  <c r="O61" i="2" s="1"/>
  <c r="O79" i="24"/>
  <c r="O41" i="2" s="1"/>
  <c r="P80" i="24"/>
  <c r="P61" i="2" s="1"/>
  <c r="Q48" i="24"/>
  <c r="Q73" i="24"/>
  <c r="Q69" i="24"/>
  <c r="Q70" i="24" s="1"/>
  <c r="S17" i="21"/>
  <c r="S32" i="21" s="1"/>
  <c r="S53" i="24"/>
  <c r="P79" i="24"/>
  <c r="P41" i="2" s="1"/>
  <c r="P81" i="24"/>
  <c r="P81" i="2" s="1"/>
  <c r="U49" i="23"/>
  <c r="U51" i="23"/>
  <c r="U20" i="23"/>
  <c r="U25" i="23"/>
  <c r="U22" i="23"/>
  <c r="V7" i="23"/>
  <c r="U9" i="23"/>
  <c r="U10" i="23"/>
  <c r="U11" i="23"/>
  <c r="T10" i="21"/>
  <c r="T17" i="21" s="1"/>
  <c r="T11" i="21"/>
  <c r="U22" i="22"/>
  <c r="U23" i="22" s="1"/>
  <c r="U10" i="22"/>
  <c r="L13" i="22"/>
  <c r="L33" i="22" s="1"/>
  <c r="L34" i="22" s="1"/>
  <c r="T17" i="22"/>
  <c r="T28" i="22" s="1"/>
  <c r="T46" i="22" s="1"/>
  <c r="T16" i="22"/>
  <c r="T27" i="22" s="1"/>
  <c r="T45" i="22" s="1"/>
  <c r="R36" i="21"/>
  <c r="Q41" i="21"/>
  <c r="Q73" i="21" s="1"/>
  <c r="Q88" i="2" s="1"/>
  <c r="Q39" i="21"/>
  <c r="Q71" i="21" s="1"/>
  <c r="Q48" i="2" s="1"/>
  <c r="Q40" i="21"/>
  <c r="Q72" i="21" s="1"/>
  <c r="Q68" i="2" s="1"/>
  <c r="R61" i="21"/>
  <c r="S61" i="21"/>
  <c r="R62" i="21"/>
  <c r="S49" i="21"/>
  <c r="K38" i="22"/>
  <c r="K40" i="22"/>
  <c r="K39" i="22"/>
  <c r="T9" i="21"/>
  <c r="U9" i="22"/>
  <c r="V7" i="22"/>
  <c r="U11" i="22"/>
  <c r="T15" i="22"/>
  <c r="T26" i="22" s="1"/>
  <c r="T44" i="22" s="1"/>
  <c r="S15" i="21"/>
  <c r="S30" i="21" s="1"/>
  <c r="T35" i="21"/>
  <c r="T27" i="21" s="1"/>
  <c r="S31" i="21"/>
  <c r="U7" i="21"/>
  <c r="U57" i="21" s="1"/>
  <c r="L13" i="21"/>
  <c r="H42" i="41" l="1"/>
  <c r="H66" i="2" s="1"/>
  <c r="H41" i="41"/>
  <c r="H46" i="2" s="1"/>
  <c r="H43" i="41"/>
  <c r="H86" i="2" s="1"/>
  <c r="I79" i="23"/>
  <c r="I30" i="41" s="1"/>
  <c r="I32" i="41" s="1"/>
  <c r="I34" i="41" s="1"/>
  <c r="I36" i="41" s="1"/>
  <c r="J77" i="23"/>
  <c r="L12" i="23"/>
  <c r="L75" i="23" s="1"/>
  <c r="K74" i="23"/>
  <c r="K73" i="23"/>
  <c r="K72" i="23"/>
  <c r="T44" i="23"/>
  <c r="T63" i="23" s="1"/>
  <c r="T43" i="23"/>
  <c r="T62" i="23" s="1"/>
  <c r="U42" i="23"/>
  <c r="U61" i="23" s="1"/>
  <c r="V39" i="23"/>
  <c r="V34" i="23"/>
  <c r="V36" i="23"/>
  <c r="R42" i="24"/>
  <c r="R43" i="24" s="1"/>
  <c r="S58" i="23"/>
  <c r="T22" i="24"/>
  <c r="T40" i="24" s="1"/>
  <c r="S68" i="26"/>
  <c r="S57" i="23"/>
  <c r="S41" i="24"/>
  <c r="S47" i="24" s="1"/>
  <c r="U28" i="23"/>
  <c r="U56" i="23" s="1"/>
  <c r="T30" i="23"/>
  <c r="T29" i="23"/>
  <c r="U14" i="23"/>
  <c r="T68" i="26"/>
  <c r="R68" i="24"/>
  <c r="R74" i="24" s="1"/>
  <c r="M13" i="22"/>
  <c r="M33" i="22" s="1"/>
  <c r="M34" i="22" s="1"/>
  <c r="U47" i="21"/>
  <c r="U48" i="21"/>
  <c r="U46" i="21"/>
  <c r="U45" i="21"/>
  <c r="V72" i="2"/>
  <c r="V80" i="2"/>
  <c r="V92" i="2" s="1"/>
  <c r="W40" i="2"/>
  <c r="W60" i="2" s="1"/>
  <c r="V52" i="2"/>
  <c r="Q75" i="24"/>
  <c r="S68" i="24"/>
  <c r="S74" i="24" s="1"/>
  <c r="S67" i="24"/>
  <c r="S46" i="24"/>
  <c r="T16" i="21"/>
  <c r="T31" i="21" s="1"/>
  <c r="R73" i="24"/>
  <c r="V49" i="23"/>
  <c r="V51" i="23"/>
  <c r="V20" i="23"/>
  <c r="V25" i="23"/>
  <c r="V22" i="23"/>
  <c r="V10" i="23"/>
  <c r="V9" i="23"/>
  <c r="V11" i="23"/>
  <c r="W7" i="23"/>
  <c r="U10" i="21"/>
  <c r="U17" i="21" s="1"/>
  <c r="U11" i="21"/>
  <c r="V22" i="22"/>
  <c r="V23" i="22" s="1"/>
  <c r="V10" i="22"/>
  <c r="U16" i="22"/>
  <c r="U27" i="22" s="1"/>
  <c r="U45" i="22" s="1"/>
  <c r="U17" i="22"/>
  <c r="U28" i="22" s="1"/>
  <c r="U46" i="22" s="1"/>
  <c r="S36" i="21"/>
  <c r="R40" i="21"/>
  <c r="R72" i="21" s="1"/>
  <c r="R68" i="2" s="1"/>
  <c r="R41" i="21"/>
  <c r="R73" i="21" s="1"/>
  <c r="R88" i="2" s="1"/>
  <c r="R39" i="21"/>
  <c r="R71" i="21" s="1"/>
  <c r="R48" i="2" s="1"/>
  <c r="S62" i="21"/>
  <c r="T62" i="21"/>
  <c r="S60" i="21"/>
  <c r="T49" i="21"/>
  <c r="L38" i="22"/>
  <c r="L39" i="22"/>
  <c r="L40" i="22"/>
  <c r="T15" i="21"/>
  <c r="T30" i="21" s="1"/>
  <c r="U35" i="21"/>
  <c r="U27" i="21" s="1"/>
  <c r="V11" i="22"/>
  <c r="W7" i="22"/>
  <c r="V9" i="22"/>
  <c r="U15" i="22"/>
  <c r="U26" i="22" s="1"/>
  <c r="U44" i="22" s="1"/>
  <c r="T32" i="21"/>
  <c r="U9" i="21"/>
  <c r="V7" i="21"/>
  <c r="V57" i="21" s="1"/>
  <c r="M13" i="21"/>
  <c r="I42" i="41" l="1"/>
  <c r="I66" i="2" s="1"/>
  <c r="I41" i="41"/>
  <c r="I46" i="2" s="1"/>
  <c r="I43" i="41"/>
  <c r="I86" i="2" s="1"/>
  <c r="J79" i="23"/>
  <c r="J30" i="41" s="1"/>
  <c r="J32" i="41" s="1"/>
  <c r="J34" i="41" s="1"/>
  <c r="J36" i="41" s="1"/>
  <c r="K77" i="23"/>
  <c r="M12" i="23"/>
  <c r="M75" i="23" s="1"/>
  <c r="L74" i="23"/>
  <c r="L73" i="23"/>
  <c r="L72" i="23"/>
  <c r="U43" i="23"/>
  <c r="U62" i="23" s="1"/>
  <c r="U44" i="23"/>
  <c r="U63" i="23" s="1"/>
  <c r="V42" i="23"/>
  <c r="V61" i="23" s="1"/>
  <c r="W34" i="23"/>
  <c r="W39" i="23"/>
  <c r="W36" i="23"/>
  <c r="T41" i="24"/>
  <c r="T47" i="24" s="1"/>
  <c r="U22" i="24"/>
  <c r="U41" i="24" s="1"/>
  <c r="U47" i="24" s="1"/>
  <c r="S42" i="24"/>
  <c r="S43" i="24" s="1"/>
  <c r="T57" i="23"/>
  <c r="T58" i="23"/>
  <c r="N13" i="22"/>
  <c r="N33" i="22" s="1"/>
  <c r="N34" i="22" s="1"/>
  <c r="S48" i="24"/>
  <c r="V14" i="23"/>
  <c r="V28" i="23"/>
  <c r="V56" i="23" s="1"/>
  <c r="U29" i="23"/>
  <c r="U30" i="23"/>
  <c r="T53" i="24"/>
  <c r="T67" i="24" s="1"/>
  <c r="R75" i="24"/>
  <c r="R81" i="24" s="1"/>
  <c r="R81" i="2" s="1"/>
  <c r="R69" i="24"/>
  <c r="R70" i="24" s="1"/>
  <c r="V48" i="21"/>
  <c r="V47" i="21"/>
  <c r="V46" i="21"/>
  <c r="V45" i="21"/>
  <c r="U16" i="21"/>
  <c r="U61" i="21" s="1"/>
  <c r="W72" i="2"/>
  <c r="W80" i="2"/>
  <c r="W92" i="2" s="1"/>
  <c r="X40" i="2"/>
  <c r="X60" i="2" s="1"/>
  <c r="W52" i="2"/>
  <c r="U53" i="24"/>
  <c r="T46" i="24"/>
  <c r="Q80" i="24"/>
  <c r="Q61" i="2" s="1"/>
  <c r="Q79" i="24"/>
  <c r="Q41" i="2" s="1"/>
  <c r="Q81" i="24"/>
  <c r="Q81" i="2" s="1"/>
  <c r="S69" i="24"/>
  <c r="S70" i="24" s="1"/>
  <c r="S73" i="24"/>
  <c r="S75" i="24" s="1"/>
  <c r="W49" i="23"/>
  <c r="W51" i="23"/>
  <c r="W20" i="23"/>
  <c r="W25" i="23"/>
  <c r="W22" i="23"/>
  <c r="W9" i="23"/>
  <c r="W11" i="23"/>
  <c r="W10" i="23"/>
  <c r="X7" i="23"/>
  <c r="V10" i="21"/>
  <c r="V16" i="21" s="1"/>
  <c r="V11" i="21"/>
  <c r="W22" i="22"/>
  <c r="W23" i="22" s="1"/>
  <c r="W10" i="22"/>
  <c r="V16" i="22"/>
  <c r="V27" i="22" s="1"/>
  <c r="V45" i="22" s="1"/>
  <c r="V17" i="22"/>
  <c r="V28" i="22" s="1"/>
  <c r="V46" i="22" s="1"/>
  <c r="T36" i="21"/>
  <c r="S39" i="21"/>
  <c r="S71" i="21" s="1"/>
  <c r="S48" i="2" s="1"/>
  <c r="S40" i="21"/>
  <c r="S72" i="21" s="1"/>
  <c r="S68" i="2" s="1"/>
  <c r="S41" i="21"/>
  <c r="S73" i="21" s="1"/>
  <c r="S88" i="2" s="1"/>
  <c r="T60" i="21"/>
  <c r="T61" i="21"/>
  <c r="U49" i="21"/>
  <c r="M38" i="22"/>
  <c r="M39" i="22"/>
  <c r="M40" i="22"/>
  <c r="V9" i="21"/>
  <c r="V35" i="21"/>
  <c r="V27" i="21" s="1"/>
  <c r="W11" i="22"/>
  <c r="W9" i="22"/>
  <c r="X7" i="22"/>
  <c r="V15" i="22"/>
  <c r="V26" i="22" s="1"/>
  <c r="V44" i="22" s="1"/>
  <c r="W7" i="21"/>
  <c r="W57" i="21" s="1"/>
  <c r="U32" i="21"/>
  <c r="U15" i="21"/>
  <c r="U30" i="21" s="1"/>
  <c r="N13" i="21"/>
  <c r="J41" i="41" l="1"/>
  <c r="J46" i="2" s="1"/>
  <c r="J42" i="41"/>
  <c r="J66" i="2" s="1"/>
  <c r="J43" i="41"/>
  <c r="J86" i="2" s="1"/>
  <c r="K79" i="23"/>
  <c r="K30" i="41" s="1"/>
  <c r="K32" i="41" s="1"/>
  <c r="K34" i="41" s="1"/>
  <c r="K36" i="41" s="1"/>
  <c r="L77" i="23"/>
  <c r="N12" i="23"/>
  <c r="N75" i="23" s="1"/>
  <c r="M73" i="23"/>
  <c r="M72" i="23"/>
  <c r="M74" i="23"/>
  <c r="T42" i="24"/>
  <c r="T43" i="24" s="1"/>
  <c r="T48" i="24"/>
  <c r="X34" i="23"/>
  <c r="X39" i="23"/>
  <c r="X36" i="23"/>
  <c r="W42" i="23"/>
  <c r="W61" i="23" s="1"/>
  <c r="V44" i="23"/>
  <c r="V63" i="23" s="1"/>
  <c r="V43" i="23"/>
  <c r="V62" i="23" s="1"/>
  <c r="U40" i="24"/>
  <c r="U46" i="24" s="1"/>
  <c r="U48" i="24" s="1"/>
  <c r="O13" i="22"/>
  <c r="O33" i="22" s="1"/>
  <c r="O34" i="22" s="1"/>
  <c r="U58" i="23"/>
  <c r="V22" i="24"/>
  <c r="V41" i="24" s="1"/>
  <c r="V47" i="24" s="1"/>
  <c r="W14" i="23"/>
  <c r="W28" i="23"/>
  <c r="W56" i="23" s="1"/>
  <c r="S79" i="24"/>
  <c r="S41" i="2" s="1"/>
  <c r="V29" i="23"/>
  <c r="V30" i="23"/>
  <c r="U68" i="26"/>
  <c r="U57" i="23"/>
  <c r="T68" i="24"/>
  <c r="T74" i="24" s="1"/>
  <c r="R80" i="24"/>
  <c r="R61" i="2" s="1"/>
  <c r="R79" i="24"/>
  <c r="R41" i="2" s="1"/>
  <c r="W48" i="21"/>
  <c r="W46" i="21"/>
  <c r="W45" i="21"/>
  <c r="W47" i="21"/>
  <c r="U31" i="21"/>
  <c r="X72" i="2"/>
  <c r="X80" i="2"/>
  <c r="X92" i="2" s="1"/>
  <c r="Y40" i="2"/>
  <c r="Y60" i="2" s="1"/>
  <c r="X52" i="2"/>
  <c r="S81" i="24"/>
  <c r="S81" i="2" s="1"/>
  <c r="S80" i="24"/>
  <c r="S61" i="2" s="1"/>
  <c r="V68" i="26"/>
  <c r="V17" i="21"/>
  <c r="V32" i="21" s="1"/>
  <c r="U68" i="24"/>
  <c r="U74" i="24" s="1"/>
  <c r="U67" i="24"/>
  <c r="T73" i="24"/>
  <c r="V15" i="21"/>
  <c r="V30" i="21" s="1"/>
  <c r="V53" i="24"/>
  <c r="X49" i="23"/>
  <c r="X51" i="23"/>
  <c r="X20" i="23"/>
  <c r="X25" i="23"/>
  <c r="X22" i="23"/>
  <c r="Y7" i="23"/>
  <c r="X11" i="23"/>
  <c r="X10" i="23"/>
  <c r="X9" i="23"/>
  <c r="W10" i="21"/>
  <c r="W16" i="21" s="1"/>
  <c r="W11" i="21"/>
  <c r="W16" i="22"/>
  <c r="W27" i="22" s="1"/>
  <c r="W45" i="22" s="1"/>
  <c r="W17" i="22"/>
  <c r="W28" i="22" s="1"/>
  <c r="W46" i="22" s="1"/>
  <c r="X22" i="22"/>
  <c r="X23" i="22" s="1"/>
  <c r="X10" i="22"/>
  <c r="U36" i="21"/>
  <c r="T41" i="21"/>
  <c r="T73" i="21" s="1"/>
  <c r="T88" i="2" s="1"/>
  <c r="T39" i="21"/>
  <c r="T71" i="21" s="1"/>
  <c r="T48" i="2" s="1"/>
  <c r="T40" i="21"/>
  <c r="T72" i="21" s="1"/>
  <c r="T68" i="2" s="1"/>
  <c r="V61" i="21"/>
  <c r="U62" i="21"/>
  <c r="U60" i="21"/>
  <c r="V49" i="21"/>
  <c r="N38" i="22"/>
  <c r="N39" i="22"/>
  <c r="N40" i="22"/>
  <c r="W35" i="21"/>
  <c r="W27" i="21" s="1"/>
  <c r="X7" i="21"/>
  <c r="X57" i="21" s="1"/>
  <c r="W9" i="21"/>
  <c r="Y7" i="22"/>
  <c r="X9" i="22"/>
  <c r="X11" i="22"/>
  <c r="W15" i="22"/>
  <c r="W26" i="22" s="1"/>
  <c r="W44" i="22" s="1"/>
  <c r="O13" i="21"/>
  <c r="V31" i="21"/>
  <c r="K41" i="41" l="1"/>
  <c r="K46" i="2" s="1"/>
  <c r="K43" i="41"/>
  <c r="K86" i="2" s="1"/>
  <c r="K42" i="41"/>
  <c r="K66" i="2" s="1"/>
  <c r="L79" i="23"/>
  <c r="L30" i="41" s="1"/>
  <c r="L32" i="41" s="1"/>
  <c r="L34" i="41" s="1"/>
  <c r="L36" i="41" s="1"/>
  <c r="M77" i="23"/>
  <c r="O12" i="23"/>
  <c r="O75" i="23" s="1"/>
  <c r="N73" i="23"/>
  <c r="N72" i="23"/>
  <c r="N74" i="23"/>
  <c r="Y34" i="23"/>
  <c r="Y39" i="23"/>
  <c r="Y36" i="23"/>
  <c r="X42" i="23"/>
  <c r="X61" i="23" s="1"/>
  <c r="W44" i="23"/>
  <c r="W63" i="23" s="1"/>
  <c r="W43" i="23"/>
  <c r="W62" i="23" s="1"/>
  <c r="P13" i="22"/>
  <c r="P33" i="22" s="1"/>
  <c r="P34" i="22" s="1"/>
  <c r="U42" i="24"/>
  <c r="U43" i="24" s="1"/>
  <c r="X28" i="23"/>
  <c r="X56" i="23" s="1"/>
  <c r="V57" i="23"/>
  <c r="V58" i="23"/>
  <c r="V40" i="24"/>
  <c r="V42" i="24" s="1"/>
  <c r="V43" i="24" s="1"/>
  <c r="X14" i="23"/>
  <c r="W22" i="24"/>
  <c r="W41" i="24" s="1"/>
  <c r="W47" i="24" s="1"/>
  <c r="W30" i="23"/>
  <c r="W29" i="23"/>
  <c r="T75" i="24"/>
  <c r="T81" i="24" s="1"/>
  <c r="T81" i="2" s="1"/>
  <c r="T69" i="24"/>
  <c r="T70" i="24" s="1"/>
  <c r="X46" i="21"/>
  <c r="X45" i="21"/>
  <c r="X48" i="21"/>
  <c r="X47" i="21"/>
  <c r="Y72" i="2"/>
  <c r="Y80" i="2"/>
  <c r="Y92" i="2" s="1"/>
  <c r="Z40" i="2"/>
  <c r="Z60" i="2" s="1"/>
  <c r="Y52" i="2"/>
  <c r="V62" i="21"/>
  <c r="V60" i="21"/>
  <c r="W68" i="26"/>
  <c r="W17" i="21"/>
  <c r="W32" i="21" s="1"/>
  <c r="V68" i="24"/>
  <c r="V74" i="24" s="1"/>
  <c r="V67" i="24"/>
  <c r="U73" i="24"/>
  <c r="U75" i="24" s="1"/>
  <c r="U79" i="24" s="1"/>
  <c r="U41" i="2" s="1"/>
  <c r="U69" i="24"/>
  <c r="U70" i="24" s="1"/>
  <c r="W53" i="24"/>
  <c r="Y49" i="23"/>
  <c r="Y51" i="23"/>
  <c r="Y20" i="23"/>
  <c r="Y25" i="23"/>
  <c r="Y22" i="23"/>
  <c r="Y9" i="23"/>
  <c r="Y11" i="23"/>
  <c r="Z7" i="23"/>
  <c r="Y10" i="23"/>
  <c r="X10" i="21"/>
  <c r="X17" i="21" s="1"/>
  <c r="X11" i="21"/>
  <c r="X17" i="22"/>
  <c r="X28" i="22" s="1"/>
  <c r="X46" i="22" s="1"/>
  <c r="X16" i="22"/>
  <c r="X27" i="22" s="1"/>
  <c r="X45" i="22" s="1"/>
  <c r="Y22" i="22"/>
  <c r="Y23" i="22" s="1"/>
  <c r="Y10" i="22"/>
  <c r="V36" i="21"/>
  <c r="U41" i="21"/>
  <c r="U73" i="21" s="1"/>
  <c r="U88" i="2" s="1"/>
  <c r="U39" i="21"/>
  <c r="U71" i="21" s="1"/>
  <c r="U48" i="2" s="1"/>
  <c r="U40" i="21"/>
  <c r="U72" i="21" s="1"/>
  <c r="U68" i="2" s="1"/>
  <c r="W49" i="21"/>
  <c r="O39" i="22"/>
  <c r="O40" i="22"/>
  <c r="O38" i="22"/>
  <c r="W15" i="21"/>
  <c r="W30" i="21" s="1"/>
  <c r="W31" i="21"/>
  <c r="Y7" i="21"/>
  <c r="Y57" i="21" s="1"/>
  <c r="X9" i="21"/>
  <c r="X35" i="21"/>
  <c r="X27" i="21" s="1"/>
  <c r="Z7" i="22"/>
  <c r="Y9" i="22"/>
  <c r="Y11" i="22"/>
  <c r="X15" i="22"/>
  <c r="X26" i="22" s="1"/>
  <c r="X44" i="22" s="1"/>
  <c r="P13" i="21"/>
  <c r="L43" i="41" l="1"/>
  <c r="L86" i="2" s="1"/>
  <c r="L42" i="41"/>
  <c r="L66" i="2" s="1"/>
  <c r="L41" i="41"/>
  <c r="L46" i="2" s="1"/>
  <c r="M79" i="23"/>
  <c r="M30" i="41" s="1"/>
  <c r="M32" i="41" s="1"/>
  <c r="M34" i="41" s="1"/>
  <c r="M36" i="41" s="1"/>
  <c r="N77" i="23"/>
  <c r="P12" i="23"/>
  <c r="P75" i="23" s="1"/>
  <c r="O74" i="23"/>
  <c r="O73" i="23"/>
  <c r="O72" i="23"/>
  <c r="Z34" i="23"/>
  <c r="Z39" i="23"/>
  <c r="Z36" i="23"/>
  <c r="Y42" i="23"/>
  <c r="Y61" i="23" s="1"/>
  <c r="X44" i="23"/>
  <c r="X63" i="23" s="1"/>
  <c r="X43" i="23"/>
  <c r="X62" i="23" s="1"/>
  <c r="Y28" i="23"/>
  <c r="Y56" i="23" s="1"/>
  <c r="T80" i="24"/>
  <c r="T61" i="2" s="1"/>
  <c r="X22" i="24"/>
  <c r="X41" i="24" s="1"/>
  <c r="X47" i="24" s="1"/>
  <c r="X30" i="23"/>
  <c r="X58" i="23" s="1"/>
  <c r="Q13" i="22"/>
  <c r="Q33" i="22" s="1"/>
  <c r="Q34" i="22" s="1"/>
  <c r="X29" i="23"/>
  <c r="X57" i="23" s="1"/>
  <c r="V46" i="24"/>
  <c r="V48" i="24" s="1"/>
  <c r="W57" i="23"/>
  <c r="W58" i="23"/>
  <c r="Y14" i="23"/>
  <c r="W40" i="24"/>
  <c r="W46" i="24" s="1"/>
  <c r="W48" i="24" s="1"/>
  <c r="T79" i="24"/>
  <c r="T41" i="2" s="1"/>
  <c r="Y46" i="21"/>
  <c r="Y45" i="21"/>
  <c r="Y47" i="21"/>
  <c r="Y48" i="21"/>
  <c r="Z72" i="2"/>
  <c r="Z80" i="2"/>
  <c r="Z92" i="2" s="1"/>
  <c r="AA40" i="2"/>
  <c r="AA60" i="2" s="1"/>
  <c r="Z52" i="2"/>
  <c r="W62" i="21"/>
  <c r="X15" i="21"/>
  <c r="X60" i="21" s="1"/>
  <c r="Y11" i="21"/>
  <c r="X68" i="26"/>
  <c r="U80" i="24"/>
  <c r="U61" i="2" s="1"/>
  <c r="W67" i="24"/>
  <c r="W68" i="24"/>
  <c r="W74" i="24" s="1"/>
  <c r="U81" i="24"/>
  <c r="U81" i="2" s="1"/>
  <c r="X53" i="24"/>
  <c r="V73" i="24"/>
  <c r="V75" i="24" s="1"/>
  <c r="V69" i="24"/>
  <c r="V70" i="24" s="1"/>
  <c r="Z49" i="23"/>
  <c r="Z51" i="23"/>
  <c r="Z20" i="23"/>
  <c r="Z25" i="23"/>
  <c r="Z22" i="23"/>
  <c r="Z10" i="23"/>
  <c r="Z9" i="23"/>
  <c r="AA7" i="23"/>
  <c r="Z11" i="23"/>
  <c r="X16" i="21"/>
  <c r="X31" i="21" s="1"/>
  <c r="Y16" i="22"/>
  <c r="Y27" i="22" s="1"/>
  <c r="Y45" i="22" s="1"/>
  <c r="Y17" i="22"/>
  <c r="Y28" i="22" s="1"/>
  <c r="Y46" i="22" s="1"/>
  <c r="Z22" i="22"/>
  <c r="Z23" i="22" s="1"/>
  <c r="Z10" i="22"/>
  <c r="Y9" i="21"/>
  <c r="Y10" i="21"/>
  <c r="V39" i="21"/>
  <c r="V71" i="21" s="1"/>
  <c r="V48" i="2" s="1"/>
  <c r="V40" i="21"/>
  <c r="V72" i="21" s="1"/>
  <c r="V68" i="2" s="1"/>
  <c r="V41" i="21"/>
  <c r="V73" i="21" s="1"/>
  <c r="V88" i="2" s="1"/>
  <c r="W36" i="21"/>
  <c r="W61" i="21"/>
  <c r="W60" i="21"/>
  <c r="Z7" i="21"/>
  <c r="Z57" i="21" s="1"/>
  <c r="Y35" i="21"/>
  <c r="Y27" i="21" s="1"/>
  <c r="X49" i="21"/>
  <c r="P39" i="22"/>
  <c r="P40" i="22"/>
  <c r="P38" i="22"/>
  <c r="X32" i="21"/>
  <c r="Y15" i="22"/>
  <c r="Y26" i="22" s="1"/>
  <c r="Y44" i="22" s="1"/>
  <c r="Z11" i="22"/>
  <c r="AA7" i="22"/>
  <c r="Z9" i="22"/>
  <c r="Q13" i="21"/>
  <c r="M43" i="41" l="1"/>
  <c r="M86" i="2" s="1"/>
  <c r="M41" i="41"/>
  <c r="M46" i="2" s="1"/>
  <c r="M42" i="41"/>
  <c r="M66" i="2" s="1"/>
  <c r="N79" i="23"/>
  <c r="N30" i="41" s="1"/>
  <c r="N32" i="41" s="1"/>
  <c r="N34" i="41" s="1"/>
  <c r="N36" i="41" s="1"/>
  <c r="O77" i="23"/>
  <c r="Q12" i="23"/>
  <c r="Q75" i="23" s="1"/>
  <c r="P73" i="23"/>
  <c r="P72" i="23"/>
  <c r="P74" i="23"/>
  <c r="AA39" i="23"/>
  <c r="AA36" i="23"/>
  <c r="AA34" i="23"/>
  <c r="Z42" i="23"/>
  <c r="Z61" i="23" s="1"/>
  <c r="Y44" i="23"/>
  <c r="Y63" i="23" s="1"/>
  <c r="Y43" i="23"/>
  <c r="Y62" i="23" s="1"/>
  <c r="X40" i="24"/>
  <c r="X46" i="24" s="1"/>
  <c r="X48" i="24" s="1"/>
  <c r="Y29" i="23"/>
  <c r="Y57" i="23" s="1"/>
  <c r="Y22" i="24"/>
  <c r="Y41" i="24" s="1"/>
  <c r="Y47" i="24" s="1"/>
  <c r="Z28" i="23"/>
  <c r="Z56" i="23" s="1"/>
  <c r="Y30" i="23"/>
  <c r="Y58" i="23" s="1"/>
  <c r="R13" i="22"/>
  <c r="R33" i="22" s="1"/>
  <c r="R34" i="22" s="1"/>
  <c r="Z14" i="23"/>
  <c r="W42" i="24"/>
  <c r="W43" i="24" s="1"/>
  <c r="V81" i="24"/>
  <c r="V81" i="2" s="1"/>
  <c r="Z46" i="21"/>
  <c r="Z47" i="21"/>
  <c r="Z45" i="21"/>
  <c r="Z48" i="21"/>
  <c r="X30" i="21"/>
  <c r="AA72" i="2"/>
  <c r="AA80" i="2"/>
  <c r="AA92" i="2" s="1"/>
  <c r="AB40" i="2"/>
  <c r="AB60" i="2" s="1"/>
  <c r="AA52" i="2"/>
  <c r="Z11" i="21"/>
  <c r="Y68" i="26"/>
  <c r="X68" i="24"/>
  <c r="X74" i="24" s="1"/>
  <c r="X67" i="24"/>
  <c r="Y53" i="24"/>
  <c r="V79" i="24"/>
  <c r="V41" i="2" s="1"/>
  <c r="W73" i="24"/>
  <c r="W75" i="24" s="1"/>
  <c r="W81" i="24" s="1"/>
  <c r="W81" i="2" s="1"/>
  <c r="W69" i="24"/>
  <c r="W70" i="24" s="1"/>
  <c r="V80" i="24"/>
  <c r="V61" i="2" s="1"/>
  <c r="AA49" i="23"/>
  <c r="AA51" i="23"/>
  <c r="AA20" i="23"/>
  <c r="AA25" i="23"/>
  <c r="AA22" i="23"/>
  <c r="AA11" i="23"/>
  <c r="AA9" i="23"/>
  <c r="AA10" i="23"/>
  <c r="AB7" i="23"/>
  <c r="Y17" i="21"/>
  <c r="Y32" i="21" s="1"/>
  <c r="Y16" i="21"/>
  <c r="Y31" i="21" s="1"/>
  <c r="AA22" i="22"/>
  <c r="AA23" i="22" s="1"/>
  <c r="AA10" i="22"/>
  <c r="Z17" i="22"/>
  <c r="Z28" i="22" s="1"/>
  <c r="Z46" i="22" s="1"/>
  <c r="Z16" i="22"/>
  <c r="Z27" i="22" s="1"/>
  <c r="Z45" i="22" s="1"/>
  <c r="Z35" i="21"/>
  <c r="Z27" i="21" s="1"/>
  <c r="Z10" i="21"/>
  <c r="X36" i="21"/>
  <c r="W39" i="21"/>
  <c r="W71" i="21" s="1"/>
  <c r="W48" i="2" s="1"/>
  <c r="W40" i="21"/>
  <c r="W72" i="21" s="1"/>
  <c r="W68" i="2" s="1"/>
  <c r="W41" i="21"/>
  <c r="W73" i="21" s="1"/>
  <c r="W88" i="2" s="1"/>
  <c r="X62" i="21"/>
  <c r="X61" i="21"/>
  <c r="AA7" i="21"/>
  <c r="AA57" i="21" s="1"/>
  <c r="Z9" i="21"/>
  <c r="Y49" i="21"/>
  <c r="Q40" i="22"/>
  <c r="Q38" i="22"/>
  <c r="Q39" i="22"/>
  <c r="Y15" i="21"/>
  <c r="Y30" i="21" s="1"/>
  <c r="Z15" i="22"/>
  <c r="Z26" i="22" s="1"/>
  <c r="Z44" i="22" s="1"/>
  <c r="AA11" i="22"/>
  <c r="AB7" i="22"/>
  <c r="AA9" i="22"/>
  <c r="R13" i="21"/>
  <c r="N41" i="41" l="1"/>
  <c r="N46" i="2" s="1"/>
  <c r="N42" i="41"/>
  <c r="N66" i="2" s="1"/>
  <c r="N43" i="41"/>
  <c r="N86" i="2" s="1"/>
  <c r="O79" i="23"/>
  <c r="O30" i="41" s="1"/>
  <c r="O32" i="41" s="1"/>
  <c r="O34" i="41" s="1"/>
  <c r="O36" i="41" s="1"/>
  <c r="P77" i="23"/>
  <c r="R12" i="23"/>
  <c r="R75" i="23" s="1"/>
  <c r="Q73" i="23"/>
  <c r="Q72" i="23"/>
  <c r="Q74" i="23"/>
  <c r="AA42" i="23"/>
  <c r="AA61" i="23" s="1"/>
  <c r="Z44" i="23"/>
  <c r="Z63" i="23" s="1"/>
  <c r="Z43" i="23"/>
  <c r="Z62" i="23" s="1"/>
  <c r="AB39" i="23"/>
  <c r="AB36" i="23"/>
  <c r="AB34" i="23"/>
  <c r="Y40" i="24"/>
  <c r="Y42" i="24" s="1"/>
  <c r="Y43" i="24" s="1"/>
  <c r="X42" i="24"/>
  <c r="X43" i="24" s="1"/>
  <c r="AA28" i="23"/>
  <c r="AA56" i="23" s="1"/>
  <c r="Z29" i="23"/>
  <c r="Z57" i="23" s="1"/>
  <c r="Z30" i="23"/>
  <c r="Z58" i="23" s="1"/>
  <c r="S13" i="22"/>
  <c r="S33" i="22" s="1"/>
  <c r="S34" i="22" s="1"/>
  <c r="Z22" i="24"/>
  <c r="Z40" i="24" s="1"/>
  <c r="AA14" i="23"/>
  <c r="AA46" i="21"/>
  <c r="AA45" i="21"/>
  <c r="AA47" i="21"/>
  <c r="AA48" i="21"/>
  <c r="AB72" i="2"/>
  <c r="AB80" i="2"/>
  <c r="AB92" i="2" s="1"/>
  <c r="AC40" i="2"/>
  <c r="AC60" i="2" s="1"/>
  <c r="AB52" i="2"/>
  <c r="Y62" i="21"/>
  <c r="W79" i="24"/>
  <c r="W41" i="2" s="1"/>
  <c r="AA11" i="21"/>
  <c r="Z68" i="26"/>
  <c r="W80" i="24"/>
  <c r="W61" i="2" s="1"/>
  <c r="X73" i="24"/>
  <c r="X75" i="24" s="1"/>
  <c r="X81" i="24" s="1"/>
  <c r="X81" i="2" s="1"/>
  <c r="X69" i="24"/>
  <c r="X70" i="24" s="1"/>
  <c r="Y68" i="24"/>
  <c r="Y74" i="24" s="1"/>
  <c r="Y67" i="24"/>
  <c r="Z53" i="24"/>
  <c r="AB49" i="23"/>
  <c r="AB51" i="23"/>
  <c r="AB20" i="23"/>
  <c r="AB25" i="23"/>
  <c r="AB22" i="23"/>
  <c r="AC7" i="23"/>
  <c r="AB9" i="23"/>
  <c r="AB11" i="23"/>
  <c r="AB10" i="23"/>
  <c r="Z16" i="21"/>
  <c r="Z31" i="21" s="1"/>
  <c r="Z17" i="21"/>
  <c r="Z62" i="21" s="1"/>
  <c r="AA16" i="22"/>
  <c r="AA27" i="22" s="1"/>
  <c r="AA45" i="22" s="1"/>
  <c r="AA17" i="22"/>
  <c r="AA28" i="22" s="1"/>
  <c r="AA46" i="22" s="1"/>
  <c r="AB22" i="22"/>
  <c r="AB23" i="22" s="1"/>
  <c r="AB10" i="22"/>
  <c r="AA10" i="21"/>
  <c r="Y36" i="21"/>
  <c r="X40" i="21"/>
  <c r="X72" i="21" s="1"/>
  <c r="X68" i="2" s="1"/>
  <c r="X41" i="21"/>
  <c r="X73" i="21" s="1"/>
  <c r="X88" i="2" s="1"/>
  <c r="X39" i="21"/>
  <c r="X71" i="21" s="1"/>
  <c r="X48" i="2" s="1"/>
  <c r="Y61" i="21"/>
  <c r="AA35" i="21"/>
  <c r="AA27" i="21" s="1"/>
  <c r="AB7" i="21"/>
  <c r="AB57" i="21" s="1"/>
  <c r="Y60" i="21"/>
  <c r="AA9" i="21"/>
  <c r="Z49" i="21"/>
  <c r="Z15" i="21"/>
  <c r="Z30" i="21" s="1"/>
  <c r="R40" i="22"/>
  <c r="R38" i="22"/>
  <c r="R39" i="22"/>
  <c r="AB9" i="22"/>
  <c r="AC7" i="22"/>
  <c r="AB11" i="22"/>
  <c r="AA15" i="22"/>
  <c r="AA26" i="22" s="1"/>
  <c r="AA44" i="22" s="1"/>
  <c r="S13" i="21"/>
  <c r="O42" i="41" l="1"/>
  <c r="O66" i="2" s="1"/>
  <c r="O41" i="41"/>
  <c r="O46" i="2" s="1"/>
  <c r="O43" i="41"/>
  <c r="O86" i="2" s="1"/>
  <c r="P79" i="23"/>
  <c r="P30" i="41" s="1"/>
  <c r="P32" i="41" s="1"/>
  <c r="P34" i="41" s="1"/>
  <c r="P36" i="41" s="1"/>
  <c r="Q77" i="23"/>
  <c r="S12" i="23"/>
  <c r="S75" i="23" s="1"/>
  <c r="R73" i="23"/>
  <c r="R72" i="23"/>
  <c r="R74" i="23"/>
  <c r="AC36" i="23"/>
  <c r="AC34" i="23"/>
  <c r="AC39" i="23"/>
  <c r="AB42" i="23"/>
  <c r="AB61" i="23" s="1"/>
  <c r="AA44" i="23"/>
  <c r="AA63" i="23" s="1"/>
  <c r="AA43" i="23"/>
  <c r="AA62" i="23" s="1"/>
  <c r="Y46" i="24"/>
  <c r="Y48" i="24" s="1"/>
  <c r="T13" i="22"/>
  <c r="T33" i="22" s="1"/>
  <c r="T34" i="22" s="1"/>
  <c r="AA30" i="23"/>
  <c r="AA58" i="23" s="1"/>
  <c r="AA22" i="24"/>
  <c r="AA40" i="24" s="1"/>
  <c r="AB28" i="23"/>
  <c r="AB56" i="23" s="1"/>
  <c r="AA29" i="23"/>
  <c r="AA57" i="23" s="1"/>
  <c r="Z41" i="24"/>
  <c r="Z47" i="24" s="1"/>
  <c r="AB14" i="23"/>
  <c r="AB45" i="21"/>
  <c r="AB47" i="21"/>
  <c r="AB48" i="21"/>
  <c r="AB46" i="21"/>
  <c r="AC72" i="2"/>
  <c r="AC80" i="2"/>
  <c r="AC92" i="2" s="1"/>
  <c r="AD40" i="2"/>
  <c r="AD60" i="2" s="1"/>
  <c r="AC52" i="2"/>
  <c r="AA49" i="21"/>
  <c r="AB11" i="21"/>
  <c r="X79" i="24"/>
  <c r="X41" i="2" s="1"/>
  <c r="X80" i="24"/>
  <c r="X61" i="2" s="1"/>
  <c r="AA68" i="26"/>
  <c r="Z68" i="24"/>
  <c r="Z74" i="24" s="1"/>
  <c r="Z67" i="24"/>
  <c r="Y73" i="24"/>
  <c r="Y75" i="24" s="1"/>
  <c r="Y69" i="24"/>
  <c r="Y70" i="24" s="1"/>
  <c r="AA53" i="24"/>
  <c r="Z46" i="24"/>
  <c r="AC49" i="23"/>
  <c r="AC51" i="23"/>
  <c r="AC20" i="23"/>
  <c r="AC25" i="23"/>
  <c r="AC22" i="23"/>
  <c r="AC10" i="23"/>
  <c r="AD7" i="23"/>
  <c r="AC9" i="23"/>
  <c r="AC11" i="23"/>
  <c r="Z32" i="21"/>
  <c r="Z36" i="21" s="1"/>
  <c r="AA16" i="21"/>
  <c r="AA61" i="21" s="1"/>
  <c r="AA17" i="21"/>
  <c r="AA32" i="21" s="1"/>
  <c r="AC22" i="22"/>
  <c r="AC23" i="22" s="1"/>
  <c r="AC10" i="22"/>
  <c r="AB16" i="22"/>
  <c r="AB27" i="22" s="1"/>
  <c r="AB45" i="22" s="1"/>
  <c r="AB17" i="22"/>
  <c r="AB28" i="22" s="1"/>
  <c r="AB46" i="22" s="1"/>
  <c r="AB9" i="21"/>
  <c r="AB10" i="21"/>
  <c r="Y41" i="21"/>
  <c r="Y73" i="21" s="1"/>
  <c r="Y88" i="2" s="1"/>
  <c r="Y39" i="21"/>
  <c r="Y71" i="21" s="1"/>
  <c r="Y48" i="2" s="1"/>
  <c r="Y40" i="21"/>
  <c r="Y72" i="21" s="1"/>
  <c r="Y68" i="2" s="1"/>
  <c r="Z61" i="21"/>
  <c r="AC7" i="21"/>
  <c r="AC57" i="21" s="1"/>
  <c r="AB35" i="21"/>
  <c r="AB27" i="21" s="1"/>
  <c r="AA15" i="21"/>
  <c r="Z60" i="21"/>
  <c r="S38" i="22"/>
  <c r="S39" i="22"/>
  <c r="S40" i="22"/>
  <c r="AD7" i="22"/>
  <c r="AC11" i="22"/>
  <c r="AC9" i="22"/>
  <c r="AB15" i="22"/>
  <c r="AB26" i="22" s="1"/>
  <c r="AB44" i="22" s="1"/>
  <c r="T13" i="21"/>
  <c r="P41" i="41" l="1"/>
  <c r="P46" i="2" s="1"/>
  <c r="P42" i="41"/>
  <c r="P66" i="2" s="1"/>
  <c r="P43" i="41"/>
  <c r="P86" i="2" s="1"/>
  <c r="R77" i="23"/>
  <c r="Q79" i="23"/>
  <c r="Q30" i="41" s="1"/>
  <c r="Q32" i="41" s="1"/>
  <c r="Q34" i="41" s="1"/>
  <c r="Q36" i="41" s="1"/>
  <c r="S74" i="23"/>
  <c r="T12" i="23"/>
  <c r="T75" i="23" s="1"/>
  <c r="S73" i="23"/>
  <c r="S72" i="23"/>
  <c r="AB44" i="23"/>
  <c r="AB63" i="23" s="1"/>
  <c r="AB43" i="23"/>
  <c r="AB62" i="23" s="1"/>
  <c r="AC42" i="23"/>
  <c r="AC61" i="23" s="1"/>
  <c r="AD36" i="23"/>
  <c r="AD34" i="23"/>
  <c r="AD39" i="23"/>
  <c r="U13" i="22"/>
  <c r="U33" i="22" s="1"/>
  <c r="U34" i="22" s="1"/>
  <c r="Y79" i="24"/>
  <c r="Y41" i="2" s="1"/>
  <c r="AA41" i="24"/>
  <c r="AA47" i="24" s="1"/>
  <c r="Z42" i="24"/>
  <c r="Z43" i="24" s="1"/>
  <c r="Z48" i="24"/>
  <c r="AC28" i="23"/>
  <c r="AC56" i="23" s="1"/>
  <c r="AB29" i="23"/>
  <c r="AB57" i="23" s="1"/>
  <c r="AB22" i="24"/>
  <c r="AB41" i="24" s="1"/>
  <c r="AB47" i="24" s="1"/>
  <c r="AB30" i="23"/>
  <c r="AB58" i="23" s="1"/>
  <c r="AC14" i="23"/>
  <c r="AC47" i="21"/>
  <c r="AC48" i="21"/>
  <c r="AC45" i="21"/>
  <c r="AC46" i="21"/>
  <c r="AB49" i="21"/>
  <c r="AD72" i="2"/>
  <c r="AD80" i="2"/>
  <c r="AD92" i="2" s="1"/>
  <c r="AE40" i="2"/>
  <c r="AE60" i="2" s="1"/>
  <c r="AD52" i="2"/>
  <c r="AC11" i="21"/>
  <c r="AB68" i="26"/>
  <c r="AA31" i="21"/>
  <c r="Y81" i="24"/>
  <c r="Y81" i="2" s="1"/>
  <c r="AA68" i="24"/>
  <c r="AA74" i="24" s="1"/>
  <c r="AA67" i="24"/>
  <c r="AA46" i="24"/>
  <c r="Z73" i="24"/>
  <c r="Z75" i="24" s="1"/>
  <c r="Z69" i="24"/>
  <c r="Z70" i="24" s="1"/>
  <c r="AB53" i="24"/>
  <c r="Y80" i="24"/>
  <c r="Y61" i="2" s="1"/>
  <c r="AD49" i="23"/>
  <c r="AD51" i="23"/>
  <c r="AD20" i="23"/>
  <c r="AD25" i="23"/>
  <c r="AD22" i="23"/>
  <c r="AD10" i="23"/>
  <c r="AE7" i="23"/>
  <c r="AD11" i="23"/>
  <c r="AD9" i="23"/>
  <c r="AB17" i="21"/>
  <c r="AB32" i="21" s="1"/>
  <c r="AB16" i="21"/>
  <c r="AB61" i="21" s="1"/>
  <c r="AD22" i="22"/>
  <c r="AD23" i="22" s="1"/>
  <c r="AD10" i="22"/>
  <c r="AC17" i="22"/>
  <c r="AC28" i="22" s="1"/>
  <c r="AC46" i="22" s="1"/>
  <c r="AC16" i="22"/>
  <c r="AC27" i="22" s="1"/>
  <c r="AC45" i="22" s="1"/>
  <c r="AD7" i="21"/>
  <c r="AD57" i="21" s="1"/>
  <c r="AC10" i="21"/>
  <c r="AA36" i="21"/>
  <c r="Z39" i="21"/>
  <c r="Z71" i="21" s="1"/>
  <c r="Z48" i="2" s="1"/>
  <c r="Z40" i="21"/>
  <c r="Z72" i="21" s="1"/>
  <c r="Z68" i="2" s="1"/>
  <c r="Z41" i="21"/>
  <c r="Z73" i="21" s="1"/>
  <c r="Z88" i="2" s="1"/>
  <c r="AA62" i="21"/>
  <c r="AB15" i="21"/>
  <c r="AB60" i="21" s="1"/>
  <c r="AC35" i="21"/>
  <c r="AC27" i="21" s="1"/>
  <c r="AA30" i="21"/>
  <c r="AA60" i="21"/>
  <c r="AC9" i="21"/>
  <c r="T38" i="22"/>
  <c r="T39" i="22"/>
  <c r="T40" i="22"/>
  <c r="AC15" i="22"/>
  <c r="AC26" i="22" s="1"/>
  <c r="AC44" i="22" s="1"/>
  <c r="AD11" i="22"/>
  <c r="AE7" i="22"/>
  <c r="AD9" i="22"/>
  <c r="U13" i="21"/>
  <c r="Q41" i="41" l="1"/>
  <c r="Q46" i="2" s="1"/>
  <c r="Q42" i="41"/>
  <c r="Q66" i="2" s="1"/>
  <c r="Q43" i="41"/>
  <c r="Q86" i="2" s="1"/>
  <c r="R79" i="23"/>
  <c r="R30" i="41" s="1"/>
  <c r="R32" i="41" s="1"/>
  <c r="R34" i="41" s="1"/>
  <c r="R36" i="41" s="1"/>
  <c r="S77" i="23"/>
  <c r="U12" i="23"/>
  <c r="U75" i="23" s="1"/>
  <c r="T74" i="23"/>
  <c r="T73" i="23"/>
  <c r="T72" i="23"/>
  <c r="AE34" i="23"/>
  <c r="AE39" i="23"/>
  <c r="AE36" i="23"/>
  <c r="AC43" i="23"/>
  <c r="AC62" i="23" s="1"/>
  <c r="AD42" i="23"/>
  <c r="AD61" i="23" s="1"/>
  <c r="AC44" i="23"/>
  <c r="AC63" i="23" s="1"/>
  <c r="V13" i="22"/>
  <c r="V33" i="22" s="1"/>
  <c r="V34" i="22" s="1"/>
  <c r="AC22" i="24"/>
  <c r="AC40" i="24" s="1"/>
  <c r="AA48" i="24"/>
  <c r="AD28" i="23"/>
  <c r="AD56" i="23" s="1"/>
  <c r="Z81" i="24"/>
  <c r="Z81" i="2" s="1"/>
  <c r="AA42" i="24"/>
  <c r="AA43" i="24" s="1"/>
  <c r="AC30" i="23"/>
  <c r="AC58" i="23" s="1"/>
  <c r="AC29" i="23"/>
  <c r="AC57" i="23" s="1"/>
  <c r="AB40" i="24"/>
  <c r="AB42" i="24" s="1"/>
  <c r="AB43" i="24" s="1"/>
  <c r="AD14" i="23"/>
  <c r="AD48" i="21"/>
  <c r="AD45" i="21"/>
  <c r="AD47" i="21"/>
  <c r="AD46" i="21"/>
  <c r="AE72" i="2"/>
  <c r="AE80" i="2"/>
  <c r="AE92" i="2" s="1"/>
  <c r="AF40" i="2"/>
  <c r="AF60" i="2" s="1"/>
  <c r="AE52" i="2"/>
  <c r="AC49" i="21"/>
  <c r="AD35" i="21"/>
  <c r="AD27" i="21" s="1"/>
  <c r="AB62" i="21"/>
  <c r="AC68" i="26"/>
  <c r="Z79" i="24"/>
  <c r="Z41" i="2" s="1"/>
  <c r="Z80" i="24"/>
  <c r="Z61" i="2" s="1"/>
  <c r="AC53" i="24"/>
  <c r="AB67" i="24"/>
  <c r="AB68" i="24"/>
  <c r="AB74" i="24" s="1"/>
  <c r="AA73" i="24"/>
  <c r="AA75" i="24" s="1"/>
  <c r="AA69" i="24"/>
  <c r="AA70" i="24" s="1"/>
  <c r="AE49" i="23"/>
  <c r="AE51" i="23"/>
  <c r="AE20" i="23"/>
  <c r="AE25" i="23"/>
  <c r="AE22" i="23"/>
  <c r="AE9" i="23"/>
  <c r="AE10" i="23"/>
  <c r="AE11" i="23"/>
  <c r="AF7" i="23"/>
  <c r="AD10" i="21"/>
  <c r="AD16" i="21" s="1"/>
  <c r="AD11" i="21"/>
  <c r="AC17" i="21"/>
  <c r="AC32" i="21" s="1"/>
  <c r="AC16" i="21"/>
  <c r="AC31" i="21" s="1"/>
  <c r="AE7" i="21"/>
  <c r="AE57" i="21" s="1"/>
  <c r="AD9" i="21"/>
  <c r="AD17" i="22"/>
  <c r="AD28" i="22" s="1"/>
  <c r="AD46" i="22" s="1"/>
  <c r="AD16" i="22"/>
  <c r="AD27" i="22" s="1"/>
  <c r="AD45" i="22" s="1"/>
  <c r="AE22" i="22"/>
  <c r="AE23" i="22" s="1"/>
  <c r="AE10" i="22"/>
  <c r="AB36" i="21"/>
  <c r="AA40" i="21"/>
  <c r="AA72" i="21" s="1"/>
  <c r="AA68" i="2" s="1"/>
  <c r="AA39" i="21"/>
  <c r="AA71" i="21" s="1"/>
  <c r="AA48" i="2" s="1"/>
  <c r="AA41" i="21"/>
  <c r="AA73" i="21" s="1"/>
  <c r="AA88" i="2" s="1"/>
  <c r="AB31" i="21"/>
  <c r="AC15" i="21"/>
  <c r="AC60" i="21" s="1"/>
  <c r="AB30" i="21"/>
  <c r="U38" i="22"/>
  <c r="U39" i="22"/>
  <c r="U40" i="22"/>
  <c r="AD15" i="22"/>
  <c r="AD26" i="22" s="1"/>
  <c r="AD44" i="22" s="1"/>
  <c r="AE11" i="22"/>
  <c r="AF7" i="22"/>
  <c r="AE9" i="22"/>
  <c r="V13" i="21"/>
  <c r="R43" i="41" l="1"/>
  <c r="R86" i="2" s="1"/>
  <c r="R42" i="41"/>
  <c r="R66" i="2" s="1"/>
  <c r="R41" i="41"/>
  <c r="R46" i="2" s="1"/>
  <c r="S79" i="23"/>
  <c r="S30" i="41" s="1"/>
  <c r="S32" i="41" s="1"/>
  <c r="S34" i="41" s="1"/>
  <c r="S36" i="41" s="1"/>
  <c r="T77" i="23"/>
  <c r="V12" i="23"/>
  <c r="V75" i="23" s="1"/>
  <c r="U73" i="23"/>
  <c r="U72" i="23"/>
  <c r="U74" i="23"/>
  <c r="AE42" i="23"/>
  <c r="AE61" i="23" s="1"/>
  <c r="AD44" i="23"/>
  <c r="AD63" i="23" s="1"/>
  <c r="AD43" i="23"/>
  <c r="AD62" i="23" s="1"/>
  <c r="AF34" i="23"/>
  <c r="AF39" i="23"/>
  <c r="AF36" i="23"/>
  <c r="W13" i="22"/>
  <c r="W33" i="22" s="1"/>
  <c r="W34" i="22" s="1"/>
  <c r="AC41" i="24"/>
  <c r="AC47" i="24" s="1"/>
  <c r="AD29" i="23"/>
  <c r="AD57" i="23" s="1"/>
  <c r="AA79" i="24"/>
  <c r="AA41" i="2" s="1"/>
  <c r="AD30" i="23"/>
  <c r="AD58" i="23" s="1"/>
  <c r="AE28" i="23"/>
  <c r="AE56" i="23" s="1"/>
  <c r="AD22" i="24"/>
  <c r="AD40" i="24" s="1"/>
  <c r="AB46" i="24"/>
  <c r="AB48" i="24" s="1"/>
  <c r="AE14" i="23"/>
  <c r="AE48" i="21"/>
  <c r="AE46" i="21"/>
  <c r="AE47" i="21"/>
  <c r="AE45" i="21"/>
  <c r="AF72" i="2"/>
  <c r="AF80" i="2"/>
  <c r="AF92" i="2" s="1"/>
  <c r="AG40" i="2"/>
  <c r="AG60" i="2" s="1"/>
  <c r="AF52" i="2"/>
  <c r="AD49" i="21"/>
  <c r="AE35" i="21"/>
  <c r="AE27" i="21" s="1"/>
  <c r="AC62" i="21"/>
  <c r="AD68" i="26"/>
  <c r="AD17" i="21"/>
  <c r="AD32" i="21" s="1"/>
  <c r="AA80" i="24"/>
  <c r="AA61" i="2" s="1"/>
  <c r="AD53" i="24"/>
  <c r="AA81" i="24"/>
  <c r="AA81" i="2" s="1"/>
  <c r="AC68" i="24"/>
  <c r="AC74" i="24" s="1"/>
  <c r="AC67" i="24"/>
  <c r="AC46" i="24"/>
  <c r="AD15" i="21"/>
  <c r="AD30" i="21" s="1"/>
  <c r="AB73" i="24"/>
  <c r="AB75" i="24" s="1"/>
  <c r="AB69" i="24"/>
  <c r="AB70" i="24" s="1"/>
  <c r="AF49" i="23"/>
  <c r="AF51" i="23"/>
  <c r="AF20" i="23"/>
  <c r="AF25" i="23"/>
  <c r="AF22" i="23"/>
  <c r="AF11" i="23"/>
  <c r="AF9" i="23"/>
  <c r="AF10" i="23"/>
  <c r="AG7" i="23"/>
  <c r="AE10" i="21"/>
  <c r="AE17" i="21" s="1"/>
  <c r="AE11" i="21"/>
  <c r="AF7" i="21"/>
  <c r="AF57" i="21" s="1"/>
  <c r="AE9" i="21"/>
  <c r="AD61" i="21"/>
  <c r="AE16" i="22"/>
  <c r="AE27" i="22" s="1"/>
  <c r="AE45" i="22" s="1"/>
  <c r="AE17" i="22"/>
  <c r="AE28" i="22" s="1"/>
  <c r="AE46" i="22" s="1"/>
  <c r="AF22" i="22"/>
  <c r="AF23" i="22" s="1"/>
  <c r="AF10" i="22"/>
  <c r="AC61" i="21"/>
  <c r="AC30" i="21"/>
  <c r="AC36" i="21"/>
  <c r="AB40" i="21"/>
  <c r="AB72" i="21" s="1"/>
  <c r="AB68" i="2" s="1"/>
  <c r="AB39" i="21"/>
  <c r="AB71" i="21" s="1"/>
  <c r="AB48" i="2" s="1"/>
  <c r="AB41" i="21"/>
  <c r="AB73" i="21" s="1"/>
  <c r="AB88" i="2" s="1"/>
  <c r="V38" i="22"/>
  <c r="V39" i="22"/>
  <c r="V40" i="22"/>
  <c r="AF9" i="22"/>
  <c r="AF11" i="22"/>
  <c r="AG7" i="22"/>
  <c r="AE15" i="22"/>
  <c r="AE26" i="22" s="1"/>
  <c r="AE44" i="22" s="1"/>
  <c r="W13" i="21"/>
  <c r="AD31" i="21"/>
  <c r="S41" i="41" l="1"/>
  <c r="S46" i="2" s="1"/>
  <c r="S43" i="41"/>
  <c r="S86" i="2" s="1"/>
  <c r="S42" i="41"/>
  <c r="S66" i="2" s="1"/>
  <c r="T79" i="23"/>
  <c r="T30" i="41" s="1"/>
  <c r="T32" i="41" s="1"/>
  <c r="T34" i="41" s="1"/>
  <c r="T36" i="41" s="1"/>
  <c r="U77" i="23"/>
  <c r="W12" i="23"/>
  <c r="W75" i="23" s="1"/>
  <c r="V73" i="23"/>
  <c r="V72" i="23"/>
  <c r="V74" i="23"/>
  <c r="AG34" i="23"/>
  <c r="AG39" i="23"/>
  <c r="AG36" i="23"/>
  <c r="AF42" i="23"/>
  <c r="AF61" i="23" s="1"/>
  <c r="AE44" i="23"/>
  <c r="AE63" i="23" s="1"/>
  <c r="AE43" i="23"/>
  <c r="AE62" i="23" s="1"/>
  <c r="X13" i="22"/>
  <c r="X33" i="22" s="1"/>
  <c r="X34" i="22" s="1"/>
  <c r="AC42" i="24"/>
  <c r="AC43" i="24" s="1"/>
  <c r="AC48" i="24"/>
  <c r="AF28" i="23"/>
  <c r="AF56" i="23" s="1"/>
  <c r="AD41" i="24"/>
  <c r="AD47" i="24" s="1"/>
  <c r="AE29" i="23"/>
  <c r="AE57" i="23" s="1"/>
  <c r="AE30" i="23"/>
  <c r="AE58" i="23" s="1"/>
  <c r="AE22" i="24"/>
  <c r="AE40" i="24" s="1"/>
  <c r="AB79" i="24"/>
  <c r="AB41" i="2" s="1"/>
  <c r="AF14" i="23"/>
  <c r="AF46" i="21"/>
  <c r="AF45" i="21"/>
  <c r="AF48" i="21"/>
  <c r="AF47" i="21"/>
  <c r="AG72" i="2"/>
  <c r="AG80" i="2"/>
  <c r="AG92" i="2" s="1"/>
  <c r="AH40" i="2"/>
  <c r="AH60" i="2" s="1"/>
  <c r="AG52" i="2"/>
  <c r="AE49" i="21"/>
  <c r="AF9" i="21"/>
  <c r="AD62" i="21"/>
  <c r="AE15" i="21"/>
  <c r="AE60" i="21" s="1"/>
  <c r="AD60" i="21"/>
  <c r="AG7" i="21"/>
  <c r="AG57" i="21" s="1"/>
  <c r="AE16" i="21"/>
  <c r="AE31" i="21" s="1"/>
  <c r="AE68" i="26"/>
  <c r="AC73" i="24"/>
  <c r="AC75" i="24" s="1"/>
  <c r="AC69" i="24"/>
  <c r="AC70" i="24" s="1"/>
  <c r="AE53" i="24"/>
  <c r="AB81" i="24"/>
  <c r="AB81" i="2" s="1"/>
  <c r="AD68" i="24"/>
  <c r="AD74" i="24" s="1"/>
  <c r="AD67" i="24"/>
  <c r="AD46" i="24"/>
  <c r="AB80" i="24"/>
  <c r="AB61" i="2" s="1"/>
  <c r="AG49" i="23"/>
  <c r="AG51" i="23"/>
  <c r="AG20" i="23"/>
  <c r="AG25" i="23"/>
  <c r="AG22" i="23"/>
  <c r="AH7" i="23"/>
  <c r="AG10" i="23"/>
  <c r="AG9" i="23"/>
  <c r="AG11" i="23"/>
  <c r="AF10" i="21"/>
  <c r="AF15" i="21" s="1"/>
  <c r="AF11" i="21"/>
  <c r="AF35" i="21"/>
  <c r="AF27" i="21" s="1"/>
  <c r="AE62" i="21"/>
  <c r="AG22" i="22"/>
  <c r="AG23" i="22" s="1"/>
  <c r="AG10" i="22"/>
  <c r="AF16" i="22"/>
  <c r="AF27" i="22" s="1"/>
  <c r="AF45" i="22" s="1"/>
  <c r="AF17" i="22"/>
  <c r="AF28" i="22" s="1"/>
  <c r="AF46" i="22" s="1"/>
  <c r="AD36" i="21"/>
  <c r="AC39" i="21"/>
  <c r="AC71" i="21" s="1"/>
  <c r="AC48" i="2" s="1"/>
  <c r="AC40" i="21"/>
  <c r="AC72" i="21" s="1"/>
  <c r="AC68" i="2" s="1"/>
  <c r="AC41" i="21"/>
  <c r="AC73" i="21" s="1"/>
  <c r="AC88" i="2" s="1"/>
  <c r="W39" i="22"/>
  <c r="W40" i="22"/>
  <c r="W38" i="22"/>
  <c r="AF15" i="22"/>
  <c r="AF26" i="22" s="1"/>
  <c r="AF44" i="22" s="1"/>
  <c r="AH7" i="22"/>
  <c r="AG9" i="22"/>
  <c r="AG11" i="22"/>
  <c r="X13" i="21"/>
  <c r="AE32" i="21"/>
  <c r="U79" i="23" l="1"/>
  <c r="U30" i="41" s="1"/>
  <c r="U32" i="41" s="1"/>
  <c r="U34" i="41" s="1"/>
  <c r="U36" i="41" s="1"/>
  <c r="T41" i="41"/>
  <c r="T46" i="2" s="1"/>
  <c r="T43" i="41"/>
  <c r="T86" i="2" s="1"/>
  <c r="T42" i="41"/>
  <c r="T66" i="2" s="1"/>
  <c r="V77" i="23"/>
  <c r="X12" i="23"/>
  <c r="X75" i="23" s="1"/>
  <c r="W73" i="23"/>
  <c r="W72" i="23"/>
  <c r="W74" i="23"/>
  <c r="AH34" i="23"/>
  <c r="AH39" i="23"/>
  <c r="AH36" i="23"/>
  <c r="AG42" i="23"/>
  <c r="AG61" i="23" s="1"/>
  <c r="AF43" i="23"/>
  <c r="AF62" i="23" s="1"/>
  <c r="AF44" i="23"/>
  <c r="AF63" i="23" s="1"/>
  <c r="AG28" i="23"/>
  <c r="AG56" i="23" s="1"/>
  <c r="Y13" i="22"/>
  <c r="Y33" i="22" s="1"/>
  <c r="Y34" i="22" s="1"/>
  <c r="AF22" i="24"/>
  <c r="AF41" i="24" s="1"/>
  <c r="AF47" i="24" s="1"/>
  <c r="AD42" i="24"/>
  <c r="AD43" i="24" s="1"/>
  <c r="AC79" i="24"/>
  <c r="AC41" i="2" s="1"/>
  <c r="AD48" i="24"/>
  <c r="AE41" i="24"/>
  <c r="AE47" i="24" s="1"/>
  <c r="AF29" i="23"/>
  <c r="AF57" i="23" s="1"/>
  <c r="AF30" i="23"/>
  <c r="AF58" i="23" s="1"/>
  <c r="AG14" i="23"/>
  <c r="AG9" i="21"/>
  <c r="AG46" i="21"/>
  <c r="AG45" i="21"/>
  <c r="AG47" i="21"/>
  <c r="AG48" i="21"/>
  <c r="AH72" i="2"/>
  <c r="AH80" i="2"/>
  <c r="AH92" i="2" s="1"/>
  <c r="AI40" i="2"/>
  <c r="AI60" i="2" s="1"/>
  <c r="AH52" i="2"/>
  <c r="AH7" i="21"/>
  <c r="AH57" i="21" s="1"/>
  <c r="AE30" i="21"/>
  <c r="AF49" i="21"/>
  <c r="AG10" i="21"/>
  <c r="AG17" i="21" s="1"/>
  <c r="AE61" i="21"/>
  <c r="AG35" i="21"/>
  <c r="AG27" i="21" s="1"/>
  <c r="AG11" i="21"/>
  <c r="AF68" i="26"/>
  <c r="AF60" i="21"/>
  <c r="AF53" i="24"/>
  <c r="AD73" i="24"/>
  <c r="AD75" i="24" s="1"/>
  <c r="AD69" i="24"/>
  <c r="AD70" i="24" s="1"/>
  <c r="AE46" i="24"/>
  <c r="AC81" i="24"/>
  <c r="AC81" i="2" s="1"/>
  <c r="AC80" i="24"/>
  <c r="AC61" i="2" s="1"/>
  <c r="AE67" i="24"/>
  <c r="AE68" i="24"/>
  <c r="AE74" i="24" s="1"/>
  <c r="AH49" i="23"/>
  <c r="AH51" i="23"/>
  <c r="AH20" i="23"/>
  <c r="AH25" i="23"/>
  <c r="AH22" i="23"/>
  <c r="AH10" i="23"/>
  <c r="AH11" i="23"/>
  <c r="AH9" i="23"/>
  <c r="AI7" i="23"/>
  <c r="AF16" i="21"/>
  <c r="AF31" i="21" s="1"/>
  <c r="AF17" i="21"/>
  <c r="AF32" i="21" s="1"/>
  <c r="AF36" i="21" s="1"/>
  <c r="AH22" i="22"/>
  <c r="AH23" i="22" s="1"/>
  <c r="AH10" i="22"/>
  <c r="AG16" i="22"/>
  <c r="AG27" i="22" s="1"/>
  <c r="AG45" i="22" s="1"/>
  <c r="AG17" i="22"/>
  <c r="AG28" i="22" s="1"/>
  <c r="AG46" i="22" s="1"/>
  <c r="AD39" i="21"/>
  <c r="AD71" i="21" s="1"/>
  <c r="AD48" i="2" s="1"/>
  <c r="AD40" i="21"/>
  <c r="AD72" i="21" s="1"/>
  <c r="AD68" i="2" s="1"/>
  <c r="AD41" i="21"/>
  <c r="AD73" i="21" s="1"/>
  <c r="AD88" i="2" s="1"/>
  <c r="AE36" i="21"/>
  <c r="X39" i="22"/>
  <c r="X40" i="22"/>
  <c r="X38" i="22"/>
  <c r="AG15" i="22"/>
  <c r="AG26" i="22" s="1"/>
  <c r="AG44" i="22" s="1"/>
  <c r="AI7" i="22"/>
  <c r="AH9" i="22"/>
  <c r="AH11" i="22"/>
  <c r="Y13" i="21"/>
  <c r="AF30" i="21"/>
  <c r="U43" i="41" l="1"/>
  <c r="U86" i="2" s="1"/>
  <c r="U42" i="41"/>
  <c r="U66" i="2" s="1"/>
  <c r="U41" i="41"/>
  <c r="U46" i="2" s="1"/>
  <c r="V79" i="23"/>
  <c r="V30" i="41" s="1"/>
  <c r="V32" i="41" s="1"/>
  <c r="V34" i="41" s="1"/>
  <c r="V36" i="41" s="1"/>
  <c r="W77" i="23"/>
  <c r="Y12" i="23"/>
  <c r="Y75" i="23" s="1"/>
  <c r="X73" i="23"/>
  <c r="X72" i="23"/>
  <c r="X74" i="23"/>
  <c r="AI39" i="23"/>
  <c r="AI36" i="23"/>
  <c r="AI34" i="23"/>
  <c r="AH42" i="23"/>
  <c r="AH61" i="23" s="1"/>
  <c r="AG44" i="23"/>
  <c r="AG63" i="23" s="1"/>
  <c r="AG43" i="23"/>
  <c r="AG62" i="23" s="1"/>
  <c r="AG22" i="24"/>
  <c r="AG41" i="24" s="1"/>
  <c r="AG47" i="24" s="1"/>
  <c r="AG29" i="23"/>
  <c r="AG57" i="23" s="1"/>
  <c r="AH28" i="23"/>
  <c r="AH56" i="23" s="1"/>
  <c r="AG30" i="23"/>
  <c r="AG58" i="23" s="1"/>
  <c r="AE42" i="24"/>
  <c r="AE43" i="24" s="1"/>
  <c r="Z13" i="22"/>
  <c r="Z33" i="22" s="1"/>
  <c r="Z34" i="22" s="1"/>
  <c r="AD81" i="24"/>
  <c r="AD81" i="2" s="1"/>
  <c r="AF40" i="24"/>
  <c r="AF46" i="24" s="1"/>
  <c r="AF48" i="24" s="1"/>
  <c r="AE48" i="24"/>
  <c r="AH14" i="23"/>
  <c r="AH11" i="21"/>
  <c r="AH46" i="21"/>
  <c r="AH47" i="21"/>
  <c r="AH45" i="21"/>
  <c r="AH48" i="21"/>
  <c r="AH10" i="21"/>
  <c r="AH16" i="21" s="1"/>
  <c r="AI72" i="2"/>
  <c r="AI80" i="2"/>
  <c r="AI92" i="2" s="1"/>
  <c r="AJ40" i="2"/>
  <c r="AJ60" i="2" s="1"/>
  <c r="AI52" i="2"/>
  <c r="AH9" i="21"/>
  <c r="AI7" i="21"/>
  <c r="AI57" i="21" s="1"/>
  <c r="AH35" i="21"/>
  <c r="AH27" i="21" s="1"/>
  <c r="AG62" i="21"/>
  <c r="AG15" i="21"/>
  <c r="AG60" i="21" s="1"/>
  <c r="AG49" i="21"/>
  <c r="AG16" i="21"/>
  <c r="AG61" i="21" s="1"/>
  <c r="AG68" i="26"/>
  <c r="AE73" i="24"/>
  <c r="AE75" i="24" s="1"/>
  <c r="AE69" i="24"/>
  <c r="AE70" i="24" s="1"/>
  <c r="AD79" i="24"/>
  <c r="AD41" i="2" s="1"/>
  <c r="AF68" i="24"/>
  <c r="AF74" i="24" s="1"/>
  <c r="AF67" i="24"/>
  <c r="AG53" i="24"/>
  <c r="AD80" i="24"/>
  <c r="AD61" i="2" s="1"/>
  <c r="AF62" i="21"/>
  <c r="AI49" i="23"/>
  <c r="AI51" i="23"/>
  <c r="AI20" i="23"/>
  <c r="AI25" i="23"/>
  <c r="AI22" i="23"/>
  <c r="AI9" i="23"/>
  <c r="AJ7" i="23"/>
  <c r="AI10" i="23"/>
  <c r="AI11" i="23"/>
  <c r="AF61" i="21"/>
  <c r="AI22" i="22"/>
  <c r="AI23" i="22" s="1"/>
  <c r="AI10" i="22"/>
  <c r="AH17" i="22"/>
  <c r="AH28" i="22" s="1"/>
  <c r="AH46" i="22" s="1"/>
  <c r="AH16" i="22"/>
  <c r="AH27" i="22" s="1"/>
  <c r="AH45" i="22" s="1"/>
  <c r="AF40" i="21"/>
  <c r="AF41" i="21"/>
  <c r="AF39" i="21"/>
  <c r="AF71" i="21" s="1"/>
  <c r="AF48" i="2" s="1"/>
  <c r="AE39" i="21"/>
  <c r="AE71" i="21" s="1"/>
  <c r="AE48" i="2" s="1"/>
  <c r="AE40" i="21"/>
  <c r="AE72" i="21" s="1"/>
  <c r="AE68" i="2" s="1"/>
  <c r="AE41" i="21"/>
  <c r="AE73" i="21" s="1"/>
  <c r="AE88" i="2" s="1"/>
  <c r="Y40" i="22"/>
  <c r="Y38" i="22"/>
  <c r="Y39" i="22"/>
  <c r="AH15" i="22"/>
  <c r="AH26" i="22" s="1"/>
  <c r="AH44" i="22" s="1"/>
  <c r="AJ7" i="22"/>
  <c r="AI11" i="22"/>
  <c r="AI9" i="22"/>
  <c r="Z13" i="21"/>
  <c r="AG32" i="21"/>
  <c r="V43" i="41" l="1"/>
  <c r="V86" i="2" s="1"/>
  <c r="V41" i="41"/>
  <c r="V46" i="2" s="1"/>
  <c r="V42" i="41"/>
  <c r="V66" i="2" s="1"/>
  <c r="W79" i="23"/>
  <c r="W30" i="41" s="1"/>
  <c r="W32" i="41" s="1"/>
  <c r="W34" i="41" s="1"/>
  <c r="W36" i="41" s="1"/>
  <c r="X77" i="23"/>
  <c r="Z12" i="23"/>
  <c r="Z75" i="23" s="1"/>
  <c r="Y73" i="23"/>
  <c r="Y72" i="23"/>
  <c r="Y74" i="23"/>
  <c r="AG40" i="24"/>
  <c r="AG46" i="24" s="1"/>
  <c r="AG48" i="24" s="1"/>
  <c r="AI42" i="23"/>
  <c r="AI61" i="23" s="1"/>
  <c r="AH44" i="23"/>
  <c r="AH63" i="23" s="1"/>
  <c r="AH43" i="23"/>
  <c r="AH62" i="23" s="1"/>
  <c r="AJ39" i="23"/>
  <c r="AJ36" i="23"/>
  <c r="AJ34" i="23"/>
  <c r="AI28" i="23"/>
  <c r="AI56" i="23" s="1"/>
  <c r="AH29" i="23"/>
  <c r="AH57" i="23" s="1"/>
  <c r="AH22" i="24"/>
  <c r="AH41" i="24" s="1"/>
  <c r="AH47" i="24" s="1"/>
  <c r="AE81" i="24"/>
  <c r="AE81" i="2" s="1"/>
  <c r="AH30" i="23"/>
  <c r="AH58" i="23" s="1"/>
  <c r="AA13" i="22"/>
  <c r="AA33" i="22" s="1"/>
  <c r="AA34" i="22" s="1"/>
  <c r="AF42" i="24"/>
  <c r="AF43" i="24" s="1"/>
  <c r="AI14" i="23"/>
  <c r="AI10" i="21"/>
  <c r="AI16" i="21" s="1"/>
  <c r="AI31" i="21" s="1"/>
  <c r="AI46" i="21"/>
  <c r="AI45" i="21"/>
  <c r="AI47" i="21"/>
  <c r="AI48" i="21"/>
  <c r="AJ7" i="21"/>
  <c r="AI9" i="21"/>
  <c r="AI35" i="21"/>
  <c r="AI27" i="21" s="1"/>
  <c r="AI11" i="21"/>
  <c r="AH61" i="21"/>
  <c r="AH15" i="21"/>
  <c r="AH60" i="21" s="1"/>
  <c r="AH17" i="21"/>
  <c r="AH32" i="21" s="1"/>
  <c r="AH36" i="21" s="1"/>
  <c r="AH49" i="21"/>
  <c r="AG30" i="21"/>
  <c r="AG31" i="21"/>
  <c r="AJ72" i="2"/>
  <c r="AJ80" i="2"/>
  <c r="AJ92" i="2" s="1"/>
  <c r="AK40" i="2"/>
  <c r="AK60" i="2" s="1"/>
  <c r="AJ52" i="2"/>
  <c r="AF73" i="21"/>
  <c r="AF88" i="2" s="1"/>
  <c r="AE79" i="24"/>
  <c r="AE41" i="2" s="1"/>
  <c r="AE80" i="24"/>
  <c r="AE61" i="2" s="1"/>
  <c r="AH68" i="26"/>
  <c r="AH53" i="24"/>
  <c r="AF73" i="24"/>
  <c r="AF75" i="24" s="1"/>
  <c r="AF81" i="24" s="1"/>
  <c r="AF81" i="2" s="1"/>
  <c r="AF69" i="24"/>
  <c r="AF70" i="24" s="1"/>
  <c r="AG68" i="24"/>
  <c r="AG74" i="24" s="1"/>
  <c r="AG67" i="24"/>
  <c r="AJ49" i="23"/>
  <c r="AJ51" i="23"/>
  <c r="AJ20" i="23"/>
  <c r="AJ25" i="23"/>
  <c r="AJ22" i="23"/>
  <c r="AJ10" i="23"/>
  <c r="AJ11" i="23"/>
  <c r="AJ9" i="23"/>
  <c r="AK7" i="23"/>
  <c r="AF72" i="21"/>
  <c r="AF68" i="2" s="1"/>
  <c r="AJ22" i="22"/>
  <c r="AJ23" i="22" s="1"/>
  <c r="AJ10" i="22"/>
  <c r="AI17" i="22"/>
  <c r="AI28" i="22" s="1"/>
  <c r="AI46" i="22" s="1"/>
  <c r="AI16" i="22"/>
  <c r="AI27" i="22" s="1"/>
  <c r="AI45" i="22" s="1"/>
  <c r="AG36" i="21"/>
  <c r="Z40" i="22"/>
  <c r="Z38" i="22"/>
  <c r="Z39" i="22"/>
  <c r="AI15" i="22"/>
  <c r="AI26" i="22" s="1"/>
  <c r="AI44" i="22" s="1"/>
  <c r="AJ11" i="22"/>
  <c r="AJ9" i="22"/>
  <c r="AK7" i="22"/>
  <c r="AA13" i="21"/>
  <c r="AH31" i="21"/>
  <c r="AG42" i="24" l="1"/>
  <c r="AG43" i="24" s="1"/>
  <c r="X79" i="23"/>
  <c r="X30" i="41" s="1"/>
  <c r="X32" i="41" s="1"/>
  <c r="X34" i="41" s="1"/>
  <c r="X36" i="41" s="1"/>
  <c r="W43" i="41"/>
  <c r="W86" i="2" s="1"/>
  <c r="W42" i="41"/>
  <c r="W66" i="2" s="1"/>
  <c r="W41" i="41"/>
  <c r="W46" i="2" s="1"/>
  <c r="Y77" i="23"/>
  <c r="AA12" i="23"/>
  <c r="AA75" i="23" s="1"/>
  <c r="Z73" i="23"/>
  <c r="Z72" i="23"/>
  <c r="Z74" i="23"/>
  <c r="AB13" i="22"/>
  <c r="AB33" i="22" s="1"/>
  <c r="AB34" i="22" s="1"/>
  <c r="AI30" i="23"/>
  <c r="AI58" i="23" s="1"/>
  <c r="AK39" i="23"/>
  <c r="AK34" i="23"/>
  <c r="AK36" i="23"/>
  <c r="AJ42" i="23"/>
  <c r="AJ61" i="23" s="1"/>
  <c r="AI44" i="23"/>
  <c r="AI63" i="23" s="1"/>
  <c r="AI43" i="23"/>
  <c r="AI62" i="23" s="1"/>
  <c r="AH40" i="24"/>
  <c r="AH42" i="24" s="1"/>
  <c r="AH43" i="24" s="1"/>
  <c r="AJ28" i="23"/>
  <c r="AJ56" i="23" s="1"/>
  <c r="AI22" i="24"/>
  <c r="AI40" i="24" s="1"/>
  <c r="AI29" i="23"/>
  <c r="AI57" i="23" s="1"/>
  <c r="AJ14" i="23"/>
  <c r="AI15" i="21"/>
  <c r="AI30" i="21" s="1"/>
  <c r="AI17" i="21"/>
  <c r="AI32" i="21" s="1"/>
  <c r="AI36" i="21" s="1"/>
  <c r="AJ10" i="21"/>
  <c r="AJ17" i="21" s="1"/>
  <c r="AJ57" i="21"/>
  <c r="AJ11" i="21"/>
  <c r="AJ9" i="21"/>
  <c r="AK7" i="21"/>
  <c r="AL7" i="21" s="1"/>
  <c r="AL57" i="21" s="1"/>
  <c r="AJ45" i="21"/>
  <c r="AJ47" i="21"/>
  <c r="AJ48" i="21"/>
  <c r="AJ46" i="21"/>
  <c r="AJ35" i="21"/>
  <c r="AJ27" i="21" s="1"/>
  <c r="AH30" i="21"/>
  <c r="AH62" i="21"/>
  <c r="AI49" i="21"/>
  <c r="AK72" i="2"/>
  <c r="AK80" i="2"/>
  <c r="AK92" i="2" s="1"/>
  <c r="AL40" i="2"/>
  <c r="AL60" i="2" s="1"/>
  <c r="AK52" i="2"/>
  <c r="AF80" i="24"/>
  <c r="AF61" i="2" s="1"/>
  <c r="AI68" i="26"/>
  <c r="AF79" i="24"/>
  <c r="AF41" i="2" s="1"/>
  <c r="AI53" i="24"/>
  <c r="AG73" i="24"/>
  <c r="AG75" i="24" s="1"/>
  <c r="AG81" i="24" s="1"/>
  <c r="AG81" i="2" s="1"/>
  <c r="AG69" i="24"/>
  <c r="AG70" i="24" s="1"/>
  <c r="AH67" i="24"/>
  <c r="AH68" i="24"/>
  <c r="AH74" i="24" s="1"/>
  <c r="AK49" i="23"/>
  <c r="AK51" i="23"/>
  <c r="AK20" i="23"/>
  <c r="AK25" i="23"/>
  <c r="AK22" i="23"/>
  <c r="AK11" i="23"/>
  <c r="AK10" i="23"/>
  <c r="AL7" i="23"/>
  <c r="AK9" i="23"/>
  <c r="AK22" i="22"/>
  <c r="AK23" i="22" s="1"/>
  <c r="AK10" i="22"/>
  <c r="AJ17" i="22"/>
  <c r="AJ28" i="22" s="1"/>
  <c r="AJ46" i="22" s="1"/>
  <c r="AJ16" i="22"/>
  <c r="AJ27" i="22" s="1"/>
  <c r="AJ45" i="22" s="1"/>
  <c r="AH39" i="21"/>
  <c r="AH71" i="21" s="1"/>
  <c r="AH48" i="2" s="1"/>
  <c r="AH40" i="21"/>
  <c r="AH72" i="21" s="1"/>
  <c r="AH68" i="2" s="1"/>
  <c r="AH41" i="21"/>
  <c r="AG41" i="21"/>
  <c r="AG73" i="21" s="1"/>
  <c r="AG88" i="2" s="1"/>
  <c r="AG39" i="21"/>
  <c r="AG71" i="21" s="1"/>
  <c r="AG48" i="2" s="1"/>
  <c r="AG40" i="21"/>
  <c r="AG72" i="21" s="1"/>
  <c r="AG68" i="2" s="1"/>
  <c r="AI61" i="21"/>
  <c r="AA40" i="22"/>
  <c r="AA38" i="22"/>
  <c r="AA39" i="22"/>
  <c r="AK11" i="22"/>
  <c r="AK9" i="22"/>
  <c r="AL7" i="22"/>
  <c r="AJ15" i="22"/>
  <c r="AJ26" i="22" s="1"/>
  <c r="AJ44" i="22" s="1"/>
  <c r="AB13" i="21"/>
  <c r="AC13" i="22" l="1"/>
  <c r="AC33" i="22" s="1"/>
  <c r="X41" i="41"/>
  <c r="X46" i="2" s="1"/>
  <c r="X43" i="41"/>
  <c r="X86" i="2" s="1"/>
  <c r="X42" i="41"/>
  <c r="X66" i="2" s="1"/>
  <c r="Y79" i="23"/>
  <c r="Y30" i="41" s="1"/>
  <c r="Y32" i="41" s="1"/>
  <c r="Y34" i="41" s="1"/>
  <c r="Y36" i="41" s="1"/>
  <c r="Z77" i="23"/>
  <c r="AB12" i="23"/>
  <c r="AB75" i="23" s="1"/>
  <c r="AA74" i="23"/>
  <c r="AA73" i="23"/>
  <c r="AA72" i="23"/>
  <c r="AI41" i="24"/>
  <c r="AI47" i="24" s="1"/>
  <c r="AJ22" i="24"/>
  <c r="AJ40" i="24" s="1"/>
  <c r="AK28" i="23"/>
  <c r="AK56" i="23" s="1"/>
  <c r="AL34" i="23"/>
  <c r="AL39" i="23"/>
  <c r="AL36" i="23"/>
  <c r="AH46" i="24"/>
  <c r="AH48" i="24" s="1"/>
  <c r="AJ44" i="23"/>
  <c r="AJ63" i="23" s="1"/>
  <c r="AJ43" i="23"/>
  <c r="AJ62" i="23" s="1"/>
  <c r="AK42" i="23"/>
  <c r="AK61" i="23" s="1"/>
  <c r="AJ29" i="23"/>
  <c r="AJ57" i="23" s="1"/>
  <c r="AJ30" i="23"/>
  <c r="AJ58" i="23" s="1"/>
  <c r="AK14" i="23"/>
  <c r="AJ16" i="21"/>
  <c r="AJ61" i="21" s="1"/>
  <c r="AJ15" i="21"/>
  <c r="AJ30" i="21" s="1"/>
  <c r="AI62" i="21"/>
  <c r="AI60" i="21"/>
  <c r="AJ62" i="21"/>
  <c r="AH73" i="21"/>
  <c r="AH88" i="2" s="1"/>
  <c r="AK11" i="21"/>
  <c r="AK35" i="21"/>
  <c r="AK27" i="21" s="1"/>
  <c r="AK10" i="21"/>
  <c r="AK16" i="21" s="1"/>
  <c r="AK31" i="21" s="1"/>
  <c r="AK46" i="21"/>
  <c r="AK9" i="21"/>
  <c r="AK45" i="21"/>
  <c r="AK47" i="21"/>
  <c r="AK57" i="21"/>
  <c r="AK48" i="21"/>
  <c r="AJ49" i="21"/>
  <c r="AL48" i="21"/>
  <c r="AL45" i="21"/>
  <c r="AL46" i="21"/>
  <c r="AL47" i="21"/>
  <c r="AL72" i="2"/>
  <c r="AL80" i="2"/>
  <c r="AL92" i="2" s="1"/>
  <c r="AM40" i="2"/>
  <c r="AM60" i="2" s="1"/>
  <c r="AL52" i="2"/>
  <c r="AJ68" i="26"/>
  <c r="AI67" i="24"/>
  <c r="AI68" i="24"/>
  <c r="AI74" i="24" s="1"/>
  <c r="AJ53" i="24"/>
  <c r="AG80" i="24"/>
  <c r="AG61" i="2" s="1"/>
  <c r="AH73" i="24"/>
  <c r="AH75" i="24" s="1"/>
  <c r="AH69" i="24"/>
  <c r="AH70" i="24" s="1"/>
  <c r="AG79" i="24"/>
  <c r="AG41" i="2" s="1"/>
  <c r="AI46" i="24"/>
  <c r="AL49" i="23"/>
  <c r="AL51" i="23"/>
  <c r="AL20" i="23"/>
  <c r="AL25" i="23"/>
  <c r="AL22" i="23"/>
  <c r="AL11" i="23"/>
  <c r="AL9" i="23"/>
  <c r="AM7" i="23"/>
  <c r="AL10" i="23"/>
  <c r="AL10" i="21"/>
  <c r="AL16" i="21" s="1"/>
  <c r="AL11" i="21"/>
  <c r="AL22" i="22"/>
  <c r="AL23" i="22" s="1"/>
  <c r="AL10" i="22"/>
  <c r="AK16" i="22"/>
  <c r="AK27" i="22" s="1"/>
  <c r="AK45" i="22" s="1"/>
  <c r="AK17" i="22"/>
  <c r="AK28" i="22" s="1"/>
  <c r="AK46" i="22" s="1"/>
  <c r="AI39" i="21"/>
  <c r="AI40" i="21"/>
  <c r="AI72" i="21" s="1"/>
  <c r="AI68" i="2" s="1"/>
  <c r="AI41" i="21"/>
  <c r="AB38" i="22"/>
  <c r="AB39" i="22"/>
  <c r="AB40" i="22"/>
  <c r="AC34" i="22"/>
  <c r="AD13" i="22"/>
  <c r="AD33" i="22" s="1"/>
  <c r="AK15" i="22"/>
  <c r="AK26" i="22" s="1"/>
  <c r="AK44" i="22" s="1"/>
  <c r="AL9" i="22"/>
  <c r="AM7" i="22"/>
  <c r="AL11" i="22"/>
  <c r="AC13" i="21"/>
  <c r="AJ32" i="21"/>
  <c r="AL35" i="21"/>
  <c r="AL27" i="21" s="1"/>
  <c r="AL9" i="21"/>
  <c r="AM7" i="21"/>
  <c r="AM57" i="21" s="1"/>
  <c r="AJ41" i="24" l="1"/>
  <c r="AJ47" i="24" s="1"/>
  <c r="AI48" i="24"/>
  <c r="AI42" i="24"/>
  <c r="AI43" i="24" s="1"/>
  <c r="AK29" i="23"/>
  <c r="AK57" i="23" s="1"/>
  <c r="Y42" i="41"/>
  <c r="Y66" i="2" s="1"/>
  <c r="Y41" i="41"/>
  <c r="Y46" i="2" s="1"/>
  <c r="Y43" i="41"/>
  <c r="Y86" i="2" s="1"/>
  <c r="AK30" i="23"/>
  <c r="AK58" i="23" s="1"/>
  <c r="Z79" i="23"/>
  <c r="Z30" i="41" s="1"/>
  <c r="Z32" i="41" s="1"/>
  <c r="Z34" i="41" s="1"/>
  <c r="Z36" i="41" s="1"/>
  <c r="AK22" i="24"/>
  <c r="AK40" i="24" s="1"/>
  <c r="AL28" i="23"/>
  <c r="AL56" i="23" s="1"/>
  <c r="AH79" i="24"/>
  <c r="AH41" i="2" s="1"/>
  <c r="AA77" i="23"/>
  <c r="AC12" i="23"/>
  <c r="AC75" i="23" s="1"/>
  <c r="AB74" i="23"/>
  <c r="AB73" i="23"/>
  <c r="AB72" i="23"/>
  <c r="AL42" i="23"/>
  <c r="AL61" i="23" s="1"/>
  <c r="AK44" i="23"/>
  <c r="AK63" i="23" s="1"/>
  <c r="AK43" i="23"/>
  <c r="AK62" i="23" s="1"/>
  <c r="AM34" i="23"/>
  <c r="AM39" i="23"/>
  <c r="AM36" i="23"/>
  <c r="AI73" i="21"/>
  <c r="AI88" i="2" s="1"/>
  <c r="AL14" i="23"/>
  <c r="AJ31" i="21"/>
  <c r="AJ60" i="21"/>
  <c r="AI71" i="21"/>
  <c r="AI48" i="2" s="1"/>
  <c r="AK17" i="21"/>
  <c r="AK32" i="21" s="1"/>
  <c r="AK36" i="21" s="1"/>
  <c r="AK15" i="21"/>
  <c r="AK30" i="21" s="1"/>
  <c r="AK49" i="21"/>
  <c r="AM48" i="21"/>
  <c r="AM46" i="21"/>
  <c r="AM47" i="21"/>
  <c r="AM45" i="21"/>
  <c r="AL17" i="21"/>
  <c r="AL62" i="21" s="1"/>
  <c r="AM72" i="2"/>
  <c r="AM80" i="2"/>
  <c r="AM92" i="2" s="1"/>
  <c r="AN40" i="2"/>
  <c r="AN60" i="2" s="1"/>
  <c r="AM52" i="2"/>
  <c r="AK68" i="26"/>
  <c r="AH81" i="24"/>
  <c r="AH81" i="2" s="1"/>
  <c r="AH80" i="24"/>
  <c r="AH61" i="2" s="1"/>
  <c r="AJ68" i="24"/>
  <c r="AJ74" i="24" s="1"/>
  <c r="AJ67" i="24"/>
  <c r="AJ46" i="24"/>
  <c r="AK53" i="24"/>
  <c r="AI73" i="24"/>
  <c r="AI75" i="24" s="1"/>
  <c r="AI69" i="24"/>
  <c r="AI70" i="24" s="1"/>
  <c r="AM49" i="23"/>
  <c r="AM51" i="23"/>
  <c r="AM20" i="23"/>
  <c r="AM25" i="23"/>
  <c r="AM22" i="23"/>
  <c r="AM9" i="23"/>
  <c r="AN7" i="23"/>
  <c r="AM10" i="23"/>
  <c r="AM11" i="23"/>
  <c r="AM10" i="21"/>
  <c r="AM16" i="21" s="1"/>
  <c r="AM11" i="21"/>
  <c r="AM22" i="22"/>
  <c r="AM23" i="22" s="1"/>
  <c r="AM10" i="22"/>
  <c r="AL16" i="22"/>
  <c r="AL27" i="22" s="1"/>
  <c r="AL45" i="22" s="1"/>
  <c r="AL17" i="22"/>
  <c r="AL28" i="22" s="1"/>
  <c r="AL46" i="22" s="1"/>
  <c r="AJ36" i="21"/>
  <c r="AK61" i="21"/>
  <c r="AL49" i="21"/>
  <c r="AC38" i="22"/>
  <c r="AC39" i="22"/>
  <c r="AC40" i="22"/>
  <c r="AD34" i="22"/>
  <c r="AE13" i="22"/>
  <c r="AE33" i="22" s="1"/>
  <c r="AL15" i="22"/>
  <c r="AL26" i="22" s="1"/>
  <c r="AL44" i="22" s="1"/>
  <c r="AN7" i="22"/>
  <c r="AM9" i="22"/>
  <c r="AM11" i="22"/>
  <c r="AD13" i="21"/>
  <c r="AM35" i="21"/>
  <c r="AM27" i="21" s="1"/>
  <c r="AM9" i="21"/>
  <c r="AN7" i="21"/>
  <c r="AN57" i="21" s="1"/>
  <c r="AL15" i="21"/>
  <c r="AL60" i="21" s="1"/>
  <c r="AL61" i="21"/>
  <c r="AJ48" i="24" l="1"/>
  <c r="AJ42" i="24"/>
  <c r="AJ43" i="24" s="1"/>
  <c r="AI79" i="24"/>
  <c r="AI41" i="2" s="1"/>
  <c r="AM28" i="23"/>
  <c r="AM56" i="23" s="1"/>
  <c r="AL22" i="24"/>
  <c r="AL40" i="24" s="1"/>
  <c r="AL29" i="23"/>
  <c r="AL57" i="23" s="1"/>
  <c r="AL30" i="23"/>
  <c r="AL58" i="23" s="1"/>
  <c r="Z41" i="41"/>
  <c r="Z46" i="2" s="1"/>
  <c r="Z43" i="41"/>
  <c r="Z86" i="2" s="1"/>
  <c r="Z42" i="41"/>
  <c r="Z66" i="2" s="1"/>
  <c r="AK41" i="24"/>
  <c r="AK47" i="24" s="1"/>
  <c r="AA79" i="23"/>
  <c r="AA30" i="41" s="1"/>
  <c r="AA32" i="41" s="1"/>
  <c r="AA34" i="41" s="1"/>
  <c r="AA36" i="41" s="1"/>
  <c r="AB77" i="23"/>
  <c r="AD12" i="23"/>
  <c r="AD75" i="23" s="1"/>
  <c r="AC72" i="23"/>
  <c r="AC73" i="23"/>
  <c r="AC74" i="23"/>
  <c r="AN34" i="23"/>
  <c r="AN39" i="23"/>
  <c r="AN36" i="23"/>
  <c r="AM42" i="23"/>
  <c r="AM61" i="23" s="1"/>
  <c r="AL44" i="23"/>
  <c r="AL63" i="23" s="1"/>
  <c r="AL43" i="23"/>
  <c r="AL62" i="23" s="1"/>
  <c r="AM14" i="23"/>
  <c r="AK62" i="21"/>
  <c r="AK60" i="21"/>
  <c r="AM29" i="23"/>
  <c r="AN46" i="21"/>
  <c r="AN45" i="21"/>
  <c r="AN47" i="21"/>
  <c r="AN48" i="21"/>
  <c r="AN72" i="2"/>
  <c r="AN80" i="2"/>
  <c r="AN92" i="2" s="1"/>
  <c r="AO40" i="2"/>
  <c r="AO60" i="2" s="1"/>
  <c r="AN52" i="2"/>
  <c r="AL68" i="26"/>
  <c r="AL53" i="24"/>
  <c r="AK68" i="24"/>
  <c r="AK74" i="24" s="1"/>
  <c r="AK67" i="24"/>
  <c r="AM17" i="21"/>
  <c r="AM32" i="21" s="1"/>
  <c r="AK46" i="24"/>
  <c r="AI80" i="24"/>
  <c r="AI61" i="2" s="1"/>
  <c r="AI81" i="24"/>
  <c r="AI81" i="2" s="1"/>
  <c r="AJ73" i="24"/>
  <c r="AJ75" i="24" s="1"/>
  <c r="AJ80" i="24" s="1"/>
  <c r="AJ61" i="2" s="1"/>
  <c r="AJ69" i="24"/>
  <c r="AJ70" i="24" s="1"/>
  <c r="AN49" i="23"/>
  <c r="AN51" i="23"/>
  <c r="AN20" i="23"/>
  <c r="AN25" i="23"/>
  <c r="AN22" i="23"/>
  <c r="AN9" i="23"/>
  <c r="AN11" i="23"/>
  <c r="AO7" i="23"/>
  <c r="AN10" i="23"/>
  <c r="AN10" i="21"/>
  <c r="AN16" i="21" s="1"/>
  <c r="AN11" i="21"/>
  <c r="AM16" i="22"/>
  <c r="AM27" i="22" s="1"/>
  <c r="AM45" i="22" s="1"/>
  <c r="AM17" i="22"/>
  <c r="AM28" i="22" s="1"/>
  <c r="AM46" i="22" s="1"/>
  <c r="AN22" i="22"/>
  <c r="AN23" i="22" s="1"/>
  <c r="AN10" i="22"/>
  <c r="AK39" i="21"/>
  <c r="AK41" i="21"/>
  <c r="AK40" i="21"/>
  <c r="AK72" i="21" s="1"/>
  <c r="AK68" i="2" s="1"/>
  <c r="AJ40" i="21"/>
  <c r="AJ72" i="21" s="1"/>
  <c r="AJ68" i="2" s="1"/>
  <c r="AJ41" i="21"/>
  <c r="AJ73" i="21" s="1"/>
  <c r="AJ88" i="2" s="1"/>
  <c r="AJ39" i="21"/>
  <c r="AJ71" i="21" s="1"/>
  <c r="AJ48" i="2" s="1"/>
  <c r="AM49" i="21"/>
  <c r="AD38" i="22"/>
  <c r="AD39" i="22"/>
  <c r="AD40" i="22"/>
  <c r="AE34" i="22"/>
  <c r="AF13" i="22"/>
  <c r="AF33" i="22" s="1"/>
  <c r="AM15" i="22"/>
  <c r="AM26" i="22" s="1"/>
  <c r="AM44" i="22" s="1"/>
  <c r="AN9" i="22"/>
  <c r="AN11" i="22"/>
  <c r="AO7" i="22"/>
  <c r="AE13" i="21"/>
  <c r="AL30" i="21"/>
  <c r="AL32" i="21"/>
  <c r="AL31" i="21"/>
  <c r="AN35" i="21"/>
  <c r="AN27" i="21" s="1"/>
  <c r="AN9" i="21"/>
  <c r="AO7" i="21"/>
  <c r="AO57" i="21" s="1"/>
  <c r="AM61" i="21"/>
  <c r="AM15" i="21"/>
  <c r="AM60" i="21" s="1"/>
  <c r="AM30" i="23" l="1"/>
  <c r="AM58" i="23" s="1"/>
  <c r="AM22" i="24"/>
  <c r="AM40" i="24" s="1"/>
  <c r="AL41" i="24"/>
  <c r="AL47" i="24" s="1"/>
  <c r="AN28" i="23"/>
  <c r="AN56" i="23" s="1"/>
  <c r="AK48" i="24"/>
  <c r="AK42" i="24"/>
  <c r="AK43" i="24" s="1"/>
  <c r="AA41" i="41"/>
  <c r="AA46" i="2" s="1"/>
  <c r="AA43" i="41"/>
  <c r="AA86" i="2" s="1"/>
  <c r="AA42" i="41"/>
  <c r="AA66" i="2" s="1"/>
  <c r="AB79" i="23"/>
  <c r="AB30" i="41" s="1"/>
  <c r="AB32" i="41" s="1"/>
  <c r="AB34" i="41" s="1"/>
  <c r="AB36" i="41" s="1"/>
  <c r="AC77" i="23"/>
  <c r="AE12" i="23"/>
  <c r="AE75" i="23" s="1"/>
  <c r="AD73" i="23"/>
  <c r="AD72" i="23"/>
  <c r="AD74" i="23"/>
  <c r="AN42" i="23"/>
  <c r="AN61" i="23" s="1"/>
  <c r="AM44" i="23"/>
  <c r="AM63" i="23" s="1"/>
  <c r="AM43" i="23"/>
  <c r="AM62" i="23" s="1"/>
  <c r="AO34" i="23"/>
  <c r="AO39" i="23"/>
  <c r="AO36" i="23"/>
  <c r="AN14" i="23"/>
  <c r="AK71" i="21"/>
  <c r="AK48" i="2" s="1"/>
  <c r="AK73" i="21"/>
  <c r="AK88" i="2" s="1"/>
  <c r="AM57" i="23"/>
  <c r="AO46" i="21"/>
  <c r="AO45" i="21"/>
  <c r="AO48" i="21"/>
  <c r="AO47" i="21"/>
  <c r="AO72" i="2"/>
  <c r="AO80" i="2"/>
  <c r="AO92" i="2" s="1"/>
  <c r="AP40" i="2"/>
  <c r="AP60" i="2" s="1"/>
  <c r="AO52" i="2"/>
  <c r="AN17" i="21"/>
  <c r="AN62" i="21" s="1"/>
  <c r="AM68" i="26"/>
  <c r="AJ81" i="24"/>
  <c r="AJ81" i="2" s="1"/>
  <c r="AK73" i="24"/>
  <c r="AK75" i="24" s="1"/>
  <c r="AK69" i="24"/>
  <c r="AK70" i="24" s="1"/>
  <c r="AN22" i="24"/>
  <c r="AM41" i="24"/>
  <c r="AM47" i="24" s="1"/>
  <c r="AL68" i="24"/>
  <c r="AL74" i="24" s="1"/>
  <c r="AL67" i="24"/>
  <c r="AL46" i="24"/>
  <c r="AM53" i="24"/>
  <c r="AJ79" i="24"/>
  <c r="AJ41" i="2" s="1"/>
  <c r="AO49" i="23"/>
  <c r="AO51" i="23"/>
  <c r="AO20" i="23"/>
  <c r="AO25" i="23"/>
  <c r="AO28" i="23" s="1"/>
  <c r="AO56" i="23" s="1"/>
  <c r="AO22" i="23"/>
  <c r="AO10" i="23"/>
  <c r="AO9" i="23"/>
  <c r="AO11" i="23"/>
  <c r="AP7" i="23"/>
  <c r="AO10" i="21"/>
  <c r="AO16" i="21" s="1"/>
  <c r="AO11" i="21"/>
  <c r="AN17" i="22"/>
  <c r="AN28" i="22" s="1"/>
  <c r="AN46" i="22" s="1"/>
  <c r="AN16" i="22"/>
  <c r="AN27" i="22" s="1"/>
  <c r="AN45" i="22" s="1"/>
  <c r="AO22" i="22"/>
  <c r="AO23" i="22" s="1"/>
  <c r="AO10" i="22"/>
  <c r="AL36" i="21"/>
  <c r="AM36" i="21"/>
  <c r="AM62" i="21"/>
  <c r="AN49" i="21"/>
  <c r="AE39" i="22"/>
  <c r="AE38" i="22"/>
  <c r="AE40" i="22"/>
  <c r="AF34" i="22"/>
  <c r="AG13" i="22"/>
  <c r="AG33" i="22" s="1"/>
  <c r="AN15" i="22"/>
  <c r="AN26" i="22" s="1"/>
  <c r="AN44" i="22" s="1"/>
  <c r="AP7" i="22"/>
  <c r="AO9" i="22"/>
  <c r="AO11" i="22"/>
  <c r="AF13" i="21"/>
  <c r="AM31" i="21"/>
  <c r="AM30" i="21"/>
  <c r="AO35" i="21"/>
  <c r="AO27" i="21" s="1"/>
  <c r="AO9" i="21"/>
  <c r="AP7" i="21"/>
  <c r="AP57" i="21" s="1"/>
  <c r="AN15" i="21"/>
  <c r="AN60" i="21" s="1"/>
  <c r="AN61" i="21"/>
  <c r="AN29" i="23" l="1"/>
  <c r="AN30" i="23"/>
  <c r="AL42" i="24"/>
  <c r="AL43" i="24" s="1"/>
  <c r="AK80" i="24"/>
  <c r="AK61" i="2" s="1"/>
  <c r="AL48" i="24"/>
  <c r="AB41" i="41"/>
  <c r="AB46" i="2" s="1"/>
  <c r="AB42" i="41"/>
  <c r="AB66" i="2" s="1"/>
  <c r="AC79" i="23"/>
  <c r="AC30" i="41" s="1"/>
  <c r="AC32" i="41" s="1"/>
  <c r="AC34" i="41" s="1"/>
  <c r="AC36" i="41" s="1"/>
  <c r="AB43" i="41"/>
  <c r="AB86" i="2" s="1"/>
  <c r="AD77" i="23"/>
  <c r="AF12" i="23"/>
  <c r="AF75" i="23" s="1"/>
  <c r="AE74" i="23"/>
  <c r="AE73" i="23"/>
  <c r="AE72" i="23"/>
  <c r="AP34" i="23"/>
  <c r="AP39" i="23"/>
  <c r="AP36" i="23"/>
  <c r="AO14" i="23"/>
  <c r="AO42" i="23"/>
  <c r="AO61" i="23" s="1"/>
  <c r="AN44" i="23"/>
  <c r="AN63" i="23" s="1"/>
  <c r="AN43" i="23"/>
  <c r="AN62" i="23" s="1"/>
  <c r="AN58" i="23"/>
  <c r="AN57" i="23"/>
  <c r="AO30" i="23"/>
  <c r="AO29" i="23"/>
  <c r="AP46" i="21"/>
  <c r="AP45" i="21"/>
  <c r="AP47" i="21"/>
  <c r="AP48" i="21"/>
  <c r="AP72" i="2"/>
  <c r="AP80" i="2"/>
  <c r="AP92" i="2" s="1"/>
  <c r="AQ40" i="2"/>
  <c r="AQ60" i="2" s="1"/>
  <c r="AP52" i="2"/>
  <c r="AN68" i="26"/>
  <c r="AO17" i="21"/>
  <c r="AO62" i="21" s="1"/>
  <c r="AN53" i="24"/>
  <c r="AN41" i="24"/>
  <c r="AN47" i="24" s="1"/>
  <c r="AN40" i="24"/>
  <c r="AO22" i="24"/>
  <c r="AL73" i="24"/>
  <c r="AL75" i="24" s="1"/>
  <c r="AL79" i="24" s="1"/>
  <c r="AL41" i="2" s="1"/>
  <c r="AL69" i="24"/>
  <c r="AL70" i="24" s="1"/>
  <c r="AK81" i="24"/>
  <c r="AK81" i="2" s="1"/>
  <c r="AM68" i="24"/>
  <c r="AM74" i="24" s="1"/>
  <c r="AM67" i="24"/>
  <c r="AM46" i="24"/>
  <c r="AM48" i="24" s="1"/>
  <c r="AM42" i="24"/>
  <c r="AM43" i="24" s="1"/>
  <c r="AK79" i="24"/>
  <c r="AK41" i="2" s="1"/>
  <c r="AP49" i="23"/>
  <c r="AP51" i="23"/>
  <c r="AP20" i="23"/>
  <c r="AP25" i="23"/>
  <c r="AP28" i="23" s="1"/>
  <c r="AP56" i="23" s="1"/>
  <c r="AP22" i="23"/>
  <c r="AP10" i="23"/>
  <c r="AQ7" i="23"/>
  <c r="AP11" i="23"/>
  <c r="AP9" i="23"/>
  <c r="AP10" i="21"/>
  <c r="AP16" i="21" s="1"/>
  <c r="AP11" i="21"/>
  <c r="AP22" i="22"/>
  <c r="AP23" i="22" s="1"/>
  <c r="AP10" i="22"/>
  <c r="AO16" i="22"/>
  <c r="AO27" i="22" s="1"/>
  <c r="AO45" i="22" s="1"/>
  <c r="AO17" i="22"/>
  <c r="AO28" i="22" s="1"/>
  <c r="AO46" i="22" s="1"/>
  <c r="AM39" i="21"/>
  <c r="AM71" i="21" s="1"/>
  <c r="AM48" i="2" s="1"/>
  <c r="AM40" i="21"/>
  <c r="AM72" i="21" s="1"/>
  <c r="AM68" i="2" s="1"/>
  <c r="AM41" i="21"/>
  <c r="AM73" i="21" s="1"/>
  <c r="AM88" i="2" s="1"/>
  <c r="AL39" i="21"/>
  <c r="AL71" i="21" s="1"/>
  <c r="AL48" i="2" s="1"/>
  <c r="AL40" i="21"/>
  <c r="AL72" i="21" s="1"/>
  <c r="AL68" i="2" s="1"/>
  <c r="AL41" i="21"/>
  <c r="AL73" i="21" s="1"/>
  <c r="AL88" i="2" s="1"/>
  <c r="AO49" i="21"/>
  <c r="AF39" i="22"/>
  <c r="AF40" i="22"/>
  <c r="AF38" i="22"/>
  <c r="AG34" i="22"/>
  <c r="AH13" i="22"/>
  <c r="AQ7" i="22"/>
  <c r="AP9" i="22"/>
  <c r="AP11" i="22"/>
  <c r="AO15" i="22"/>
  <c r="AO26" i="22" s="1"/>
  <c r="AO44" i="22" s="1"/>
  <c r="AG13" i="21"/>
  <c r="AN30" i="21"/>
  <c r="AN32" i="21"/>
  <c r="AN31" i="21"/>
  <c r="AP35" i="21"/>
  <c r="AP27" i="21" s="1"/>
  <c r="AP9" i="21"/>
  <c r="AQ7" i="21"/>
  <c r="AQ57" i="21" s="1"/>
  <c r="AO31" i="21"/>
  <c r="AO15" i="21"/>
  <c r="AO30" i="21" s="1"/>
  <c r="AC43" i="41" l="1"/>
  <c r="AC86" i="2" s="1"/>
  <c r="AC41" i="41"/>
  <c r="AC46" i="2" s="1"/>
  <c r="AC42" i="41"/>
  <c r="AC66" i="2" s="1"/>
  <c r="AD79" i="23"/>
  <c r="AD30" i="41" s="1"/>
  <c r="AD32" i="41" s="1"/>
  <c r="AD34" i="41" s="1"/>
  <c r="AD36" i="41" s="1"/>
  <c r="AE77" i="23"/>
  <c r="AG12" i="23"/>
  <c r="AG75" i="23" s="1"/>
  <c r="AF73" i="23"/>
  <c r="AF72" i="23"/>
  <c r="AF74" i="23"/>
  <c r="AQ39" i="23"/>
  <c r="AQ36" i="23"/>
  <c r="AQ34" i="23"/>
  <c r="AP42" i="23"/>
  <c r="AP61" i="23" s="1"/>
  <c r="AO44" i="23"/>
  <c r="AO63" i="23" s="1"/>
  <c r="AO43" i="23"/>
  <c r="AO62" i="23" s="1"/>
  <c r="AP14" i="23"/>
  <c r="AO58" i="23"/>
  <c r="AO57" i="23"/>
  <c r="AP30" i="23"/>
  <c r="AP29" i="23"/>
  <c r="AQ46" i="21"/>
  <c r="AQ45" i="21"/>
  <c r="AQ47" i="21"/>
  <c r="AQ48" i="21"/>
  <c r="AP49" i="21"/>
  <c r="AQ72" i="2"/>
  <c r="AQ80" i="2"/>
  <c r="AQ92" i="2" s="1"/>
  <c r="AR40" i="2"/>
  <c r="AQ52" i="2"/>
  <c r="AL80" i="24"/>
  <c r="AL61" i="2" s="1"/>
  <c r="AP17" i="21"/>
  <c r="AP32" i="21" s="1"/>
  <c r="AO68" i="26"/>
  <c r="AL81" i="24"/>
  <c r="AL81" i="2" s="1"/>
  <c r="AO40" i="24"/>
  <c r="AO41" i="24"/>
  <c r="AO47" i="24" s="1"/>
  <c r="AP22" i="24"/>
  <c r="AN67" i="24"/>
  <c r="AN68" i="24"/>
  <c r="AN74" i="24" s="1"/>
  <c r="AM73" i="24"/>
  <c r="AM75" i="24" s="1"/>
  <c r="AM79" i="24" s="1"/>
  <c r="AM41" i="2" s="1"/>
  <c r="AM69" i="24"/>
  <c r="AM70" i="24" s="1"/>
  <c r="AO53" i="24"/>
  <c r="AN42" i="24"/>
  <c r="AN43" i="24" s="1"/>
  <c r="AN46" i="24"/>
  <c r="AN48" i="24" s="1"/>
  <c r="AQ49" i="23"/>
  <c r="AQ51" i="23"/>
  <c r="AQ20" i="23"/>
  <c r="AQ25" i="23"/>
  <c r="AQ28" i="23" s="1"/>
  <c r="AQ56" i="23" s="1"/>
  <c r="AQ22" i="23"/>
  <c r="AR7" i="23"/>
  <c r="AQ10" i="23"/>
  <c r="AQ9" i="23"/>
  <c r="AQ11" i="23"/>
  <c r="AQ10" i="21"/>
  <c r="AQ16" i="21" s="1"/>
  <c r="AQ11" i="21"/>
  <c r="AQ22" i="22"/>
  <c r="AQ23" i="22" s="1"/>
  <c r="AQ10" i="22"/>
  <c r="AP17" i="22"/>
  <c r="AP28" i="22" s="1"/>
  <c r="AP46" i="22" s="1"/>
  <c r="AP16" i="22"/>
  <c r="AP27" i="22" s="1"/>
  <c r="AP45" i="22" s="1"/>
  <c r="AN36" i="21"/>
  <c r="AO61" i="21"/>
  <c r="AO60" i="21"/>
  <c r="AG40" i="22"/>
  <c r="AG39" i="22"/>
  <c r="AG38" i="22"/>
  <c r="AI13" i="22"/>
  <c r="AI33" i="22" s="1"/>
  <c r="AP15" i="22"/>
  <c r="AP26" i="22" s="1"/>
  <c r="AP44" i="22" s="1"/>
  <c r="AQ9" i="22"/>
  <c r="AQ11" i="22"/>
  <c r="AR7" i="22"/>
  <c r="AH13" i="21"/>
  <c r="AO32" i="21"/>
  <c r="AQ35" i="21"/>
  <c r="AQ27" i="21" s="1"/>
  <c r="AP31" i="21"/>
  <c r="AP15" i="21"/>
  <c r="AP60" i="21" s="1"/>
  <c r="AQ9" i="21"/>
  <c r="AR7" i="21"/>
  <c r="AR57" i="21" s="1"/>
  <c r="AD41" i="41" l="1"/>
  <c r="AD46" i="2" s="1"/>
  <c r="AD43" i="41"/>
  <c r="AD86" i="2" s="1"/>
  <c r="AD42" i="41"/>
  <c r="AD66" i="2" s="1"/>
  <c r="AE79" i="23"/>
  <c r="AE30" i="41" s="1"/>
  <c r="AE32" i="41" s="1"/>
  <c r="AE34" i="41" s="1"/>
  <c r="AE36" i="41" s="1"/>
  <c r="AE43" i="41" s="1"/>
  <c r="AE86" i="2" s="1"/>
  <c r="AF77" i="23"/>
  <c r="AH12" i="23"/>
  <c r="AH75" i="23" s="1"/>
  <c r="AG73" i="23"/>
  <c r="AG72" i="23"/>
  <c r="AG74" i="23"/>
  <c r="AQ14" i="23"/>
  <c r="AQ42" i="23"/>
  <c r="AQ61" i="23" s="1"/>
  <c r="AP44" i="23"/>
  <c r="AP63" i="23" s="1"/>
  <c r="AP43" i="23"/>
  <c r="AP62" i="23" s="1"/>
  <c r="AR39" i="23"/>
  <c r="AR36" i="23"/>
  <c r="AR34" i="23"/>
  <c r="AP58" i="23"/>
  <c r="AP57" i="23"/>
  <c r="AQ29" i="23"/>
  <c r="AQ30" i="23"/>
  <c r="AR45" i="21"/>
  <c r="AR47" i="21"/>
  <c r="D47" i="21" s="1"/>
  <c r="AR48" i="21"/>
  <c r="D48" i="21" s="1"/>
  <c r="AR46" i="21"/>
  <c r="D46" i="21" s="1"/>
  <c r="AR52" i="2"/>
  <c r="AR60" i="2"/>
  <c r="AQ17" i="21"/>
  <c r="AQ32" i="21" s="1"/>
  <c r="AP68" i="26"/>
  <c r="AO46" i="24"/>
  <c r="AO48" i="24" s="1"/>
  <c r="AO42" i="24"/>
  <c r="AO43" i="24" s="1"/>
  <c r="AP53" i="24"/>
  <c r="AO67" i="24"/>
  <c r="AO68" i="24"/>
  <c r="AO74" i="24" s="1"/>
  <c r="AQ22" i="24"/>
  <c r="AN73" i="24"/>
  <c r="AN75" i="24" s="1"/>
  <c r="AN79" i="24" s="1"/>
  <c r="AN41" i="2" s="1"/>
  <c r="AN69" i="24"/>
  <c r="AN70" i="24" s="1"/>
  <c r="AM80" i="24"/>
  <c r="AM61" i="2" s="1"/>
  <c r="AP40" i="24"/>
  <c r="AP41" i="24"/>
  <c r="AP47" i="24" s="1"/>
  <c r="AM81" i="24"/>
  <c r="AM81" i="2" s="1"/>
  <c r="AR49" i="23"/>
  <c r="AR51" i="23"/>
  <c r="AR20" i="23"/>
  <c r="AR25" i="23"/>
  <c r="AR28" i="23" s="1"/>
  <c r="AR56" i="23" s="1"/>
  <c r="AR22" i="23"/>
  <c r="AR11" i="23"/>
  <c r="AR9" i="23"/>
  <c r="AR10" i="23"/>
  <c r="AR10" i="21"/>
  <c r="AR17" i="21" s="1"/>
  <c r="AR11" i="21"/>
  <c r="AR22" i="22"/>
  <c r="AR23" i="22" s="1"/>
  <c r="D23" i="22" s="1"/>
  <c r="AR10" i="22"/>
  <c r="AQ17" i="22"/>
  <c r="AQ28" i="22" s="1"/>
  <c r="AQ46" i="22" s="1"/>
  <c r="AQ16" i="22"/>
  <c r="AQ27" i="22" s="1"/>
  <c r="AQ45" i="22" s="1"/>
  <c r="AP36" i="21"/>
  <c r="AO36" i="21"/>
  <c r="AN40" i="21"/>
  <c r="AN72" i="21" s="1"/>
  <c r="AN68" i="2" s="1"/>
  <c r="AN41" i="21"/>
  <c r="AN73" i="21" s="1"/>
  <c r="AN88" i="2" s="1"/>
  <c r="AN39" i="21"/>
  <c r="AN71" i="21" s="1"/>
  <c r="AN48" i="2" s="1"/>
  <c r="AP62" i="21"/>
  <c r="AP61" i="21"/>
  <c r="AQ49" i="21"/>
  <c r="AI34" i="22"/>
  <c r="AJ13" i="22"/>
  <c r="AJ33" i="22" s="1"/>
  <c r="AR11" i="22"/>
  <c r="AR9" i="22"/>
  <c r="AQ15" i="22"/>
  <c r="AQ26" i="22" s="1"/>
  <c r="AQ44" i="22" s="1"/>
  <c r="AI13" i="21"/>
  <c r="AP30" i="21"/>
  <c r="AR35" i="21"/>
  <c r="AR27" i="21" s="1"/>
  <c r="AQ61" i="21"/>
  <c r="AQ15" i="21"/>
  <c r="AQ60" i="21" s="1"/>
  <c r="AR9" i="21"/>
  <c r="AE42" i="41" l="1"/>
  <c r="AE66" i="2" s="1"/>
  <c r="AE41" i="41"/>
  <c r="AE46" i="2" s="1"/>
  <c r="AF79" i="23"/>
  <c r="AF30" i="41" s="1"/>
  <c r="AF32" i="41" s="1"/>
  <c r="AF34" i="41" s="1"/>
  <c r="AF36" i="41" s="1"/>
  <c r="AG77" i="23"/>
  <c r="AI12" i="23"/>
  <c r="AI75" i="23" s="1"/>
  <c r="AH73" i="23"/>
  <c r="AH72" i="23"/>
  <c r="AH74" i="23"/>
  <c r="AR14" i="23"/>
  <c r="AR42" i="23"/>
  <c r="AR61" i="23" s="1"/>
  <c r="AQ44" i="23"/>
  <c r="AQ63" i="23" s="1"/>
  <c r="AQ43" i="23"/>
  <c r="AQ62" i="23" s="1"/>
  <c r="AQ57" i="23"/>
  <c r="AQ58" i="23"/>
  <c r="AR30" i="23"/>
  <c r="AR29" i="23"/>
  <c r="AR72" i="2"/>
  <c r="AR80" i="2"/>
  <c r="AR92" i="2" s="1"/>
  <c r="AQ68" i="26"/>
  <c r="AN80" i="24"/>
  <c r="AN61" i="2" s="1"/>
  <c r="AR16" i="21"/>
  <c r="AR61" i="21" s="1"/>
  <c r="AQ41" i="24"/>
  <c r="AQ47" i="24" s="1"/>
  <c r="AQ40" i="24"/>
  <c r="AO73" i="24"/>
  <c r="AO75" i="24" s="1"/>
  <c r="AO80" i="24" s="1"/>
  <c r="AO61" i="2" s="1"/>
  <c r="AO69" i="24"/>
  <c r="AO70" i="24" s="1"/>
  <c r="AR22" i="24"/>
  <c r="AP46" i="24"/>
  <c r="AP48" i="24" s="1"/>
  <c r="AP42" i="24"/>
  <c r="AP43" i="24" s="1"/>
  <c r="AQ53" i="24"/>
  <c r="AP68" i="24"/>
  <c r="AP74" i="24" s="1"/>
  <c r="AP67" i="24"/>
  <c r="AN81" i="24"/>
  <c r="AN81" i="2" s="1"/>
  <c r="D28" i="23"/>
  <c r="AR16" i="22"/>
  <c r="AR27" i="22" s="1"/>
  <c r="AR17" i="22"/>
  <c r="AR28" i="22" s="1"/>
  <c r="AP39" i="21"/>
  <c r="AP71" i="21" s="1"/>
  <c r="AP48" i="2" s="1"/>
  <c r="AP40" i="21"/>
  <c r="AP72" i="21" s="1"/>
  <c r="AP68" i="2" s="1"/>
  <c r="AP41" i="21"/>
  <c r="AP73" i="21" s="1"/>
  <c r="AP88" i="2" s="1"/>
  <c r="AO41" i="21"/>
  <c r="AO73" i="21" s="1"/>
  <c r="AO88" i="2" s="1"/>
  <c r="AO39" i="21"/>
  <c r="AO71" i="21" s="1"/>
  <c r="AO48" i="2" s="1"/>
  <c r="AO40" i="21"/>
  <c r="AO72" i="21" s="1"/>
  <c r="AO68" i="2" s="1"/>
  <c r="AQ36" i="21"/>
  <c r="D57" i="21"/>
  <c r="AQ62" i="21"/>
  <c r="AR49" i="21"/>
  <c r="AI38" i="22"/>
  <c r="AI40" i="22"/>
  <c r="AI39" i="22"/>
  <c r="D45" i="21"/>
  <c r="AJ34" i="22"/>
  <c r="AK13" i="22"/>
  <c r="AK33" i="22" s="1"/>
  <c r="AR15" i="22"/>
  <c r="AR26" i="22" s="1"/>
  <c r="D22" i="22"/>
  <c r="AJ13" i="21"/>
  <c r="AQ31" i="21"/>
  <c r="AQ30" i="21"/>
  <c r="D35" i="21"/>
  <c r="AR62" i="21"/>
  <c r="AR15" i="21"/>
  <c r="AR60" i="21" s="1"/>
  <c r="AF41" i="41" l="1"/>
  <c r="AF46" i="2" s="1"/>
  <c r="AF43" i="41"/>
  <c r="AF86" i="2" s="1"/>
  <c r="AF42" i="41"/>
  <c r="AF66" i="2" s="1"/>
  <c r="AG79" i="23"/>
  <c r="AG30" i="41" s="1"/>
  <c r="AG32" i="41" s="1"/>
  <c r="AG34" i="41" s="1"/>
  <c r="AG36" i="41" s="1"/>
  <c r="AH77" i="23"/>
  <c r="AJ12" i="23"/>
  <c r="AJ75" i="23" s="1"/>
  <c r="AI74" i="23"/>
  <c r="AI73" i="23"/>
  <c r="AI72" i="23"/>
  <c r="D61" i="23"/>
  <c r="AR44" i="23"/>
  <c r="AR43" i="23"/>
  <c r="D42" i="23"/>
  <c r="AR58" i="23"/>
  <c r="D58" i="23" s="1"/>
  <c r="AR57" i="23"/>
  <c r="D57" i="23" s="1"/>
  <c r="D29" i="23"/>
  <c r="D30" i="23"/>
  <c r="AR68" i="26"/>
  <c r="D68" i="26" s="1"/>
  <c r="AO79" i="24"/>
  <c r="AO41" i="2" s="1"/>
  <c r="AO81" i="24"/>
  <c r="AO81" i="2" s="1"/>
  <c r="AP73" i="24"/>
  <c r="AP75" i="24" s="1"/>
  <c r="AP79" i="24" s="1"/>
  <c r="AP41" i="2" s="1"/>
  <c r="AP69" i="24"/>
  <c r="AP70" i="24" s="1"/>
  <c r="AQ67" i="24"/>
  <c r="AQ68" i="24"/>
  <c r="AQ74" i="24" s="1"/>
  <c r="AQ46" i="24"/>
  <c r="AQ48" i="24" s="1"/>
  <c r="AQ42" i="24"/>
  <c r="AQ43" i="24" s="1"/>
  <c r="D56" i="23"/>
  <c r="AR53" i="24"/>
  <c r="D22" i="24"/>
  <c r="AR41" i="24"/>
  <c r="AR40" i="24"/>
  <c r="D60" i="21"/>
  <c r="D62" i="21"/>
  <c r="D61" i="21"/>
  <c r="AQ39" i="21"/>
  <c r="AQ71" i="21" s="1"/>
  <c r="AQ48" i="2" s="1"/>
  <c r="AQ40" i="21"/>
  <c r="AQ72" i="21" s="1"/>
  <c r="AQ68" i="2" s="1"/>
  <c r="AQ41" i="21"/>
  <c r="AQ73" i="21" s="1"/>
  <c r="AQ88" i="2" s="1"/>
  <c r="AJ38" i="22"/>
  <c r="AJ39" i="22"/>
  <c r="AJ40" i="22"/>
  <c r="AH33" i="22"/>
  <c r="AK34" i="22"/>
  <c r="AL13" i="22"/>
  <c r="AL33" i="22" s="1"/>
  <c r="AR44" i="22"/>
  <c r="D44" i="22" s="1"/>
  <c r="D26" i="22"/>
  <c r="D27" i="22"/>
  <c r="AR45" i="22"/>
  <c r="D45" i="22" s="1"/>
  <c r="D28" i="22"/>
  <c r="AR46" i="22"/>
  <c r="D46" i="22" s="1"/>
  <c r="AK13" i="21"/>
  <c r="AR30" i="21"/>
  <c r="AR31" i="21"/>
  <c r="AR32" i="21"/>
  <c r="D27" i="21"/>
  <c r="AH79" i="23" l="1"/>
  <c r="AH30" i="41" s="1"/>
  <c r="AH32" i="41" s="1"/>
  <c r="AH34" i="41" s="1"/>
  <c r="AH36" i="41" s="1"/>
  <c r="AG42" i="41"/>
  <c r="AG66" i="2" s="1"/>
  <c r="AG41" i="41"/>
  <c r="AG46" i="2" s="1"/>
  <c r="AG43" i="41"/>
  <c r="AG86" i="2" s="1"/>
  <c r="AI77" i="23"/>
  <c r="AK12" i="23"/>
  <c r="AK75" i="23" s="1"/>
  <c r="AJ74" i="23"/>
  <c r="AJ73" i="23"/>
  <c r="AJ72" i="23"/>
  <c r="D43" i="23"/>
  <c r="AR62" i="23"/>
  <c r="D62" i="23" s="1"/>
  <c r="D44" i="23"/>
  <c r="AR63" i="23"/>
  <c r="D63" i="23" s="1"/>
  <c r="AP81" i="24"/>
  <c r="AP81" i="2" s="1"/>
  <c r="AP80" i="24"/>
  <c r="AP61" i="2" s="1"/>
  <c r="AR47" i="24"/>
  <c r="D47" i="24" s="1"/>
  <c r="D41" i="24"/>
  <c r="AQ69" i="24"/>
  <c r="AQ70" i="24" s="1"/>
  <c r="AQ73" i="24"/>
  <c r="AQ75" i="24" s="1"/>
  <c r="AQ80" i="24" s="1"/>
  <c r="AQ61" i="2" s="1"/>
  <c r="AR67" i="24"/>
  <c r="AR68" i="24"/>
  <c r="D53" i="24"/>
  <c r="AR46" i="24"/>
  <c r="AR42" i="24"/>
  <c r="D40" i="24"/>
  <c r="AR36" i="21"/>
  <c r="AK38" i="22"/>
  <c r="AK39" i="22"/>
  <c r="AK40" i="22"/>
  <c r="AL34" i="22"/>
  <c r="AM13" i="22"/>
  <c r="AM33" i="22" s="1"/>
  <c r="AH34" i="22"/>
  <c r="D30" i="21"/>
  <c r="AL13" i="21"/>
  <c r="D31" i="21"/>
  <c r="D32" i="21"/>
  <c r="D42" i="24" l="1"/>
  <c r="AR43" i="24"/>
  <c r="D43" i="24" s="1"/>
  <c r="AJ77" i="23"/>
  <c r="AJ79" i="23" s="1"/>
  <c r="AJ30" i="41" s="1"/>
  <c r="AJ32" i="41" s="1"/>
  <c r="AJ34" i="41" s="1"/>
  <c r="AJ36" i="41" s="1"/>
  <c r="AJ42" i="41" s="1"/>
  <c r="AJ66" i="2" s="1"/>
  <c r="AH42" i="41"/>
  <c r="AH66" i="2" s="1"/>
  <c r="AH43" i="41"/>
  <c r="AH86" i="2" s="1"/>
  <c r="AH41" i="41"/>
  <c r="AH46" i="2" s="1"/>
  <c r="AI79" i="23"/>
  <c r="AI30" i="41" s="1"/>
  <c r="AI32" i="41" s="1"/>
  <c r="AI34" i="41" s="1"/>
  <c r="AI36" i="41" s="1"/>
  <c r="AL12" i="23"/>
  <c r="AL75" i="23" s="1"/>
  <c r="AK72" i="23"/>
  <c r="AK73" i="23"/>
  <c r="AK74" i="23"/>
  <c r="AQ79" i="24"/>
  <c r="AQ41" i="2" s="1"/>
  <c r="AQ81" i="24"/>
  <c r="AQ81" i="2" s="1"/>
  <c r="AR48" i="24"/>
  <c r="D46" i="24"/>
  <c r="AR74" i="24"/>
  <c r="D74" i="24" s="1"/>
  <c r="D68" i="24"/>
  <c r="AR73" i="24"/>
  <c r="AR69" i="24"/>
  <c r="D67" i="24"/>
  <c r="D36" i="21"/>
  <c r="AR41" i="21"/>
  <c r="AR39" i="21"/>
  <c r="AR40" i="21"/>
  <c r="AH40" i="22"/>
  <c r="AH38" i="22"/>
  <c r="AH39" i="22"/>
  <c r="AL38" i="22"/>
  <c r="AL39" i="22"/>
  <c r="AL40" i="22"/>
  <c r="AN13" i="22"/>
  <c r="AN33" i="22" s="1"/>
  <c r="AM13" i="21"/>
  <c r="D69" i="24" l="1"/>
  <c r="AR70" i="24"/>
  <c r="D70" i="24" s="1"/>
  <c r="AI41" i="41"/>
  <c r="AI46" i="2" s="1"/>
  <c r="AI42" i="41"/>
  <c r="AI66" i="2" s="1"/>
  <c r="AI43" i="41"/>
  <c r="AI86" i="2" s="1"/>
  <c r="AJ41" i="41"/>
  <c r="AJ46" i="2" s="1"/>
  <c r="AJ43" i="41"/>
  <c r="AJ86" i="2" s="1"/>
  <c r="AK77" i="23"/>
  <c r="AM12" i="23"/>
  <c r="AM75" i="23" s="1"/>
  <c r="AL73" i="23"/>
  <c r="AL72" i="23"/>
  <c r="AL74" i="23"/>
  <c r="AR75" i="24"/>
  <c r="AR80" i="24" s="1"/>
  <c r="D73" i="24"/>
  <c r="D48" i="24"/>
  <c r="D40" i="21"/>
  <c r="AR72" i="21"/>
  <c r="D39" i="21"/>
  <c r="AR71" i="21"/>
  <c r="D41" i="21"/>
  <c r="AR73" i="21"/>
  <c r="AM34" i="22"/>
  <c r="AO13" i="22"/>
  <c r="AO33" i="22" s="1"/>
  <c r="AN13" i="21"/>
  <c r="AL77" i="23" l="1"/>
  <c r="AL79" i="23" s="1"/>
  <c r="AL30" i="41" s="1"/>
  <c r="AL32" i="41" s="1"/>
  <c r="AL34" i="41" s="1"/>
  <c r="AL36" i="41" s="1"/>
  <c r="AK79" i="23"/>
  <c r="AK30" i="41" s="1"/>
  <c r="AK32" i="41" s="1"/>
  <c r="AK34" i="41" s="1"/>
  <c r="AK36" i="41" s="1"/>
  <c r="AN12" i="23"/>
  <c r="AN75" i="23" s="1"/>
  <c r="AM73" i="23"/>
  <c r="AM72" i="23"/>
  <c r="AM74" i="23"/>
  <c r="D71" i="21"/>
  <c r="AR48" i="2"/>
  <c r="D48" i="2" s="1"/>
  <c r="C20" i="2" s="1"/>
  <c r="D72" i="21"/>
  <c r="AR68" i="2"/>
  <c r="D68" i="2" s="1"/>
  <c r="D20" i="2" s="1"/>
  <c r="D73" i="21"/>
  <c r="AR88" i="2"/>
  <c r="D88" i="2" s="1"/>
  <c r="E20" i="2" s="1"/>
  <c r="D80" i="24"/>
  <c r="AR61" i="2"/>
  <c r="AR81" i="24"/>
  <c r="AR79" i="24"/>
  <c r="AR41" i="2" s="1"/>
  <c r="D41" i="2" s="1"/>
  <c r="C13" i="2" s="1"/>
  <c r="D75" i="24"/>
  <c r="AM39" i="22"/>
  <c r="AM40" i="22"/>
  <c r="AM38" i="22"/>
  <c r="AO34" i="22"/>
  <c r="AP13" i="22"/>
  <c r="AP33" i="22" s="1"/>
  <c r="AN34" i="22"/>
  <c r="AO13" i="21"/>
  <c r="AL42" i="41" l="1"/>
  <c r="AL66" i="2" s="1"/>
  <c r="AL41" i="41"/>
  <c r="AL46" i="2" s="1"/>
  <c r="AL43" i="41"/>
  <c r="AL86" i="2" s="1"/>
  <c r="AK42" i="41"/>
  <c r="AK66" i="2" s="1"/>
  <c r="AK41" i="41"/>
  <c r="AK46" i="2" s="1"/>
  <c r="AK43" i="41"/>
  <c r="AK86" i="2" s="1"/>
  <c r="AM77" i="23"/>
  <c r="AM79" i="23" s="1"/>
  <c r="AM30" i="41" s="1"/>
  <c r="AO12" i="23"/>
  <c r="AO75" i="23" s="1"/>
  <c r="AN73" i="23"/>
  <c r="AN72" i="23"/>
  <c r="AN74" i="23"/>
  <c r="J32" i="10"/>
  <c r="L17" i="10"/>
  <c r="L27" i="10"/>
  <c r="K17" i="10"/>
  <c r="K27" i="10"/>
  <c r="J17" i="10"/>
  <c r="J27" i="10"/>
  <c r="D61" i="2"/>
  <c r="D13" i="2" s="1"/>
  <c r="K32" i="10" s="1"/>
  <c r="D81" i="24"/>
  <c r="AR81" i="2"/>
  <c r="D79" i="24"/>
  <c r="AN39" i="22"/>
  <c r="AN40" i="22"/>
  <c r="AN38" i="22"/>
  <c r="AO40" i="22"/>
  <c r="AO39" i="22"/>
  <c r="AO38" i="22"/>
  <c r="AP34" i="22"/>
  <c r="AQ13" i="22"/>
  <c r="AQ33" i="22" s="1"/>
  <c r="AP13" i="21"/>
  <c r="AN77" i="23" l="1"/>
  <c r="AM32" i="41"/>
  <c r="AP12" i="23"/>
  <c r="AP75" i="23" s="1"/>
  <c r="AO73" i="23"/>
  <c r="AO72" i="23"/>
  <c r="AO74" i="23"/>
  <c r="D81" i="2"/>
  <c r="E13" i="2" s="1"/>
  <c r="AP40" i="22"/>
  <c r="AP38" i="22"/>
  <c r="AP39" i="22"/>
  <c r="AQ34" i="22"/>
  <c r="AR13" i="22"/>
  <c r="AR33" i="22" s="1"/>
  <c r="AQ13" i="21"/>
  <c r="AN79" i="23" l="1"/>
  <c r="AN30" i="41" s="1"/>
  <c r="AN32" i="41" s="1"/>
  <c r="AN34" i="41" s="1"/>
  <c r="AN36" i="41" s="1"/>
  <c r="AO77" i="23"/>
  <c r="AM34" i="41"/>
  <c r="AQ12" i="23"/>
  <c r="AQ75" i="23" s="1"/>
  <c r="AP73" i="23"/>
  <c r="AP72" i="23"/>
  <c r="AP74" i="23"/>
  <c r="L32" i="10"/>
  <c r="F4" i="10"/>
  <c r="AQ38" i="22"/>
  <c r="AQ39" i="22"/>
  <c r="AQ40" i="22"/>
  <c r="D33" i="22"/>
  <c r="AR13" i="21"/>
  <c r="AN42" i="41" l="1"/>
  <c r="AN66" i="2" s="1"/>
  <c r="AN43" i="41"/>
  <c r="AN86" i="2" s="1"/>
  <c r="AN41" i="41"/>
  <c r="AN46" i="2" s="1"/>
  <c r="AP77" i="23"/>
  <c r="AP79" i="23" s="1"/>
  <c r="AP30" i="41" s="1"/>
  <c r="AO79" i="23"/>
  <c r="AO30" i="41" s="1"/>
  <c r="AO32" i="41" s="1"/>
  <c r="AO34" i="41" s="1"/>
  <c r="AO36" i="41" s="1"/>
  <c r="AO42" i="41" s="1"/>
  <c r="AO66" i="2" s="1"/>
  <c r="AM36" i="41"/>
  <c r="AR12" i="23"/>
  <c r="AR75" i="23" s="1"/>
  <c r="AQ74" i="23"/>
  <c r="AQ73" i="23"/>
  <c r="AQ72" i="23"/>
  <c r="AR34" i="22"/>
  <c r="AQ77" i="23" l="1"/>
  <c r="AQ79" i="23" s="1"/>
  <c r="AQ30" i="41" s="1"/>
  <c r="AQ32" i="41" s="1"/>
  <c r="AQ34" i="41" s="1"/>
  <c r="AQ36" i="41" s="1"/>
  <c r="AO43" i="41"/>
  <c r="AO86" i="2" s="1"/>
  <c r="AO41" i="41"/>
  <c r="AO46" i="2" s="1"/>
  <c r="AM42" i="41"/>
  <c r="AM43" i="41"/>
  <c r="AM41" i="41"/>
  <c r="AP32" i="41"/>
  <c r="AR74" i="23"/>
  <c r="AR73" i="23"/>
  <c r="AR72" i="23"/>
  <c r="D34" i="22"/>
  <c r="AR38" i="22"/>
  <c r="AR39" i="22"/>
  <c r="AR40" i="22"/>
  <c r="AQ43" i="41" l="1"/>
  <c r="AQ86" i="2" s="1"/>
  <c r="AQ42" i="41"/>
  <c r="AQ66" i="2" s="1"/>
  <c r="AQ41" i="41"/>
  <c r="AQ46" i="2" s="1"/>
  <c r="AR77" i="23"/>
  <c r="AR79" i="23" s="1"/>
  <c r="D79" i="23" s="1"/>
  <c r="AP34" i="41"/>
  <c r="AM86" i="2"/>
  <c r="AM66" i="2"/>
  <c r="AM46" i="2"/>
  <c r="AO50" i="22"/>
  <c r="AO55" i="22" s="1"/>
  <c r="AO69" i="2" s="1"/>
  <c r="N51" i="22"/>
  <c r="N56" i="22" s="1"/>
  <c r="N89" i="2" s="1"/>
  <c r="G50" i="22"/>
  <c r="G55" i="22" s="1"/>
  <c r="G69" i="2" s="1"/>
  <c r="AP51" i="22"/>
  <c r="AP56" i="22" s="1"/>
  <c r="AP89" i="2" s="1"/>
  <c r="H49" i="22"/>
  <c r="H54" i="22" s="1"/>
  <c r="H49" i="2" s="1"/>
  <c r="T51" i="22"/>
  <c r="T56" i="22" s="1"/>
  <c r="T89" i="2" s="1"/>
  <c r="AG49" i="22"/>
  <c r="AG54" i="22" s="1"/>
  <c r="AG49" i="2" s="1"/>
  <c r="AH50" i="22"/>
  <c r="AH55" i="22" s="1"/>
  <c r="AH69" i="2" s="1"/>
  <c r="X49" i="22"/>
  <c r="X54" i="22" s="1"/>
  <c r="X49" i="2" s="1"/>
  <c r="AR50" i="22"/>
  <c r="AR55" i="22" s="1"/>
  <c r="AR69" i="2" s="1"/>
  <c r="AO51" i="22"/>
  <c r="AO56" i="22" s="1"/>
  <c r="AO89" i="2" s="1"/>
  <c r="R50" i="22"/>
  <c r="R55" i="22" s="1"/>
  <c r="R69" i="2" s="1"/>
  <c r="AG51" i="22"/>
  <c r="AG56" i="22" s="1"/>
  <c r="AG89" i="2" s="1"/>
  <c r="U51" i="22"/>
  <c r="U56" i="22" s="1"/>
  <c r="U89" i="2" s="1"/>
  <c r="AD51" i="22"/>
  <c r="AD56" i="22" s="1"/>
  <c r="AD89" i="2" s="1"/>
  <c r="Y49" i="22"/>
  <c r="Y54" i="22" s="1"/>
  <c r="Y49" i="2" s="1"/>
  <c r="AP50" i="22"/>
  <c r="AP55" i="22" s="1"/>
  <c r="AP69" i="2" s="1"/>
  <c r="W50" i="22"/>
  <c r="W55" i="22" s="1"/>
  <c r="W69" i="2" s="1"/>
  <c r="G51" i="22"/>
  <c r="G56" i="22" s="1"/>
  <c r="G89" i="2" s="1"/>
  <c r="Y51" i="22"/>
  <c r="Y56" i="22" s="1"/>
  <c r="Y89" i="2" s="1"/>
  <c r="AJ51" i="22"/>
  <c r="AJ56" i="22" s="1"/>
  <c r="AJ89" i="2" s="1"/>
  <c r="P50" i="22"/>
  <c r="P55" i="22" s="1"/>
  <c r="P69" i="2" s="1"/>
  <c r="AD50" i="22"/>
  <c r="AD55" i="22" s="1"/>
  <c r="AD69" i="2" s="1"/>
  <c r="H50" i="22"/>
  <c r="H55" i="22" s="1"/>
  <c r="H69" i="2" s="1"/>
  <c r="AF49" i="22"/>
  <c r="AF54" i="22" s="1"/>
  <c r="AF49" i="2" s="1"/>
  <c r="AB51" i="22"/>
  <c r="AB56" i="22" s="1"/>
  <c r="AB89" i="2" s="1"/>
  <c r="AA49" i="22"/>
  <c r="AA54" i="22" s="1"/>
  <c r="AA49" i="2" s="1"/>
  <c r="N49" i="22"/>
  <c r="N54" i="22" s="1"/>
  <c r="N49" i="2" s="1"/>
  <c r="I49" i="22"/>
  <c r="I54" i="22" s="1"/>
  <c r="I49" i="2" s="1"/>
  <c r="Y50" i="22"/>
  <c r="Y55" i="22" s="1"/>
  <c r="Y69" i="2" s="1"/>
  <c r="H51" i="22"/>
  <c r="H56" i="22" s="1"/>
  <c r="H89" i="2" s="1"/>
  <c r="U50" i="22"/>
  <c r="U55" i="22" s="1"/>
  <c r="U69" i="2" s="1"/>
  <c r="AI49" i="22"/>
  <c r="AI54" i="22" s="1"/>
  <c r="AI49" i="2" s="1"/>
  <c r="S51" i="22"/>
  <c r="S56" i="22" s="1"/>
  <c r="S89" i="2" s="1"/>
  <c r="AN49" i="22"/>
  <c r="AN54" i="22" s="1"/>
  <c r="AN49" i="2" s="1"/>
  <c r="K51" i="22"/>
  <c r="K56" i="22" s="1"/>
  <c r="K89" i="2" s="1"/>
  <c r="AI51" i="22"/>
  <c r="AI56" i="22" s="1"/>
  <c r="AI89" i="2" s="1"/>
  <c r="AC51" i="22"/>
  <c r="AC56" i="22" s="1"/>
  <c r="AC89" i="2" s="1"/>
  <c r="R49" i="22"/>
  <c r="R54" i="22" s="1"/>
  <c r="R49" i="2" s="1"/>
  <c r="Q50" i="22"/>
  <c r="Q55" i="22" s="1"/>
  <c r="Q69" i="2" s="1"/>
  <c r="AM49" i="22"/>
  <c r="AM54" i="22" s="1"/>
  <c r="AM49" i="2" s="1"/>
  <c r="J50" i="22"/>
  <c r="J55" i="22" s="1"/>
  <c r="J69" i="2" s="1"/>
  <c r="Z49" i="22"/>
  <c r="Z54" i="22" s="1"/>
  <c r="Z49" i="2" s="1"/>
  <c r="L51" i="22"/>
  <c r="L56" i="22" s="1"/>
  <c r="L89" i="2" s="1"/>
  <c r="AB49" i="22"/>
  <c r="AB54" i="22" s="1"/>
  <c r="AB49" i="2" s="1"/>
  <c r="AN51" i="22"/>
  <c r="AN56" i="22" s="1"/>
  <c r="AN89" i="2" s="1"/>
  <c r="I50" i="22"/>
  <c r="I55" i="22" s="1"/>
  <c r="I69" i="2" s="1"/>
  <c r="X51" i="22"/>
  <c r="X56" i="22" s="1"/>
  <c r="X89" i="2" s="1"/>
  <c r="AH49" i="22"/>
  <c r="AH54" i="22" s="1"/>
  <c r="AH49" i="2" s="1"/>
  <c r="AK49" i="22"/>
  <c r="AK54" i="22" s="1"/>
  <c r="AK49" i="2" s="1"/>
  <c r="T50" i="22"/>
  <c r="T55" i="22" s="1"/>
  <c r="T69" i="2" s="1"/>
  <c r="Z51" i="22"/>
  <c r="Z56" i="22" s="1"/>
  <c r="Z89" i="2" s="1"/>
  <c r="K50" i="22"/>
  <c r="K55" i="22" s="1"/>
  <c r="K69" i="2" s="1"/>
  <c r="S50" i="22"/>
  <c r="S55" i="22" s="1"/>
  <c r="S69" i="2" s="1"/>
  <c r="AG50" i="22"/>
  <c r="AG55" i="22" s="1"/>
  <c r="AG69" i="2" s="1"/>
  <c r="M49" i="22"/>
  <c r="M54" i="22" s="1"/>
  <c r="M49" i="2" s="1"/>
  <c r="V50" i="22"/>
  <c r="V55" i="22" s="1"/>
  <c r="V69" i="2" s="1"/>
  <c r="AO49" i="22"/>
  <c r="AO54" i="22" s="1"/>
  <c r="AO49" i="2" s="1"/>
  <c r="V49" i="22"/>
  <c r="V54" i="22" s="1"/>
  <c r="V49" i="2" s="1"/>
  <c r="U49" i="22"/>
  <c r="U54" i="22" s="1"/>
  <c r="U49" i="2" s="1"/>
  <c r="AI50" i="22"/>
  <c r="AI55" i="22" s="1"/>
  <c r="AI69" i="2" s="1"/>
  <c r="AE51" i="22"/>
  <c r="AE56" i="22" s="1"/>
  <c r="AE89" i="2" s="1"/>
  <c r="AE49" i="22"/>
  <c r="AE54" i="22" s="1"/>
  <c r="AE49" i="2" s="1"/>
  <c r="W49" i="22"/>
  <c r="W54" i="22" s="1"/>
  <c r="W49" i="2" s="1"/>
  <c r="AE50" i="22"/>
  <c r="AE55" i="22" s="1"/>
  <c r="AE69" i="2" s="1"/>
  <c r="AD49" i="22"/>
  <c r="AD54" i="22" s="1"/>
  <c r="AD49" i="2" s="1"/>
  <c r="AK51" i="22"/>
  <c r="AK56" i="22" s="1"/>
  <c r="AK89" i="2" s="1"/>
  <c r="O50" i="22"/>
  <c r="O55" i="22" s="1"/>
  <c r="O69" i="2" s="1"/>
  <c r="AB50" i="22"/>
  <c r="AB55" i="22" s="1"/>
  <c r="AB69" i="2" s="1"/>
  <c r="R51" i="22"/>
  <c r="R56" i="22" s="1"/>
  <c r="R89" i="2" s="1"/>
  <c r="L49" i="22"/>
  <c r="L54" i="22" s="1"/>
  <c r="L49" i="2" s="1"/>
  <c r="O51" i="22"/>
  <c r="O56" i="22" s="1"/>
  <c r="O89" i="2" s="1"/>
  <c r="Q49" i="22"/>
  <c r="Q54" i="22" s="1"/>
  <c r="Q49" i="2" s="1"/>
  <c r="AM51" i="22"/>
  <c r="AM56" i="22" s="1"/>
  <c r="AM89" i="2" s="1"/>
  <c r="L50" i="22"/>
  <c r="L55" i="22" s="1"/>
  <c r="L69" i="2" s="1"/>
  <c r="AJ49" i="22"/>
  <c r="AJ54" i="22" s="1"/>
  <c r="AJ49" i="2" s="1"/>
  <c r="AM50" i="22"/>
  <c r="AM55" i="22" s="1"/>
  <c r="AM69" i="2" s="1"/>
  <c r="AL50" i="22"/>
  <c r="AL55" i="22" s="1"/>
  <c r="AL69" i="2" s="1"/>
  <c r="AR49" i="22"/>
  <c r="AR54" i="22" s="1"/>
  <c r="AR49" i="2" s="1"/>
  <c r="T49" i="22"/>
  <c r="T54" i="22" s="1"/>
  <c r="T49" i="2" s="1"/>
  <c r="S49" i="22"/>
  <c r="S54" i="22" s="1"/>
  <c r="S49" i="2" s="1"/>
  <c r="K49" i="22"/>
  <c r="K54" i="22" s="1"/>
  <c r="K49" i="2" s="1"/>
  <c r="J49" i="22"/>
  <c r="J54" i="22" s="1"/>
  <c r="J49" i="2" s="1"/>
  <c r="AF50" i="22"/>
  <c r="AF55" i="22" s="1"/>
  <c r="AF69" i="2" s="1"/>
  <c r="O49" i="22"/>
  <c r="O54" i="22" s="1"/>
  <c r="O49" i="2" s="1"/>
  <c r="AC49" i="22"/>
  <c r="AC54" i="22" s="1"/>
  <c r="AC49" i="2" s="1"/>
  <c r="Z50" i="22"/>
  <c r="Z55" i="22" s="1"/>
  <c r="Z69" i="2" s="1"/>
  <c r="M51" i="22"/>
  <c r="M56" i="22" s="1"/>
  <c r="M89" i="2" s="1"/>
  <c r="P51" i="22"/>
  <c r="P56" i="22" s="1"/>
  <c r="P89" i="2" s="1"/>
  <c r="AJ50" i="22"/>
  <c r="AJ55" i="22" s="1"/>
  <c r="AJ69" i="2" s="1"/>
  <c r="AQ49" i="22"/>
  <c r="AQ54" i="22" s="1"/>
  <c r="AQ49" i="2" s="1"/>
  <c r="W51" i="22"/>
  <c r="W56" i="22" s="1"/>
  <c r="W89" i="2" s="1"/>
  <c r="V51" i="22"/>
  <c r="V56" i="22" s="1"/>
  <c r="V89" i="2" s="1"/>
  <c r="AC50" i="22"/>
  <c r="AC55" i="22" s="1"/>
  <c r="AC69" i="2" s="1"/>
  <c r="AN50" i="22"/>
  <c r="AN55" i="22" s="1"/>
  <c r="AN69" i="2" s="1"/>
  <c r="AQ51" i="22"/>
  <c r="AQ56" i="22" s="1"/>
  <c r="AQ89" i="2" s="1"/>
  <c r="AA50" i="22"/>
  <c r="AA55" i="22" s="1"/>
  <c r="AA69" i="2" s="1"/>
  <c r="M50" i="22"/>
  <c r="M55" i="22" s="1"/>
  <c r="M69" i="2" s="1"/>
  <c r="P49" i="22"/>
  <c r="P54" i="22" s="1"/>
  <c r="P49" i="2" s="1"/>
  <c r="N50" i="22"/>
  <c r="N55" i="22" s="1"/>
  <c r="N69" i="2" s="1"/>
  <c r="G49" i="22"/>
  <c r="G54" i="22" s="1"/>
  <c r="G49" i="2" s="1"/>
  <c r="AP49" i="22"/>
  <c r="AP54" i="22" s="1"/>
  <c r="AP49" i="2" s="1"/>
  <c r="X50" i="22"/>
  <c r="X55" i="22" s="1"/>
  <c r="X69" i="2" s="1"/>
  <c r="AL51" i="22"/>
  <c r="AL56" i="22" s="1"/>
  <c r="AL89" i="2" s="1"/>
  <c r="AL49" i="22"/>
  <c r="AL54" i="22" s="1"/>
  <c r="AL49" i="2" s="1"/>
  <c r="I51" i="22"/>
  <c r="I56" i="22" s="1"/>
  <c r="I89" i="2" s="1"/>
  <c r="AA51" i="22"/>
  <c r="AA56" i="22" s="1"/>
  <c r="AA89" i="2" s="1"/>
  <c r="F50" i="22"/>
  <c r="F55" i="22" s="1"/>
  <c r="F69" i="2" s="1"/>
  <c r="AQ50" i="22"/>
  <c r="AQ55" i="22" s="1"/>
  <c r="AQ69" i="2" s="1"/>
  <c r="AR51" i="22"/>
  <c r="AR56" i="22" s="1"/>
  <c r="AR89" i="2" s="1"/>
  <c r="AF51" i="22"/>
  <c r="AF56" i="22" s="1"/>
  <c r="AF89" i="2" s="1"/>
  <c r="AH51" i="22"/>
  <c r="AH56" i="22" s="1"/>
  <c r="AH89" i="2" s="1"/>
  <c r="D38" i="22"/>
  <c r="F49" i="22"/>
  <c r="F54" i="22" s="1"/>
  <c r="F49" i="2" s="1"/>
  <c r="Q51" i="22"/>
  <c r="Q56" i="22" s="1"/>
  <c r="Q89" i="2" s="1"/>
  <c r="AK50" i="22"/>
  <c r="AK55" i="22" s="1"/>
  <c r="AK69" i="2" s="1"/>
  <c r="F51" i="22"/>
  <c r="F56" i="22" s="1"/>
  <c r="F89" i="2" s="1"/>
  <c r="AR30" i="41" l="1"/>
  <c r="AR32" i="41" s="1"/>
  <c r="AP36" i="41"/>
  <c r="D69" i="2"/>
  <c r="D21" i="2" s="1"/>
  <c r="K38" i="10" s="1"/>
  <c r="D49" i="2"/>
  <c r="C21" i="2" s="1"/>
  <c r="J38" i="10" s="1"/>
  <c r="D55" i="22"/>
  <c r="D50" i="22"/>
  <c r="D40" i="22"/>
  <c r="J51" i="22"/>
  <c r="D49" i="22"/>
  <c r="D54" i="22"/>
  <c r="D39" i="22"/>
  <c r="D30" i="41" l="1"/>
  <c r="AP41" i="41"/>
  <c r="AP43" i="41"/>
  <c r="AP42" i="41"/>
  <c r="AR34" i="41"/>
  <c r="D32" i="41"/>
  <c r="J56" i="22"/>
  <c r="D51" i="22"/>
  <c r="AI54" i="21"/>
  <c r="AI68" i="21" s="1"/>
  <c r="AF52" i="21"/>
  <c r="AF66" i="21" s="1"/>
  <c r="I52" i="21"/>
  <c r="I66" i="21" s="1"/>
  <c r="AH52" i="21"/>
  <c r="AH66" i="21" s="1"/>
  <c r="W52" i="21"/>
  <c r="W66" i="21" s="1"/>
  <c r="AI53" i="21"/>
  <c r="AI67" i="21" s="1"/>
  <c r="AB54" i="21"/>
  <c r="AB68" i="21" s="1"/>
  <c r="J53" i="21"/>
  <c r="J67" i="21" s="1"/>
  <c r="V52" i="21"/>
  <c r="V66" i="21" s="1"/>
  <c r="I53" i="21"/>
  <c r="I67" i="21" s="1"/>
  <c r="AQ54" i="21"/>
  <c r="AQ68" i="21" s="1"/>
  <c r="N53" i="21"/>
  <c r="N67" i="21" s="1"/>
  <c r="AQ53" i="21"/>
  <c r="AQ67" i="21" s="1"/>
  <c r="AE53" i="21"/>
  <c r="AE67" i="21" s="1"/>
  <c r="V53" i="21"/>
  <c r="V67" i="21" s="1"/>
  <c r="R53" i="21"/>
  <c r="R67" i="21" s="1"/>
  <c r="T52" i="21"/>
  <c r="T66" i="21" s="1"/>
  <c r="O52" i="21"/>
  <c r="O66" i="21" s="1"/>
  <c r="X52" i="21"/>
  <c r="X66" i="21" s="1"/>
  <c r="AK54" i="21"/>
  <c r="AK68" i="21" s="1"/>
  <c r="AI52" i="21"/>
  <c r="AI66" i="21" s="1"/>
  <c r="U54" i="21"/>
  <c r="U68" i="21" s="1"/>
  <c r="U52" i="21"/>
  <c r="U66" i="21" s="1"/>
  <c r="Q53" i="21"/>
  <c r="Q67" i="21" s="1"/>
  <c r="AC53" i="21"/>
  <c r="AC67" i="21" s="1"/>
  <c r="T54" i="21"/>
  <c r="T68" i="21" s="1"/>
  <c r="AM53" i="21"/>
  <c r="AM67" i="21" s="1"/>
  <c r="AG54" i="21"/>
  <c r="AG68" i="21" s="1"/>
  <c r="AA52" i="21"/>
  <c r="AA66" i="21" s="1"/>
  <c r="AG52" i="21"/>
  <c r="AG66" i="21" s="1"/>
  <c r="AM54" i="21"/>
  <c r="AM68" i="21" s="1"/>
  <c r="L52" i="21"/>
  <c r="L66" i="21" s="1"/>
  <c r="P54" i="21"/>
  <c r="P68" i="21" s="1"/>
  <c r="Q54" i="21"/>
  <c r="Q68" i="21" s="1"/>
  <c r="AD52" i="21"/>
  <c r="AD66" i="21" s="1"/>
  <c r="M54" i="21"/>
  <c r="M68" i="21" s="1"/>
  <c r="AL53" i="21"/>
  <c r="AL67" i="21" s="1"/>
  <c r="Z52" i="21"/>
  <c r="Z66" i="21" s="1"/>
  <c r="N52" i="21"/>
  <c r="N66" i="21" s="1"/>
  <c r="W54" i="21"/>
  <c r="W68" i="21" s="1"/>
  <c r="X53" i="21"/>
  <c r="X67" i="21" s="1"/>
  <c r="AB52" i="21"/>
  <c r="AB66" i="21" s="1"/>
  <c r="AG53" i="21"/>
  <c r="AG67" i="21" s="1"/>
  <c r="W53" i="21"/>
  <c r="W67" i="21" s="1"/>
  <c r="O54" i="21"/>
  <c r="O68" i="21" s="1"/>
  <c r="Y54" i="21"/>
  <c r="Y68" i="21" s="1"/>
  <c r="AN52" i="21"/>
  <c r="AN66" i="21" s="1"/>
  <c r="AK52" i="21"/>
  <c r="AK66" i="21" s="1"/>
  <c r="AP53" i="21"/>
  <c r="AP67" i="21" s="1"/>
  <c r="AN53" i="21"/>
  <c r="AN67" i="21" s="1"/>
  <c r="G53" i="21"/>
  <c r="G67" i="21" s="1"/>
  <c r="AJ52" i="21"/>
  <c r="AJ66" i="21" s="1"/>
  <c r="H54" i="21"/>
  <c r="H68" i="21" s="1"/>
  <c r="L53" i="21"/>
  <c r="L67" i="21" s="1"/>
  <c r="AL54" i="21"/>
  <c r="AL68" i="21" s="1"/>
  <c r="AO52" i="21"/>
  <c r="AO66" i="21" s="1"/>
  <c r="O53" i="21"/>
  <c r="O67" i="21" s="1"/>
  <c r="K52" i="21"/>
  <c r="K66" i="21" s="1"/>
  <c r="V54" i="21"/>
  <c r="V68" i="21" s="1"/>
  <c r="AR52" i="21"/>
  <c r="AR66" i="21" s="1"/>
  <c r="H53" i="21"/>
  <c r="H67" i="21" s="1"/>
  <c r="AA54" i="21"/>
  <c r="AA68" i="21" s="1"/>
  <c r="AC52" i="21"/>
  <c r="AC66" i="21" s="1"/>
  <c r="M53" i="21"/>
  <c r="M67" i="21" s="1"/>
  <c r="AH53" i="21"/>
  <c r="AH67" i="21" s="1"/>
  <c r="AR53" i="21"/>
  <c r="AR67" i="21" s="1"/>
  <c r="K54" i="21"/>
  <c r="K68" i="21" s="1"/>
  <c r="AE54" i="21"/>
  <c r="AE68" i="21" s="1"/>
  <c r="AJ53" i="21"/>
  <c r="AJ67" i="21" s="1"/>
  <c r="S54" i="21"/>
  <c r="S68" i="21" s="1"/>
  <c r="Z53" i="21"/>
  <c r="Z67" i="21" s="1"/>
  <c r="D49" i="21"/>
  <c r="F54" i="21"/>
  <c r="F68" i="21" s="1"/>
  <c r="AB53" i="21"/>
  <c r="AB67" i="21" s="1"/>
  <c r="AD54" i="21"/>
  <c r="AD68" i="21" s="1"/>
  <c r="AP52" i="21"/>
  <c r="AP66" i="21" s="1"/>
  <c r="P53" i="21"/>
  <c r="P67" i="21" s="1"/>
  <c r="AE52" i="21"/>
  <c r="AE66" i="21" s="1"/>
  <c r="U53" i="21"/>
  <c r="U67" i="21" s="1"/>
  <c r="AJ54" i="21"/>
  <c r="AJ68" i="21" s="1"/>
  <c r="AP54" i="21"/>
  <c r="AP68" i="21" s="1"/>
  <c r="AN54" i="21"/>
  <c r="AN68" i="21" s="1"/>
  <c r="AH54" i="21"/>
  <c r="AH68" i="21" s="1"/>
  <c r="AM52" i="21"/>
  <c r="AM66" i="21" s="1"/>
  <c r="T53" i="21"/>
  <c r="T67" i="21" s="1"/>
  <c r="X54" i="21"/>
  <c r="X68" i="21" s="1"/>
  <c r="Z54" i="21"/>
  <c r="Z68" i="21" s="1"/>
  <c r="N54" i="21"/>
  <c r="N68" i="21" s="1"/>
  <c r="G54" i="21"/>
  <c r="G68" i="21" s="1"/>
  <c r="R54" i="21"/>
  <c r="R68" i="21" s="1"/>
  <c r="J54" i="21"/>
  <c r="J68" i="21" s="1"/>
  <c r="AA53" i="21"/>
  <c r="AA67" i="21" s="1"/>
  <c r="Y52" i="21"/>
  <c r="Y66" i="21" s="1"/>
  <c r="R52" i="21"/>
  <c r="R66" i="21" s="1"/>
  <c r="AQ52" i="21"/>
  <c r="AQ66" i="21" s="1"/>
  <c r="AO53" i="21"/>
  <c r="AO67" i="21" s="1"/>
  <c r="AO54" i="21"/>
  <c r="AO68" i="21" s="1"/>
  <c r="AC54" i="21"/>
  <c r="AC68" i="21" s="1"/>
  <c r="G52" i="21"/>
  <c r="G66" i="21" s="1"/>
  <c r="K53" i="21"/>
  <c r="K67" i="21" s="1"/>
  <c r="L54" i="21"/>
  <c r="L68" i="21" s="1"/>
  <c r="AL52" i="21"/>
  <c r="AL66" i="21" s="1"/>
  <c r="AF54" i="21"/>
  <c r="AF68" i="21" s="1"/>
  <c r="AF53" i="21"/>
  <c r="AF67" i="21" s="1"/>
  <c r="F53" i="21"/>
  <c r="F67" i="21" s="1"/>
  <c r="I54" i="21"/>
  <c r="I68" i="21" s="1"/>
  <c r="AK53" i="21"/>
  <c r="AK67" i="21" s="1"/>
  <c r="Q52" i="21"/>
  <c r="Q66" i="21" s="1"/>
  <c r="AR54" i="21"/>
  <c r="AR68" i="21" s="1"/>
  <c r="J52" i="21"/>
  <c r="J66" i="21" s="1"/>
  <c r="S52" i="21"/>
  <c r="S66" i="21" s="1"/>
  <c r="P52" i="21"/>
  <c r="P66" i="21" s="1"/>
  <c r="AD53" i="21"/>
  <c r="AD67" i="21" s="1"/>
  <c r="M52" i="21"/>
  <c r="M66" i="21" s="1"/>
  <c r="F52" i="21"/>
  <c r="F66" i="21" s="1"/>
  <c r="S53" i="21"/>
  <c r="S67" i="21" s="1"/>
  <c r="H52" i="21"/>
  <c r="H66" i="21" s="1"/>
  <c r="Y53" i="21"/>
  <c r="Y67" i="21" s="1"/>
  <c r="AR36" i="41" l="1"/>
  <c r="D34" i="41"/>
  <c r="AP66" i="2"/>
  <c r="AP86" i="2"/>
  <c r="AP46" i="2"/>
  <c r="Y77" i="21"/>
  <c r="Y73" i="2"/>
  <c r="Y74" i="2" s="1"/>
  <c r="S78" i="21"/>
  <c r="S93" i="2"/>
  <c r="S94" i="2" s="1"/>
  <c r="Z76" i="21"/>
  <c r="Z53" i="2"/>
  <c r="Z54" i="2" s="1"/>
  <c r="AR78" i="21"/>
  <c r="AR93" i="2"/>
  <c r="AR94" i="2" s="1"/>
  <c r="L78" i="21"/>
  <c r="L93" i="2"/>
  <c r="L94" i="2" s="1"/>
  <c r="Y76" i="21"/>
  <c r="Y53" i="2"/>
  <c r="Y54" i="2" s="1"/>
  <c r="T77" i="21"/>
  <c r="T73" i="2"/>
  <c r="T74" i="2" s="1"/>
  <c r="P77" i="21"/>
  <c r="P73" i="2"/>
  <c r="P74" i="2" s="1"/>
  <c r="AJ77" i="21"/>
  <c r="AJ73" i="2"/>
  <c r="AJ74" i="2" s="1"/>
  <c r="H77" i="21"/>
  <c r="H73" i="2"/>
  <c r="H74" i="2" s="1"/>
  <c r="H78" i="21"/>
  <c r="H93" i="2"/>
  <c r="H94" i="2" s="1"/>
  <c r="O78" i="21"/>
  <c r="O93" i="2"/>
  <c r="O94" i="2" s="1"/>
  <c r="AL77" i="21"/>
  <c r="AL73" i="2"/>
  <c r="AL74" i="2" s="1"/>
  <c r="AA76" i="21"/>
  <c r="AA53" i="2"/>
  <c r="AA54" i="2" s="1"/>
  <c r="AI76" i="21"/>
  <c r="AI53" i="2"/>
  <c r="AI54" i="2" s="1"/>
  <c r="AQ77" i="21"/>
  <c r="AQ73" i="2"/>
  <c r="AQ74" i="2" s="1"/>
  <c r="W76" i="21"/>
  <c r="W53" i="2"/>
  <c r="W54" i="2" s="1"/>
  <c r="X78" i="21"/>
  <c r="X93" i="2"/>
  <c r="X94" i="2" s="1"/>
  <c r="AG76" i="21"/>
  <c r="AG53" i="2"/>
  <c r="AG54" i="2" s="1"/>
  <c r="Q76" i="21"/>
  <c r="Q53" i="2"/>
  <c r="Q54" i="2" s="1"/>
  <c r="AE78" i="21"/>
  <c r="AE93" i="2"/>
  <c r="AE94" i="2" s="1"/>
  <c r="AJ76" i="21"/>
  <c r="AJ53" i="2"/>
  <c r="AJ54" i="2" s="1"/>
  <c r="W77" i="21"/>
  <c r="W73" i="2"/>
  <c r="W74" i="2" s="1"/>
  <c r="M78" i="21"/>
  <c r="M93" i="2"/>
  <c r="M94" i="2" s="1"/>
  <c r="AG78" i="21"/>
  <c r="AG93" i="2"/>
  <c r="AG94" i="2" s="1"/>
  <c r="AK78" i="21"/>
  <c r="AK93" i="2"/>
  <c r="AK94" i="2" s="1"/>
  <c r="N77" i="21"/>
  <c r="N73" i="2"/>
  <c r="N74" i="2" s="1"/>
  <c r="AH76" i="21"/>
  <c r="AH53" i="2"/>
  <c r="AH54" i="2" s="1"/>
  <c r="AE76" i="21"/>
  <c r="AE53" i="2"/>
  <c r="AE54" i="2" s="1"/>
  <c r="AE77" i="21"/>
  <c r="AE73" i="2"/>
  <c r="AE74" i="2" s="1"/>
  <c r="K77" i="21"/>
  <c r="K73" i="2"/>
  <c r="K74" i="2" s="1"/>
  <c r="G76" i="21"/>
  <c r="G53" i="2"/>
  <c r="G54" i="2" s="1"/>
  <c r="AH78" i="21"/>
  <c r="AH93" i="2"/>
  <c r="AH94" i="2" s="1"/>
  <c r="AD78" i="21"/>
  <c r="AD93" i="2"/>
  <c r="AD94" i="2" s="1"/>
  <c r="K78" i="21"/>
  <c r="K93" i="2"/>
  <c r="K94" i="2" s="1"/>
  <c r="V78" i="21"/>
  <c r="V93" i="2"/>
  <c r="V94" i="2" s="1"/>
  <c r="G77" i="21"/>
  <c r="G73" i="2"/>
  <c r="G74" i="2" s="1"/>
  <c r="AG77" i="21"/>
  <c r="AG73" i="2"/>
  <c r="AG74" i="2" s="1"/>
  <c r="AD76" i="21"/>
  <c r="AD53" i="2"/>
  <c r="AD54" i="2" s="1"/>
  <c r="AM77" i="21"/>
  <c r="AM73" i="2"/>
  <c r="AM74" i="2" s="1"/>
  <c r="X76" i="21"/>
  <c r="X53" i="2"/>
  <c r="X54" i="2" s="1"/>
  <c r="AQ78" i="21"/>
  <c r="AQ93" i="2"/>
  <c r="AQ94" i="2" s="1"/>
  <c r="I76" i="21"/>
  <c r="I53" i="2"/>
  <c r="I54" i="2" s="1"/>
  <c r="J76" i="21"/>
  <c r="J53" i="2"/>
  <c r="J54" i="2" s="1"/>
  <c r="L77" i="21"/>
  <c r="L73" i="2"/>
  <c r="L74" i="2" s="1"/>
  <c r="S77" i="21"/>
  <c r="S73" i="2"/>
  <c r="S74" i="2" s="1"/>
  <c r="AR76" i="21"/>
  <c r="AR53" i="2"/>
  <c r="AR54" i="2" s="1"/>
  <c r="M76" i="21"/>
  <c r="M53" i="2"/>
  <c r="M54" i="2" s="1"/>
  <c r="I78" i="21"/>
  <c r="I93" i="2"/>
  <c r="I94" i="2" s="1"/>
  <c r="AC78" i="21"/>
  <c r="AC93" i="2"/>
  <c r="AC94" i="2" s="1"/>
  <c r="R78" i="21"/>
  <c r="R93" i="2"/>
  <c r="R94" i="2" s="1"/>
  <c r="AN78" i="21"/>
  <c r="AN93" i="2"/>
  <c r="AN94" i="2" s="1"/>
  <c r="AB77" i="21"/>
  <c r="AB73" i="2"/>
  <c r="AB74" i="2" s="1"/>
  <c r="AR77" i="21"/>
  <c r="AR73" i="2"/>
  <c r="AR74" i="2" s="1"/>
  <c r="K76" i="21"/>
  <c r="K53" i="2"/>
  <c r="K54" i="2" s="1"/>
  <c r="AN77" i="21"/>
  <c r="AN73" i="2"/>
  <c r="AN74" i="2" s="1"/>
  <c r="AB76" i="21"/>
  <c r="AB53" i="2"/>
  <c r="AB54" i="2" s="1"/>
  <c r="Q78" i="21"/>
  <c r="Q93" i="2"/>
  <c r="Q94" i="2" s="1"/>
  <c r="T78" i="21"/>
  <c r="T93" i="2"/>
  <c r="T94" i="2" s="1"/>
  <c r="O76" i="21"/>
  <c r="O53" i="2"/>
  <c r="O54" i="2" s="1"/>
  <c r="I77" i="21"/>
  <c r="I73" i="2"/>
  <c r="I74" i="2" s="1"/>
  <c r="AF76" i="21"/>
  <c r="AF53" i="2"/>
  <c r="AF54" i="2" s="1"/>
  <c r="R76" i="21"/>
  <c r="R53" i="2"/>
  <c r="R54" i="2" s="1"/>
  <c r="U78" i="21"/>
  <c r="U93" i="2"/>
  <c r="U94" i="2" s="1"/>
  <c r="AM76" i="21"/>
  <c r="AM53" i="2"/>
  <c r="AM54" i="2" s="1"/>
  <c r="AK77" i="21"/>
  <c r="AK73" i="2"/>
  <c r="AK74" i="2" s="1"/>
  <c r="F77" i="21"/>
  <c r="F73" i="2"/>
  <c r="AP78" i="21"/>
  <c r="AP93" i="2"/>
  <c r="AP94" i="2" s="1"/>
  <c r="AH77" i="21"/>
  <c r="AH73" i="2"/>
  <c r="AH74" i="2" s="1"/>
  <c r="O77" i="21"/>
  <c r="O73" i="2"/>
  <c r="O74" i="2" s="1"/>
  <c r="AP77" i="21"/>
  <c r="AP73" i="2"/>
  <c r="AP74" i="2" s="1"/>
  <c r="X77" i="21"/>
  <c r="X73" i="2"/>
  <c r="X74" i="2" s="1"/>
  <c r="P78" i="21"/>
  <c r="P93" i="2"/>
  <c r="P94" i="2" s="1"/>
  <c r="AC77" i="21"/>
  <c r="AC73" i="2"/>
  <c r="AC74" i="2" s="1"/>
  <c r="T76" i="21"/>
  <c r="T53" i="2"/>
  <c r="T54" i="2" s="1"/>
  <c r="V76" i="21"/>
  <c r="V53" i="2"/>
  <c r="V54" i="2" s="1"/>
  <c r="AI78" i="21"/>
  <c r="AI93" i="2"/>
  <c r="AI94" i="2" s="1"/>
  <c r="AA78" i="21"/>
  <c r="AA93" i="2"/>
  <c r="AA94" i="2" s="1"/>
  <c r="AI77" i="21"/>
  <c r="AI73" i="2"/>
  <c r="AI74" i="2" s="1"/>
  <c r="AP76" i="21"/>
  <c r="AP53" i="2"/>
  <c r="AP54" i="2" s="1"/>
  <c r="F76" i="21"/>
  <c r="F53" i="2"/>
  <c r="AD77" i="21"/>
  <c r="AD73" i="2"/>
  <c r="AD74" i="2" s="1"/>
  <c r="G78" i="21"/>
  <c r="G93" i="2"/>
  <c r="G94" i="2" s="1"/>
  <c r="P76" i="21"/>
  <c r="P53" i="2"/>
  <c r="P54" i="2" s="1"/>
  <c r="AF77" i="21"/>
  <c r="AF73" i="2"/>
  <c r="AF74" i="2" s="1"/>
  <c r="AO77" i="21"/>
  <c r="AO73" i="2"/>
  <c r="AO74" i="2" s="1"/>
  <c r="N78" i="21"/>
  <c r="N93" i="2"/>
  <c r="N94" i="2" s="1"/>
  <c r="AJ78" i="21"/>
  <c r="AJ93" i="2"/>
  <c r="AJ94" i="2" s="1"/>
  <c r="M77" i="21"/>
  <c r="M73" i="2"/>
  <c r="M74" i="2" s="1"/>
  <c r="AO76" i="21"/>
  <c r="AO53" i="2"/>
  <c r="AO54" i="2" s="1"/>
  <c r="AK76" i="21"/>
  <c r="AK53" i="2"/>
  <c r="AK54" i="2" s="1"/>
  <c r="W78" i="21"/>
  <c r="W93" i="2"/>
  <c r="W94" i="2" s="1"/>
  <c r="L76" i="21"/>
  <c r="L53" i="2"/>
  <c r="L54" i="2" s="1"/>
  <c r="Q77" i="21"/>
  <c r="Q73" i="2"/>
  <c r="Q74" i="2" s="1"/>
  <c r="R77" i="21"/>
  <c r="R73" i="2"/>
  <c r="R74" i="2" s="1"/>
  <c r="J77" i="21"/>
  <c r="J73" i="2"/>
  <c r="J74" i="2" s="1"/>
  <c r="AL76" i="21"/>
  <c r="AL53" i="2"/>
  <c r="AL54" i="2" s="1"/>
  <c r="Y78" i="21"/>
  <c r="Y93" i="2"/>
  <c r="Y94" i="2" s="1"/>
  <c r="H76" i="21"/>
  <c r="H53" i="2"/>
  <c r="H54" i="2" s="1"/>
  <c r="AA77" i="21"/>
  <c r="AA73" i="2"/>
  <c r="AA74" i="2" s="1"/>
  <c r="J78" i="21"/>
  <c r="J93" i="2"/>
  <c r="J94" i="2" s="1"/>
  <c r="AO78" i="21"/>
  <c r="AO93" i="2"/>
  <c r="AO94" i="2" s="1"/>
  <c r="F78" i="21"/>
  <c r="F93" i="2"/>
  <c r="S76" i="21"/>
  <c r="S53" i="2"/>
  <c r="S54" i="2" s="1"/>
  <c r="AF78" i="21"/>
  <c r="AF93" i="2"/>
  <c r="AF94" i="2" s="1"/>
  <c r="AQ76" i="21"/>
  <c r="AQ53" i="2"/>
  <c r="AQ54" i="2" s="1"/>
  <c r="Z78" i="21"/>
  <c r="Z93" i="2"/>
  <c r="Z94" i="2" s="1"/>
  <c r="U77" i="21"/>
  <c r="U73" i="2"/>
  <c r="U74" i="2" s="1"/>
  <c r="Z77" i="21"/>
  <c r="Z73" i="2"/>
  <c r="Z74" i="2" s="1"/>
  <c r="AC76" i="21"/>
  <c r="AC53" i="2"/>
  <c r="AC54" i="2" s="1"/>
  <c r="AL78" i="21"/>
  <c r="AL93" i="2"/>
  <c r="AL94" i="2" s="1"/>
  <c r="AN76" i="21"/>
  <c r="AN53" i="2"/>
  <c r="AN54" i="2" s="1"/>
  <c r="N76" i="21"/>
  <c r="N53" i="2"/>
  <c r="N54" i="2" s="1"/>
  <c r="AM78" i="21"/>
  <c r="AM93" i="2"/>
  <c r="AM94" i="2" s="1"/>
  <c r="U76" i="21"/>
  <c r="U53" i="2"/>
  <c r="U54" i="2" s="1"/>
  <c r="V77" i="21"/>
  <c r="V73" i="2"/>
  <c r="V74" i="2" s="1"/>
  <c r="AB78" i="21"/>
  <c r="AB93" i="2"/>
  <c r="AB94" i="2" s="1"/>
  <c r="D56" i="22"/>
  <c r="J89" i="2"/>
  <c r="D89" i="2" s="1"/>
  <c r="E21" i="2" s="1"/>
  <c r="D52" i="21"/>
  <c r="D54" i="21"/>
  <c r="D67" i="21"/>
  <c r="D68" i="21"/>
  <c r="D53" i="21"/>
  <c r="AR42" i="41" l="1"/>
  <c r="AR41" i="41"/>
  <c r="AR43" i="41"/>
  <c r="D36" i="41"/>
  <c r="L38" i="10"/>
  <c r="F10" i="10"/>
  <c r="D78" i="21"/>
  <c r="D77" i="21"/>
  <c r="D76" i="21"/>
  <c r="F94" i="2"/>
  <c r="D94" i="2" s="1"/>
  <c r="D93" i="2"/>
  <c r="E27" i="2" s="1"/>
  <c r="F74" i="2"/>
  <c r="D74" i="2" s="1"/>
  <c r="D73" i="2"/>
  <c r="D27" i="2" s="1"/>
  <c r="D53" i="2"/>
  <c r="C27" i="2" s="1"/>
  <c r="F54" i="2"/>
  <c r="D54" i="2" s="1"/>
  <c r="D66" i="21"/>
  <c r="F51" i="23"/>
  <c r="F52" i="23" s="1"/>
  <c r="F67" i="23" s="1"/>
  <c r="F80" i="23" s="1"/>
  <c r="AR86" i="2" l="1"/>
  <c r="D86" i="2" s="1"/>
  <c r="E18" i="2" s="1"/>
  <c r="D43" i="41"/>
  <c r="AR46" i="2"/>
  <c r="D46" i="2" s="1"/>
  <c r="C18" i="2" s="1"/>
  <c r="D41" i="41"/>
  <c r="AR66" i="2"/>
  <c r="D66" i="2" s="1"/>
  <c r="D18" i="2" s="1"/>
  <c r="D42" i="41"/>
  <c r="F83" i="23"/>
  <c r="F29" i="28" s="1"/>
  <c r="F49" i="28" s="1"/>
  <c r="F51" i="28" s="1"/>
  <c r="J18" i="10"/>
  <c r="J26" i="10"/>
  <c r="J28" i="10" s="1"/>
  <c r="D28" i="2"/>
  <c r="D33" i="2" s="1"/>
  <c r="K18" i="10"/>
  <c r="K26" i="10"/>
  <c r="K28" i="10" s="1"/>
  <c r="E28" i="2"/>
  <c r="E33" i="2" s="1"/>
  <c r="L26" i="10"/>
  <c r="L28" i="10" s="1"/>
  <c r="L18" i="10"/>
  <c r="C28" i="2"/>
  <c r="C33" i="2" s="1"/>
  <c r="F51" i="26"/>
  <c r="F55" i="26" s="1"/>
  <c r="F59" i="26" s="1"/>
  <c r="F89" i="26"/>
  <c r="F93" i="26" s="1"/>
  <c r="F96" i="26" s="1"/>
  <c r="G52" i="23"/>
  <c r="G67" i="23" s="1"/>
  <c r="G83" i="23" l="1"/>
  <c r="G29" i="28" s="1"/>
  <c r="G49" i="28" s="1"/>
  <c r="G80" i="23"/>
  <c r="F31" i="28"/>
  <c r="F35" i="28" s="1"/>
  <c r="F37" i="28" s="1"/>
  <c r="F42" i="28"/>
  <c r="G89" i="26"/>
  <c r="G93" i="26" s="1"/>
  <c r="G96" i="26" s="1"/>
  <c r="G98" i="26" s="1"/>
  <c r="G101" i="26" s="1"/>
  <c r="G51" i="26"/>
  <c r="G55" i="26" s="1"/>
  <c r="G59" i="26" s="1"/>
  <c r="G61" i="26" s="1"/>
  <c r="G64" i="26" s="1"/>
  <c r="F98" i="26"/>
  <c r="F61" i="26"/>
  <c r="H52" i="23"/>
  <c r="H67" i="23" s="1"/>
  <c r="H83" i="23" l="1"/>
  <c r="H29" i="28" s="1"/>
  <c r="H49" i="28" s="1"/>
  <c r="H51" i="28" s="1"/>
  <c r="H80" i="23"/>
  <c r="G51" i="28"/>
  <c r="G31" i="28"/>
  <c r="G35" i="28" s="1"/>
  <c r="G37" i="28" s="1"/>
  <c r="G42" i="28"/>
  <c r="F44" i="28"/>
  <c r="F53" i="28" s="1"/>
  <c r="F59" i="28"/>
  <c r="F65" i="2" s="1"/>
  <c r="F58" i="28"/>
  <c r="F45" i="2" s="1"/>
  <c r="F60" i="28"/>
  <c r="F85" i="2" s="1"/>
  <c r="G105" i="26"/>
  <c r="G42" i="2" s="1"/>
  <c r="G106" i="26"/>
  <c r="G62" i="2" s="1"/>
  <c r="G107" i="26"/>
  <c r="G82" i="2" s="1"/>
  <c r="F64" i="26"/>
  <c r="H89" i="26"/>
  <c r="H93" i="26" s="1"/>
  <c r="H96" i="26" s="1"/>
  <c r="H98" i="26" s="1"/>
  <c r="H101" i="26" s="1"/>
  <c r="H51" i="26"/>
  <c r="H55" i="26" s="1"/>
  <c r="H59" i="26" s="1"/>
  <c r="H61" i="26" s="1"/>
  <c r="H64" i="26" s="1"/>
  <c r="F101" i="26"/>
  <c r="I52" i="23"/>
  <c r="I67" i="23" s="1"/>
  <c r="I83" i="23" l="1"/>
  <c r="I29" i="28" s="1"/>
  <c r="I49" i="28" s="1"/>
  <c r="I51" i="28" s="1"/>
  <c r="I80" i="23"/>
  <c r="H31" i="28"/>
  <c r="H35" i="28" s="1"/>
  <c r="H37" i="28" s="1"/>
  <c r="H42" i="28"/>
  <c r="G44" i="28"/>
  <c r="G53" i="28" s="1"/>
  <c r="F106" i="26"/>
  <c r="F62" i="2" s="1"/>
  <c r="F105" i="26"/>
  <c r="F42" i="2" s="1"/>
  <c r="F107" i="26"/>
  <c r="F82" i="2" s="1"/>
  <c r="H106" i="26"/>
  <c r="H62" i="2" s="1"/>
  <c r="H105" i="26"/>
  <c r="H42" i="2" s="1"/>
  <c r="H107" i="26"/>
  <c r="H82" i="2" s="1"/>
  <c r="D25" i="28"/>
  <c r="I51" i="26"/>
  <c r="I55" i="26" s="1"/>
  <c r="I59" i="26" s="1"/>
  <c r="I61" i="26" s="1"/>
  <c r="I89" i="26"/>
  <c r="I93" i="26" s="1"/>
  <c r="I96" i="26" s="1"/>
  <c r="I98" i="26" s="1"/>
  <c r="I101" i="26" s="1"/>
  <c r="J52" i="23"/>
  <c r="J67" i="23" s="1"/>
  <c r="J83" i="23" l="1"/>
  <c r="J29" i="28" s="1"/>
  <c r="J49" i="28" s="1"/>
  <c r="J51" i="28" s="1"/>
  <c r="J80" i="23"/>
  <c r="G58" i="28"/>
  <c r="G45" i="2" s="1"/>
  <c r="G50" i="2" s="1"/>
  <c r="G56" i="2" s="1"/>
  <c r="G59" i="28"/>
  <c r="G65" i="2" s="1"/>
  <c r="G70" i="2" s="1"/>
  <c r="G76" i="2" s="1"/>
  <c r="G60" i="28"/>
  <c r="G85" i="2" s="1"/>
  <c r="G90" i="2" s="1"/>
  <c r="G96" i="2" s="1"/>
  <c r="I31" i="28"/>
  <c r="I35" i="28" s="1"/>
  <c r="I37" i="28" s="1"/>
  <c r="I42" i="28"/>
  <c r="I44" i="28" s="1"/>
  <c r="H44" i="28"/>
  <c r="H53" i="28" s="1"/>
  <c r="F90" i="2"/>
  <c r="F70" i="2"/>
  <c r="F50" i="2"/>
  <c r="F56" i="2" s="1"/>
  <c r="I64" i="26"/>
  <c r="J89" i="26"/>
  <c r="J93" i="26" s="1"/>
  <c r="J96" i="26" s="1"/>
  <c r="J51" i="26"/>
  <c r="J55" i="26" s="1"/>
  <c r="J59" i="26" s="1"/>
  <c r="K52" i="23"/>
  <c r="K67" i="23" s="1"/>
  <c r="I53" i="28" l="1"/>
  <c r="I60" i="28" s="1"/>
  <c r="I85" i="2" s="1"/>
  <c r="K83" i="23"/>
  <c r="K29" i="28" s="1"/>
  <c r="K49" i="28" s="1"/>
  <c r="K51" i="28" s="1"/>
  <c r="K80" i="23"/>
  <c r="H58" i="28"/>
  <c r="H45" i="2" s="1"/>
  <c r="H50" i="2" s="1"/>
  <c r="H56" i="2" s="1"/>
  <c r="H59" i="28"/>
  <c r="H65" i="2" s="1"/>
  <c r="H70" i="2" s="1"/>
  <c r="H76" i="2" s="1"/>
  <c r="H60" i="28"/>
  <c r="H85" i="2" s="1"/>
  <c r="H90" i="2" s="1"/>
  <c r="H96" i="2" s="1"/>
  <c r="J31" i="28"/>
  <c r="J35" i="28" s="1"/>
  <c r="J37" i="28" s="1"/>
  <c r="J42" i="28"/>
  <c r="F76" i="2"/>
  <c r="F96" i="2"/>
  <c r="I107" i="26"/>
  <c r="I82" i="2" s="1"/>
  <c r="I105" i="26"/>
  <c r="I42" i="2" s="1"/>
  <c r="I106" i="26"/>
  <c r="I62" i="2" s="1"/>
  <c r="K89" i="26"/>
  <c r="K93" i="26" s="1"/>
  <c r="K96" i="26" s="1"/>
  <c r="K98" i="26" s="1"/>
  <c r="K101" i="26" s="1"/>
  <c r="K51" i="26"/>
  <c r="K55" i="26" s="1"/>
  <c r="K59" i="26" s="1"/>
  <c r="K61" i="26" s="1"/>
  <c r="K64" i="26" s="1"/>
  <c r="J61" i="26"/>
  <c r="J98" i="26"/>
  <c r="L52" i="23"/>
  <c r="L67" i="23" s="1"/>
  <c r="L83" i="23" l="1"/>
  <c r="L29" i="28" s="1"/>
  <c r="L49" i="28" s="1"/>
  <c r="L51" i="28" s="1"/>
  <c r="L80" i="23"/>
  <c r="I58" i="28"/>
  <c r="I45" i="2" s="1"/>
  <c r="I50" i="2" s="1"/>
  <c r="I56" i="2" s="1"/>
  <c r="I59" i="28"/>
  <c r="I65" i="2" s="1"/>
  <c r="I70" i="2" s="1"/>
  <c r="K31" i="28"/>
  <c r="K35" i="28" s="1"/>
  <c r="K37" i="28" s="1"/>
  <c r="K42" i="28"/>
  <c r="J44" i="28"/>
  <c r="J53" i="28" s="1"/>
  <c r="I90" i="2"/>
  <c r="K107" i="26"/>
  <c r="K82" i="2" s="1"/>
  <c r="K105" i="26"/>
  <c r="K42" i="2" s="1"/>
  <c r="K106" i="26"/>
  <c r="K62" i="2" s="1"/>
  <c r="L89" i="26"/>
  <c r="L93" i="26" s="1"/>
  <c r="L96" i="26" s="1"/>
  <c r="L51" i="26"/>
  <c r="L55" i="26" s="1"/>
  <c r="L59" i="26" s="1"/>
  <c r="J101" i="26"/>
  <c r="J64" i="26"/>
  <c r="M52" i="23"/>
  <c r="M67" i="23" s="1"/>
  <c r="M83" i="23" l="1"/>
  <c r="M29" i="28" s="1"/>
  <c r="M49" i="28" s="1"/>
  <c r="M51" i="28" s="1"/>
  <c r="M80" i="23"/>
  <c r="J59" i="28"/>
  <c r="J65" i="2" s="1"/>
  <c r="J60" i="28"/>
  <c r="J85" i="2" s="1"/>
  <c r="J58" i="28"/>
  <c r="J45" i="2" s="1"/>
  <c r="L31" i="28"/>
  <c r="L35" i="28" s="1"/>
  <c r="L37" i="28" s="1"/>
  <c r="L42" i="28"/>
  <c r="K44" i="28"/>
  <c r="K53" i="28" s="1"/>
  <c r="I96" i="2"/>
  <c r="I76" i="2"/>
  <c r="J107" i="26"/>
  <c r="J82" i="2" s="1"/>
  <c r="J105" i="26"/>
  <c r="J42" i="2" s="1"/>
  <c r="J106" i="26"/>
  <c r="J62" i="2" s="1"/>
  <c r="M89" i="26"/>
  <c r="M93" i="26" s="1"/>
  <c r="M96" i="26" s="1"/>
  <c r="M98" i="26" s="1"/>
  <c r="M101" i="26" s="1"/>
  <c r="M51" i="26"/>
  <c r="M55" i="26" s="1"/>
  <c r="M59" i="26" s="1"/>
  <c r="M61" i="26" s="1"/>
  <c r="M64" i="26" s="1"/>
  <c r="L61" i="26"/>
  <c r="L98" i="26"/>
  <c r="N52" i="23"/>
  <c r="N67" i="23" s="1"/>
  <c r="N83" i="23" l="1"/>
  <c r="N29" i="28" s="1"/>
  <c r="N49" i="28" s="1"/>
  <c r="N51" i="28" s="1"/>
  <c r="N80" i="23"/>
  <c r="K60" i="28"/>
  <c r="K85" i="2" s="1"/>
  <c r="K90" i="2" s="1"/>
  <c r="K96" i="2" s="1"/>
  <c r="K58" i="28"/>
  <c r="K45" i="2" s="1"/>
  <c r="K50" i="2" s="1"/>
  <c r="K56" i="2" s="1"/>
  <c r="K59" i="28"/>
  <c r="K65" i="2" s="1"/>
  <c r="K70" i="2" s="1"/>
  <c r="K76" i="2" s="1"/>
  <c r="M31" i="28"/>
  <c r="M35" i="28" s="1"/>
  <c r="M37" i="28" s="1"/>
  <c r="M42" i="28"/>
  <c r="L44" i="28"/>
  <c r="L53" i="28" s="1"/>
  <c r="J90" i="2"/>
  <c r="J70" i="2"/>
  <c r="M105" i="26"/>
  <c r="M42" i="2" s="1"/>
  <c r="M106" i="26"/>
  <c r="M62" i="2" s="1"/>
  <c r="M107" i="26"/>
  <c r="M82" i="2" s="1"/>
  <c r="J50" i="2"/>
  <c r="J56" i="2" s="1"/>
  <c r="N51" i="26"/>
  <c r="N55" i="26" s="1"/>
  <c r="N59" i="26" s="1"/>
  <c r="N61" i="26" s="1"/>
  <c r="N64" i="26" s="1"/>
  <c r="N89" i="26"/>
  <c r="N93" i="26" s="1"/>
  <c r="N96" i="26" s="1"/>
  <c r="N98" i="26" s="1"/>
  <c r="N101" i="26" s="1"/>
  <c r="L101" i="26"/>
  <c r="L64" i="26"/>
  <c r="O52" i="23"/>
  <c r="O67" i="23" s="1"/>
  <c r="O83" i="23" l="1"/>
  <c r="O29" i="28" s="1"/>
  <c r="O49" i="28" s="1"/>
  <c r="O51" i="28" s="1"/>
  <c r="O80" i="23"/>
  <c r="L60" i="28"/>
  <c r="L85" i="2" s="1"/>
  <c r="L58" i="28"/>
  <c r="L45" i="2" s="1"/>
  <c r="L59" i="28"/>
  <c r="L65" i="2" s="1"/>
  <c r="N31" i="28"/>
  <c r="N35" i="28" s="1"/>
  <c r="N37" i="28" s="1"/>
  <c r="N42" i="28"/>
  <c r="M44" i="28"/>
  <c r="M53" i="28" s="1"/>
  <c r="J76" i="2"/>
  <c r="J96" i="2"/>
  <c r="L105" i="26"/>
  <c r="L42" i="2" s="1"/>
  <c r="L106" i="26"/>
  <c r="L62" i="2" s="1"/>
  <c r="L107" i="26"/>
  <c r="L82" i="2" s="1"/>
  <c r="N105" i="26"/>
  <c r="N42" i="2" s="1"/>
  <c r="N106" i="26"/>
  <c r="N62" i="2" s="1"/>
  <c r="N107" i="26"/>
  <c r="N82" i="2" s="1"/>
  <c r="O89" i="26"/>
  <c r="O93" i="26" s="1"/>
  <c r="O96" i="26" s="1"/>
  <c r="O98" i="26" s="1"/>
  <c r="O101" i="26" s="1"/>
  <c r="O51" i="26"/>
  <c r="O55" i="26" s="1"/>
  <c r="O59" i="26" s="1"/>
  <c r="O61" i="26" s="1"/>
  <c r="O64" i="26" s="1"/>
  <c r="P52" i="23"/>
  <c r="P67" i="23" s="1"/>
  <c r="P83" i="23" l="1"/>
  <c r="P29" i="28" s="1"/>
  <c r="P49" i="28" s="1"/>
  <c r="P51" i="28" s="1"/>
  <c r="P80" i="23"/>
  <c r="M58" i="28"/>
  <c r="M45" i="2" s="1"/>
  <c r="M50" i="2" s="1"/>
  <c r="M56" i="2" s="1"/>
  <c r="M59" i="28"/>
  <c r="M65" i="2" s="1"/>
  <c r="M70" i="2" s="1"/>
  <c r="M76" i="2" s="1"/>
  <c r="M60" i="28"/>
  <c r="M85" i="2" s="1"/>
  <c r="M90" i="2" s="1"/>
  <c r="M96" i="2" s="1"/>
  <c r="O31" i="28"/>
  <c r="O35" i="28" s="1"/>
  <c r="O37" i="28" s="1"/>
  <c r="O42" i="28"/>
  <c r="N44" i="28"/>
  <c r="N53" i="28" s="1"/>
  <c r="L70" i="2"/>
  <c r="L90" i="2"/>
  <c r="O105" i="26"/>
  <c r="O42" i="2" s="1"/>
  <c r="O106" i="26"/>
  <c r="O62" i="2" s="1"/>
  <c r="O107" i="26"/>
  <c r="O82" i="2" s="1"/>
  <c r="L50" i="2"/>
  <c r="L56" i="2" s="1"/>
  <c r="P89" i="26"/>
  <c r="P93" i="26" s="1"/>
  <c r="P96" i="26" s="1"/>
  <c r="P98" i="26" s="1"/>
  <c r="P101" i="26" s="1"/>
  <c r="P51" i="26"/>
  <c r="P55" i="26" s="1"/>
  <c r="P59" i="26" s="1"/>
  <c r="P61" i="26" s="1"/>
  <c r="P64" i="26" s="1"/>
  <c r="Q52" i="23"/>
  <c r="Q67" i="23" s="1"/>
  <c r="Q83" i="23" l="1"/>
  <c r="Q29" i="28" s="1"/>
  <c r="Q49" i="28" s="1"/>
  <c r="Q51" i="28" s="1"/>
  <c r="Q80" i="23"/>
  <c r="N58" i="28"/>
  <c r="N45" i="2" s="1"/>
  <c r="N50" i="2" s="1"/>
  <c r="N56" i="2" s="1"/>
  <c r="N59" i="28"/>
  <c r="N65" i="2" s="1"/>
  <c r="N70" i="2" s="1"/>
  <c r="N76" i="2" s="1"/>
  <c r="N60" i="28"/>
  <c r="N85" i="2" s="1"/>
  <c r="N90" i="2" s="1"/>
  <c r="N96" i="2" s="1"/>
  <c r="P31" i="28"/>
  <c r="P35" i="28" s="1"/>
  <c r="P37" i="28" s="1"/>
  <c r="P42" i="28"/>
  <c r="O44" i="28"/>
  <c r="O53" i="28" s="1"/>
  <c r="L96" i="2"/>
  <c r="L76" i="2"/>
  <c r="P106" i="26"/>
  <c r="P62" i="2" s="1"/>
  <c r="P107" i="26"/>
  <c r="P82" i="2" s="1"/>
  <c r="P105" i="26"/>
  <c r="P42" i="2" s="1"/>
  <c r="Q89" i="26"/>
  <c r="Q93" i="26" s="1"/>
  <c r="Q96" i="26" s="1"/>
  <c r="Q98" i="26" s="1"/>
  <c r="Q101" i="26" s="1"/>
  <c r="Q51" i="26"/>
  <c r="Q55" i="26" s="1"/>
  <c r="Q59" i="26" s="1"/>
  <c r="Q61" i="26" s="1"/>
  <c r="Q64" i="26" s="1"/>
  <c r="R52" i="23"/>
  <c r="R67" i="23" s="1"/>
  <c r="R83" i="23" l="1"/>
  <c r="R29" i="28" s="1"/>
  <c r="R49" i="28" s="1"/>
  <c r="R51" i="28" s="1"/>
  <c r="R80" i="23"/>
  <c r="O58" i="28"/>
  <c r="O45" i="2" s="1"/>
  <c r="O50" i="2" s="1"/>
  <c r="O56" i="2" s="1"/>
  <c r="O59" i="28"/>
  <c r="O65" i="2" s="1"/>
  <c r="O70" i="2" s="1"/>
  <c r="O76" i="2" s="1"/>
  <c r="O60" i="28"/>
  <c r="O85" i="2" s="1"/>
  <c r="O90" i="2" s="1"/>
  <c r="O96" i="2" s="1"/>
  <c r="Q31" i="28"/>
  <c r="Q35" i="28" s="1"/>
  <c r="Q37" i="28" s="1"/>
  <c r="Q42" i="28"/>
  <c r="P44" i="28"/>
  <c r="P53" i="28" s="1"/>
  <c r="Q107" i="26"/>
  <c r="Q82" i="2" s="1"/>
  <c r="Q106" i="26"/>
  <c r="Q62" i="2" s="1"/>
  <c r="Q105" i="26"/>
  <c r="Q42" i="2" s="1"/>
  <c r="R89" i="26"/>
  <c r="R93" i="26" s="1"/>
  <c r="R96" i="26" s="1"/>
  <c r="R98" i="26" s="1"/>
  <c r="R101" i="26" s="1"/>
  <c r="R51" i="26"/>
  <c r="R55" i="26" s="1"/>
  <c r="R59" i="26" s="1"/>
  <c r="R61" i="26" s="1"/>
  <c r="R64" i="26" s="1"/>
  <c r="S52" i="23"/>
  <c r="S67" i="23" s="1"/>
  <c r="S83" i="23" l="1"/>
  <c r="S29" i="28" s="1"/>
  <c r="S49" i="28" s="1"/>
  <c r="S51" i="28" s="1"/>
  <c r="S80" i="23"/>
  <c r="P58" i="28"/>
  <c r="P45" i="2" s="1"/>
  <c r="P50" i="2" s="1"/>
  <c r="P56" i="2" s="1"/>
  <c r="P59" i="28"/>
  <c r="P65" i="2" s="1"/>
  <c r="P70" i="2" s="1"/>
  <c r="P76" i="2" s="1"/>
  <c r="P60" i="28"/>
  <c r="P85" i="2" s="1"/>
  <c r="P90" i="2" s="1"/>
  <c r="P96" i="2" s="1"/>
  <c r="R31" i="28"/>
  <c r="R35" i="28" s="1"/>
  <c r="R37" i="28" s="1"/>
  <c r="R42" i="28"/>
  <c r="Q44" i="28"/>
  <c r="Q53" i="28" s="1"/>
  <c r="R106" i="26"/>
  <c r="R62" i="2" s="1"/>
  <c r="R105" i="26"/>
  <c r="R42" i="2" s="1"/>
  <c r="R107" i="26"/>
  <c r="R82" i="2" s="1"/>
  <c r="S89" i="26"/>
  <c r="S93" i="26" s="1"/>
  <c r="S96" i="26" s="1"/>
  <c r="S98" i="26" s="1"/>
  <c r="S101" i="26" s="1"/>
  <c r="S51" i="26"/>
  <c r="S55" i="26" s="1"/>
  <c r="S59" i="26" s="1"/>
  <c r="S61" i="26" s="1"/>
  <c r="S64" i="26" s="1"/>
  <c r="T52" i="23"/>
  <c r="T67" i="23" s="1"/>
  <c r="T83" i="23" l="1"/>
  <c r="T29" i="28" s="1"/>
  <c r="T49" i="28" s="1"/>
  <c r="T51" i="28" s="1"/>
  <c r="T80" i="23"/>
  <c r="Q59" i="28"/>
  <c r="Q65" i="2" s="1"/>
  <c r="Q70" i="2" s="1"/>
  <c r="Q76" i="2" s="1"/>
  <c r="Q60" i="28"/>
  <c r="Q85" i="2" s="1"/>
  <c r="Q90" i="2" s="1"/>
  <c r="Q96" i="2" s="1"/>
  <c r="Q58" i="28"/>
  <c r="Q45" i="2" s="1"/>
  <c r="Q50" i="2" s="1"/>
  <c r="Q56" i="2" s="1"/>
  <c r="S31" i="28"/>
  <c r="S35" i="28" s="1"/>
  <c r="S37" i="28" s="1"/>
  <c r="S42" i="28"/>
  <c r="R44" i="28"/>
  <c r="R53" i="28" s="1"/>
  <c r="S106" i="26"/>
  <c r="S62" i="2" s="1"/>
  <c r="S105" i="26"/>
  <c r="S42" i="2" s="1"/>
  <c r="S107" i="26"/>
  <c r="S82" i="2" s="1"/>
  <c r="T89" i="26"/>
  <c r="T93" i="26" s="1"/>
  <c r="T96" i="26" s="1"/>
  <c r="T98" i="26" s="1"/>
  <c r="T101" i="26" s="1"/>
  <c r="T51" i="26"/>
  <c r="T55" i="26" s="1"/>
  <c r="T59" i="26" s="1"/>
  <c r="T61" i="26" s="1"/>
  <c r="T64" i="26" s="1"/>
  <c r="U52" i="23"/>
  <c r="U67" i="23" s="1"/>
  <c r="U83" i="23" l="1"/>
  <c r="U29" i="28" s="1"/>
  <c r="U49" i="28" s="1"/>
  <c r="U51" i="28" s="1"/>
  <c r="U80" i="23"/>
  <c r="R59" i="28"/>
  <c r="R65" i="2" s="1"/>
  <c r="R70" i="2" s="1"/>
  <c r="R76" i="2" s="1"/>
  <c r="R60" i="28"/>
  <c r="R85" i="2" s="1"/>
  <c r="R90" i="2" s="1"/>
  <c r="R96" i="2" s="1"/>
  <c r="R58" i="28"/>
  <c r="R45" i="2" s="1"/>
  <c r="R50" i="2" s="1"/>
  <c r="R56" i="2" s="1"/>
  <c r="T31" i="28"/>
  <c r="T35" i="28" s="1"/>
  <c r="T37" i="28" s="1"/>
  <c r="T42" i="28"/>
  <c r="S44" i="28"/>
  <c r="S53" i="28" s="1"/>
  <c r="T107" i="26"/>
  <c r="T82" i="2" s="1"/>
  <c r="T105" i="26"/>
  <c r="T42" i="2" s="1"/>
  <c r="T106" i="26"/>
  <c r="T62" i="2" s="1"/>
  <c r="U89" i="26"/>
  <c r="U93" i="26" s="1"/>
  <c r="U96" i="26" s="1"/>
  <c r="U98" i="26" s="1"/>
  <c r="U101" i="26" s="1"/>
  <c r="U51" i="26"/>
  <c r="U55" i="26" s="1"/>
  <c r="U59" i="26" s="1"/>
  <c r="U61" i="26" s="1"/>
  <c r="U64" i="26" s="1"/>
  <c r="V52" i="23"/>
  <c r="V67" i="23" s="1"/>
  <c r="V83" i="23" l="1"/>
  <c r="V29" i="28" s="1"/>
  <c r="V49" i="28" s="1"/>
  <c r="V51" i="28" s="1"/>
  <c r="V80" i="23"/>
  <c r="S60" i="28"/>
  <c r="S85" i="2" s="1"/>
  <c r="S90" i="2" s="1"/>
  <c r="S96" i="2" s="1"/>
  <c r="S58" i="28"/>
  <c r="S45" i="2" s="1"/>
  <c r="S50" i="2" s="1"/>
  <c r="S56" i="2" s="1"/>
  <c r="S59" i="28"/>
  <c r="S65" i="2" s="1"/>
  <c r="S70" i="2" s="1"/>
  <c r="S76" i="2" s="1"/>
  <c r="U31" i="28"/>
  <c r="U35" i="28" s="1"/>
  <c r="U37" i="28" s="1"/>
  <c r="U42" i="28"/>
  <c r="T44" i="28"/>
  <c r="T53" i="28" s="1"/>
  <c r="U105" i="26"/>
  <c r="U42" i="2" s="1"/>
  <c r="U106" i="26"/>
  <c r="U62" i="2" s="1"/>
  <c r="U107" i="26"/>
  <c r="U82" i="2" s="1"/>
  <c r="V89" i="26"/>
  <c r="V93" i="26" s="1"/>
  <c r="V96" i="26" s="1"/>
  <c r="V98" i="26" s="1"/>
  <c r="V101" i="26" s="1"/>
  <c r="V51" i="26"/>
  <c r="V55" i="26" s="1"/>
  <c r="V59" i="26" s="1"/>
  <c r="V61" i="26" s="1"/>
  <c r="V64" i="26" s="1"/>
  <c r="W52" i="23"/>
  <c r="W67" i="23" s="1"/>
  <c r="W83" i="23" l="1"/>
  <c r="W29" i="28" s="1"/>
  <c r="W49" i="28" s="1"/>
  <c r="W51" i="28" s="1"/>
  <c r="W80" i="23"/>
  <c r="T60" i="28"/>
  <c r="T85" i="2" s="1"/>
  <c r="T90" i="2" s="1"/>
  <c r="T96" i="2" s="1"/>
  <c r="T58" i="28"/>
  <c r="T45" i="2" s="1"/>
  <c r="T50" i="2" s="1"/>
  <c r="T56" i="2" s="1"/>
  <c r="T59" i="28"/>
  <c r="T65" i="2" s="1"/>
  <c r="T70" i="2" s="1"/>
  <c r="T76" i="2" s="1"/>
  <c r="V31" i="28"/>
  <c r="V35" i="28" s="1"/>
  <c r="V37" i="28" s="1"/>
  <c r="V42" i="28"/>
  <c r="U44" i="28"/>
  <c r="U53" i="28" s="1"/>
  <c r="V105" i="26"/>
  <c r="V42" i="2" s="1"/>
  <c r="V106" i="26"/>
  <c r="V62" i="2" s="1"/>
  <c r="V107" i="26"/>
  <c r="V82" i="2" s="1"/>
  <c r="W89" i="26"/>
  <c r="W93" i="26" s="1"/>
  <c r="W96" i="26" s="1"/>
  <c r="W98" i="26" s="1"/>
  <c r="W101" i="26" s="1"/>
  <c r="W51" i="26"/>
  <c r="W55" i="26" s="1"/>
  <c r="W59" i="26" s="1"/>
  <c r="W61" i="26" s="1"/>
  <c r="W64" i="26" s="1"/>
  <c r="X52" i="23"/>
  <c r="X67" i="23" s="1"/>
  <c r="X83" i="23" l="1"/>
  <c r="X29" i="28" s="1"/>
  <c r="X49" i="28" s="1"/>
  <c r="X51" i="28" s="1"/>
  <c r="X80" i="23"/>
  <c r="U58" i="28"/>
  <c r="U45" i="2" s="1"/>
  <c r="U50" i="2" s="1"/>
  <c r="U56" i="2" s="1"/>
  <c r="U59" i="28"/>
  <c r="U65" i="2" s="1"/>
  <c r="U70" i="2" s="1"/>
  <c r="U76" i="2" s="1"/>
  <c r="U60" i="28"/>
  <c r="U85" i="2" s="1"/>
  <c r="U90" i="2" s="1"/>
  <c r="U96" i="2" s="1"/>
  <c r="W31" i="28"/>
  <c r="W35" i="28" s="1"/>
  <c r="W37" i="28" s="1"/>
  <c r="W42" i="28"/>
  <c r="V44" i="28"/>
  <c r="V53" i="28" s="1"/>
  <c r="W105" i="26"/>
  <c r="W42" i="2" s="1"/>
  <c r="W106" i="26"/>
  <c r="W62" i="2" s="1"/>
  <c r="W107" i="26"/>
  <c r="W82" i="2" s="1"/>
  <c r="X89" i="26"/>
  <c r="X93" i="26" s="1"/>
  <c r="X96" i="26" s="1"/>
  <c r="X98" i="26" s="1"/>
  <c r="X101" i="26" s="1"/>
  <c r="X51" i="26"/>
  <c r="X55" i="26" s="1"/>
  <c r="X59" i="26" s="1"/>
  <c r="X61" i="26" s="1"/>
  <c r="X64" i="26" s="1"/>
  <c r="Y52" i="23"/>
  <c r="Y67" i="23" s="1"/>
  <c r="Y83" i="23" l="1"/>
  <c r="Y29" i="28" s="1"/>
  <c r="Y49" i="28" s="1"/>
  <c r="Y51" i="28" s="1"/>
  <c r="Y80" i="23"/>
  <c r="V58" i="28"/>
  <c r="V45" i="2" s="1"/>
  <c r="V50" i="2" s="1"/>
  <c r="V56" i="2" s="1"/>
  <c r="V59" i="28"/>
  <c r="V65" i="2" s="1"/>
  <c r="V70" i="2" s="1"/>
  <c r="V76" i="2" s="1"/>
  <c r="V60" i="28"/>
  <c r="V85" i="2" s="1"/>
  <c r="V90" i="2" s="1"/>
  <c r="V96" i="2" s="1"/>
  <c r="X31" i="28"/>
  <c r="X35" i="28" s="1"/>
  <c r="X37" i="28" s="1"/>
  <c r="X42" i="28"/>
  <c r="W44" i="28"/>
  <c r="W53" i="28" s="1"/>
  <c r="X106" i="26"/>
  <c r="X62" i="2" s="1"/>
  <c r="X107" i="26"/>
  <c r="X82" i="2" s="1"/>
  <c r="X105" i="26"/>
  <c r="X42" i="2" s="1"/>
  <c r="Y51" i="26"/>
  <c r="Y55" i="26" s="1"/>
  <c r="Y59" i="26" s="1"/>
  <c r="Y61" i="26" s="1"/>
  <c r="Y64" i="26" s="1"/>
  <c r="Y89" i="26"/>
  <c r="Y93" i="26" s="1"/>
  <c r="Y96" i="26" s="1"/>
  <c r="Y98" i="26" s="1"/>
  <c r="Y101" i="26" s="1"/>
  <c r="Z52" i="23"/>
  <c r="Z67" i="23" s="1"/>
  <c r="Z83" i="23" l="1"/>
  <c r="Z29" i="28" s="1"/>
  <c r="Z49" i="28" s="1"/>
  <c r="Z51" i="28" s="1"/>
  <c r="Z80" i="23"/>
  <c r="W58" i="28"/>
  <c r="W45" i="2" s="1"/>
  <c r="W50" i="2" s="1"/>
  <c r="W56" i="2" s="1"/>
  <c r="W59" i="28"/>
  <c r="W65" i="2" s="1"/>
  <c r="W70" i="2" s="1"/>
  <c r="W76" i="2" s="1"/>
  <c r="W60" i="28"/>
  <c r="W85" i="2" s="1"/>
  <c r="W90" i="2" s="1"/>
  <c r="W96" i="2" s="1"/>
  <c r="Y31" i="28"/>
  <c r="Y35" i="28" s="1"/>
  <c r="Y37" i="28" s="1"/>
  <c r="Y42" i="28"/>
  <c r="X44" i="28"/>
  <c r="X53" i="28" s="1"/>
  <c r="Y107" i="26"/>
  <c r="Y82" i="2" s="1"/>
  <c r="Y106" i="26"/>
  <c r="Y62" i="2" s="1"/>
  <c r="Y105" i="26"/>
  <c r="Y42" i="2" s="1"/>
  <c r="Z89" i="26"/>
  <c r="Z93" i="26" s="1"/>
  <c r="Z96" i="26" s="1"/>
  <c r="Z98" i="26" s="1"/>
  <c r="Z101" i="26" s="1"/>
  <c r="Z51" i="26"/>
  <c r="Z55" i="26" s="1"/>
  <c r="Z59" i="26" s="1"/>
  <c r="Z61" i="26" s="1"/>
  <c r="Z64" i="26" s="1"/>
  <c r="AA52" i="23"/>
  <c r="AA67" i="23" s="1"/>
  <c r="AA83" i="23" l="1"/>
  <c r="AA29" i="28" s="1"/>
  <c r="AA49" i="28" s="1"/>
  <c r="AA51" i="28" s="1"/>
  <c r="AA80" i="23"/>
  <c r="X58" i="28"/>
  <c r="X45" i="2" s="1"/>
  <c r="X50" i="2" s="1"/>
  <c r="X56" i="2" s="1"/>
  <c r="X59" i="28"/>
  <c r="X65" i="2" s="1"/>
  <c r="X70" i="2" s="1"/>
  <c r="X76" i="2" s="1"/>
  <c r="X60" i="28"/>
  <c r="X85" i="2" s="1"/>
  <c r="X90" i="2" s="1"/>
  <c r="X96" i="2" s="1"/>
  <c r="Z31" i="28"/>
  <c r="Z35" i="28" s="1"/>
  <c r="Z37" i="28" s="1"/>
  <c r="Z42" i="28"/>
  <c r="Y44" i="28"/>
  <c r="Y53" i="28" s="1"/>
  <c r="Z107" i="26"/>
  <c r="Z82" i="2" s="1"/>
  <c r="Z105" i="26"/>
  <c r="Z42" i="2" s="1"/>
  <c r="Z106" i="26"/>
  <c r="Z62" i="2" s="1"/>
  <c r="AA89" i="26"/>
  <c r="AA93" i="26" s="1"/>
  <c r="AA96" i="26" s="1"/>
  <c r="AA98" i="26" s="1"/>
  <c r="AA101" i="26" s="1"/>
  <c r="AA51" i="26"/>
  <c r="AA55" i="26" s="1"/>
  <c r="AA59" i="26" s="1"/>
  <c r="AA61" i="26" s="1"/>
  <c r="AA64" i="26" s="1"/>
  <c r="AB52" i="23"/>
  <c r="AB67" i="23" s="1"/>
  <c r="AB83" i="23" l="1"/>
  <c r="AB29" i="28" s="1"/>
  <c r="AB49" i="28" s="1"/>
  <c r="AB51" i="28" s="1"/>
  <c r="AB80" i="23"/>
  <c r="Y59" i="28"/>
  <c r="Y65" i="2" s="1"/>
  <c r="Y70" i="2" s="1"/>
  <c r="Y76" i="2" s="1"/>
  <c r="Y60" i="28"/>
  <c r="Y85" i="2" s="1"/>
  <c r="Y90" i="2" s="1"/>
  <c r="Y96" i="2" s="1"/>
  <c r="Y58" i="28"/>
  <c r="Y45" i="2" s="1"/>
  <c r="Y50" i="2" s="1"/>
  <c r="Y56" i="2" s="1"/>
  <c r="AA31" i="28"/>
  <c r="AA35" i="28" s="1"/>
  <c r="AA37" i="28" s="1"/>
  <c r="AA42" i="28"/>
  <c r="Z44" i="28"/>
  <c r="Z53" i="28" s="1"/>
  <c r="AA107" i="26"/>
  <c r="AA82" i="2" s="1"/>
  <c r="AA105" i="26"/>
  <c r="AA42" i="2" s="1"/>
  <c r="AA106" i="26"/>
  <c r="AA62" i="2" s="1"/>
  <c r="AB89" i="26"/>
  <c r="AB93" i="26" s="1"/>
  <c r="AB96" i="26" s="1"/>
  <c r="AB98" i="26" s="1"/>
  <c r="AB101" i="26" s="1"/>
  <c r="AB51" i="26"/>
  <c r="AB55" i="26" s="1"/>
  <c r="AB59" i="26" s="1"/>
  <c r="AB61" i="26" s="1"/>
  <c r="AB64" i="26" s="1"/>
  <c r="AC52" i="23"/>
  <c r="AC67" i="23" s="1"/>
  <c r="AC83" i="23" l="1"/>
  <c r="AC29" i="28" s="1"/>
  <c r="AC49" i="28" s="1"/>
  <c r="AC51" i="28" s="1"/>
  <c r="AC80" i="23"/>
  <c r="Z59" i="28"/>
  <c r="Z65" i="2" s="1"/>
  <c r="Z70" i="2" s="1"/>
  <c r="Z76" i="2" s="1"/>
  <c r="Z60" i="28"/>
  <c r="Z85" i="2" s="1"/>
  <c r="Z90" i="2" s="1"/>
  <c r="Z96" i="2" s="1"/>
  <c r="Z58" i="28"/>
  <c r="Z45" i="2" s="1"/>
  <c r="Z50" i="2" s="1"/>
  <c r="Z56" i="2" s="1"/>
  <c r="AB31" i="28"/>
  <c r="AB35" i="28" s="1"/>
  <c r="AB37" i="28" s="1"/>
  <c r="AB42" i="28"/>
  <c r="AA44" i="28"/>
  <c r="AA53" i="28" s="1"/>
  <c r="AB107" i="26"/>
  <c r="AB82" i="2" s="1"/>
  <c r="AB105" i="26"/>
  <c r="AB42" i="2" s="1"/>
  <c r="AB106" i="26"/>
  <c r="AB62" i="2" s="1"/>
  <c r="AC89" i="26"/>
  <c r="AC93" i="26" s="1"/>
  <c r="AC96" i="26" s="1"/>
  <c r="AC98" i="26" s="1"/>
  <c r="AC101" i="26" s="1"/>
  <c r="AC51" i="26"/>
  <c r="AC55" i="26" s="1"/>
  <c r="AC59" i="26" s="1"/>
  <c r="AC61" i="26" s="1"/>
  <c r="AC64" i="26" s="1"/>
  <c r="AD52" i="23"/>
  <c r="AD67" i="23" s="1"/>
  <c r="AD83" i="23" l="1"/>
  <c r="AD29" i="28" s="1"/>
  <c r="AD49" i="28" s="1"/>
  <c r="AD51" i="28" s="1"/>
  <c r="AD80" i="23"/>
  <c r="AA60" i="28"/>
  <c r="AA85" i="2" s="1"/>
  <c r="AA90" i="2" s="1"/>
  <c r="AA96" i="2" s="1"/>
  <c r="AA58" i="28"/>
  <c r="AA45" i="2" s="1"/>
  <c r="AA50" i="2" s="1"/>
  <c r="AA56" i="2" s="1"/>
  <c r="AA59" i="28"/>
  <c r="AA65" i="2" s="1"/>
  <c r="AA70" i="2" s="1"/>
  <c r="AA76" i="2" s="1"/>
  <c r="AC31" i="28"/>
  <c r="AC35" i="28" s="1"/>
  <c r="AC37" i="28" s="1"/>
  <c r="AC42" i="28"/>
  <c r="AB44" i="28"/>
  <c r="AB53" i="28" s="1"/>
  <c r="AC105" i="26"/>
  <c r="AC42" i="2" s="1"/>
  <c r="AC106" i="26"/>
  <c r="AC62" i="2" s="1"/>
  <c r="AC107" i="26"/>
  <c r="AC82" i="2" s="1"/>
  <c r="AD89" i="26"/>
  <c r="AD93" i="26" s="1"/>
  <c r="AD96" i="26" s="1"/>
  <c r="AD98" i="26" s="1"/>
  <c r="AD101" i="26" s="1"/>
  <c r="AD51" i="26"/>
  <c r="AD55" i="26" s="1"/>
  <c r="AD59" i="26" s="1"/>
  <c r="AD61" i="26" s="1"/>
  <c r="AD64" i="26" s="1"/>
  <c r="AE52" i="23"/>
  <c r="AE67" i="23" s="1"/>
  <c r="AE83" i="23" l="1"/>
  <c r="AE29" i="28" s="1"/>
  <c r="AE49" i="28" s="1"/>
  <c r="AE51" i="28" s="1"/>
  <c r="AE80" i="23"/>
  <c r="AB60" i="28"/>
  <c r="AB85" i="2" s="1"/>
  <c r="AB90" i="2" s="1"/>
  <c r="AB96" i="2" s="1"/>
  <c r="AB58" i="28"/>
  <c r="AB45" i="2" s="1"/>
  <c r="AB50" i="2" s="1"/>
  <c r="AB56" i="2" s="1"/>
  <c r="AB59" i="28"/>
  <c r="AB65" i="2" s="1"/>
  <c r="AB70" i="2" s="1"/>
  <c r="AB76" i="2" s="1"/>
  <c r="AD31" i="28"/>
  <c r="AD35" i="28" s="1"/>
  <c r="AD37" i="28" s="1"/>
  <c r="AD42" i="28"/>
  <c r="AC44" i="28"/>
  <c r="AC53" i="28" s="1"/>
  <c r="AD105" i="26"/>
  <c r="AD42" i="2" s="1"/>
  <c r="AD106" i="26"/>
  <c r="AD62" i="2" s="1"/>
  <c r="AD107" i="26"/>
  <c r="AD82" i="2" s="1"/>
  <c r="AE89" i="26"/>
  <c r="AE93" i="26" s="1"/>
  <c r="AE96" i="26" s="1"/>
  <c r="AE98" i="26" s="1"/>
  <c r="AE101" i="26" s="1"/>
  <c r="AE51" i="26"/>
  <c r="AE55" i="26" s="1"/>
  <c r="AE59" i="26" s="1"/>
  <c r="AE61" i="26" s="1"/>
  <c r="AE64" i="26" s="1"/>
  <c r="AF52" i="23"/>
  <c r="AF67" i="23" s="1"/>
  <c r="AF83" i="23" l="1"/>
  <c r="AF29" i="28" s="1"/>
  <c r="AF49" i="28" s="1"/>
  <c r="AF51" i="28" s="1"/>
  <c r="AF80" i="23"/>
  <c r="AC58" i="28"/>
  <c r="AC45" i="2" s="1"/>
  <c r="AC50" i="2" s="1"/>
  <c r="AC56" i="2" s="1"/>
  <c r="AC59" i="28"/>
  <c r="AC65" i="2" s="1"/>
  <c r="AC70" i="2" s="1"/>
  <c r="AC76" i="2" s="1"/>
  <c r="AC60" i="28"/>
  <c r="AC85" i="2" s="1"/>
  <c r="AC90" i="2" s="1"/>
  <c r="AC96" i="2" s="1"/>
  <c r="AE31" i="28"/>
  <c r="AE35" i="28" s="1"/>
  <c r="AE37" i="28" s="1"/>
  <c r="AE42" i="28"/>
  <c r="AD44" i="28"/>
  <c r="AD53" i="28" s="1"/>
  <c r="AE105" i="26"/>
  <c r="AE42" i="2" s="1"/>
  <c r="AE107" i="26"/>
  <c r="AE82" i="2" s="1"/>
  <c r="AE106" i="26"/>
  <c r="AE62" i="2" s="1"/>
  <c r="AF89" i="26"/>
  <c r="AF93" i="26" s="1"/>
  <c r="AF96" i="26" s="1"/>
  <c r="AF98" i="26" s="1"/>
  <c r="AF101" i="26" s="1"/>
  <c r="AF51" i="26"/>
  <c r="AF55" i="26" s="1"/>
  <c r="AF59" i="26" s="1"/>
  <c r="AF61" i="26" s="1"/>
  <c r="AF64" i="26" s="1"/>
  <c r="AG52" i="23"/>
  <c r="AG67" i="23" s="1"/>
  <c r="AG83" i="23" l="1"/>
  <c r="AG29" i="28" s="1"/>
  <c r="AG49" i="28" s="1"/>
  <c r="AG51" i="28" s="1"/>
  <c r="AG80" i="23"/>
  <c r="AD58" i="28"/>
  <c r="AD45" i="2" s="1"/>
  <c r="AD50" i="2" s="1"/>
  <c r="AD56" i="2" s="1"/>
  <c r="AD59" i="28"/>
  <c r="AD65" i="2" s="1"/>
  <c r="AD70" i="2" s="1"/>
  <c r="AD76" i="2" s="1"/>
  <c r="AD60" i="28"/>
  <c r="AD85" i="2" s="1"/>
  <c r="AD90" i="2" s="1"/>
  <c r="AD96" i="2" s="1"/>
  <c r="AF31" i="28"/>
  <c r="AF35" i="28" s="1"/>
  <c r="AF37" i="28" s="1"/>
  <c r="AF42" i="28"/>
  <c r="AE44" i="28"/>
  <c r="AE53" i="28" s="1"/>
  <c r="AF106" i="26"/>
  <c r="AF62" i="2" s="1"/>
  <c r="AF105" i="26"/>
  <c r="AF42" i="2" s="1"/>
  <c r="AF107" i="26"/>
  <c r="AF82" i="2" s="1"/>
  <c r="AG89" i="26"/>
  <c r="AG93" i="26" s="1"/>
  <c r="AG96" i="26" s="1"/>
  <c r="AG98" i="26" s="1"/>
  <c r="AG101" i="26" s="1"/>
  <c r="AG51" i="26"/>
  <c r="AG55" i="26" s="1"/>
  <c r="AG59" i="26" s="1"/>
  <c r="AG61" i="26" s="1"/>
  <c r="AG64" i="26" s="1"/>
  <c r="AH52" i="23"/>
  <c r="AH67" i="23" s="1"/>
  <c r="AH83" i="23" l="1"/>
  <c r="AH29" i="28" s="1"/>
  <c r="AH49" i="28" s="1"/>
  <c r="AH51" i="28" s="1"/>
  <c r="AH80" i="23"/>
  <c r="AE58" i="28"/>
  <c r="AE45" i="2" s="1"/>
  <c r="AE50" i="2" s="1"/>
  <c r="AE56" i="2" s="1"/>
  <c r="AE59" i="28"/>
  <c r="AE65" i="2" s="1"/>
  <c r="AE70" i="2" s="1"/>
  <c r="AE76" i="2" s="1"/>
  <c r="AE60" i="28"/>
  <c r="AE85" i="2" s="1"/>
  <c r="AE90" i="2" s="1"/>
  <c r="AE96" i="2" s="1"/>
  <c r="AG31" i="28"/>
  <c r="AG35" i="28" s="1"/>
  <c r="AG37" i="28" s="1"/>
  <c r="AG42" i="28"/>
  <c r="AF44" i="28"/>
  <c r="AF53" i="28" s="1"/>
  <c r="AG107" i="26"/>
  <c r="AG82" i="2" s="1"/>
  <c r="AG105" i="26"/>
  <c r="AG42" i="2" s="1"/>
  <c r="AG106" i="26"/>
  <c r="AG62" i="2" s="1"/>
  <c r="AH89" i="26"/>
  <c r="AH93" i="26" s="1"/>
  <c r="AH96" i="26" s="1"/>
  <c r="AH98" i="26" s="1"/>
  <c r="AH101" i="26" s="1"/>
  <c r="AH51" i="26"/>
  <c r="AH55" i="26" s="1"/>
  <c r="AH59" i="26" s="1"/>
  <c r="AH61" i="26" s="1"/>
  <c r="AI52" i="23"/>
  <c r="AI67" i="23" s="1"/>
  <c r="AI83" i="23" l="1"/>
  <c r="AI29" i="28" s="1"/>
  <c r="AI49" i="28" s="1"/>
  <c r="AI51" i="28" s="1"/>
  <c r="AI80" i="23"/>
  <c r="AH64" i="26"/>
  <c r="AH106" i="26" s="1"/>
  <c r="AH62" i="2" s="1"/>
  <c r="V23" i="10"/>
  <c r="AF58" i="28"/>
  <c r="AF45" i="2" s="1"/>
  <c r="AF50" i="2" s="1"/>
  <c r="AF56" i="2" s="1"/>
  <c r="AF59" i="28"/>
  <c r="AF65" i="2" s="1"/>
  <c r="AF70" i="2" s="1"/>
  <c r="AF76" i="2" s="1"/>
  <c r="AF60" i="28"/>
  <c r="AF85" i="2" s="1"/>
  <c r="AF90" i="2" s="1"/>
  <c r="AF96" i="2" s="1"/>
  <c r="AH31" i="28"/>
  <c r="AH35" i="28" s="1"/>
  <c r="AH37" i="28" s="1"/>
  <c r="AH42" i="28"/>
  <c r="AG44" i="28"/>
  <c r="AG53" i="28" s="1"/>
  <c r="AI89" i="26"/>
  <c r="AI93" i="26" s="1"/>
  <c r="AI96" i="26" s="1"/>
  <c r="AI98" i="26" s="1"/>
  <c r="AI101" i="26" s="1"/>
  <c r="AI51" i="26"/>
  <c r="AI55" i="26" s="1"/>
  <c r="AI59" i="26" s="1"/>
  <c r="AI61" i="26" s="1"/>
  <c r="AI64" i="26" s="1"/>
  <c r="AJ52" i="23"/>
  <c r="AJ67" i="23" s="1"/>
  <c r="AJ83" i="23" l="1"/>
  <c r="AJ29" i="28" s="1"/>
  <c r="AJ49" i="28" s="1"/>
  <c r="AJ51" i="28" s="1"/>
  <c r="AJ80" i="23"/>
  <c r="AH107" i="26"/>
  <c r="AH82" i="2" s="1"/>
  <c r="AH105" i="26"/>
  <c r="W24" i="10" s="1"/>
  <c r="AG59" i="28"/>
  <c r="AG65" i="2" s="1"/>
  <c r="AG70" i="2" s="1"/>
  <c r="AG76" i="2" s="1"/>
  <c r="AG60" i="28"/>
  <c r="AG85" i="2" s="1"/>
  <c r="AG90" i="2" s="1"/>
  <c r="AG96" i="2" s="1"/>
  <c r="AG58" i="28"/>
  <c r="AG45" i="2" s="1"/>
  <c r="AG50" i="2" s="1"/>
  <c r="AG56" i="2" s="1"/>
  <c r="AI31" i="28"/>
  <c r="AI35" i="28" s="1"/>
  <c r="AI37" i="28" s="1"/>
  <c r="AI42" i="28"/>
  <c r="AH44" i="28"/>
  <c r="AH53" i="28" s="1"/>
  <c r="AI106" i="26"/>
  <c r="AI62" i="2" s="1"/>
  <c r="AI107" i="26"/>
  <c r="AI82" i="2" s="1"/>
  <c r="AI105" i="26"/>
  <c r="AI42" i="2" s="1"/>
  <c r="AJ89" i="26"/>
  <c r="AJ93" i="26" s="1"/>
  <c r="AJ96" i="26" s="1"/>
  <c r="AJ98" i="26" s="1"/>
  <c r="AJ101" i="26" s="1"/>
  <c r="AJ51" i="26"/>
  <c r="AJ55" i="26" s="1"/>
  <c r="AJ59" i="26" s="1"/>
  <c r="AJ61" i="26" s="1"/>
  <c r="AJ64" i="26" s="1"/>
  <c r="AK52" i="23"/>
  <c r="AK67" i="23" s="1"/>
  <c r="AK83" i="23" l="1"/>
  <c r="AK29" i="28" s="1"/>
  <c r="AK49" i="28" s="1"/>
  <c r="AK51" i="28" s="1"/>
  <c r="AK80" i="23"/>
  <c r="AH42" i="2"/>
  <c r="W23" i="10"/>
  <c r="AH59" i="28"/>
  <c r="AH65" i="2" s="1"/>
  <c r="AH70" i="2" s="1"/>
  <c r="AH76" i="2" s="1"/>
  <c r="AH60" i="28"/>
  <c r="AH85" i="2" s="1"/>
  <c r="AH90" i="2" s="1"/>
  <c r="AH96" i="2" s="1"/>
  <c r="AH58" i="28"/>
  <c r="AH45" i="2" s="1"/>
  <c r="AJ31" i="28"/>
  <c r="AJ35" i="28" s="1"/>
  <c r="AJ37" i="28" s="1"/>
  <c r="AJ42" i="28"/>
  <c r="AI44" i="28"/>
  <c r="AI53" i="28" s="1"/>
  <c r="AJ107" i="26"/>
  <c r="AJ82" i="2" s="1"/>
  <c r="AJ105" i="26"/>
  <c r="AJ42" i="2" s="1"/>
  <c r="AJ106" i="26"/>
  <c r="AJ62" i="2" s="1"/>
  <c r="AK89" i="26"/>
  <c r="AK93" i="26" s="1"/>
  <c r="AK96" i="26" s="1"/>
  <c r="AK98" i="26" s="1"/>
  <c r="AK101" i="26" s="1"/>
  <c r="AK51" i="26"/>
  <c r="AK55" i="26" s="1"/>
  <c r="AK59" i="26" s="1"/>
  <c r="AK61" i="26" s="1"/>
  <c r="AK64" i="26" s="1"/>
  <c r="AL52" i="23"/>
  <c r="AL67" i="23" s="1"/>
  <c r="AL83" i="23" l="1"/>
  <c r="AL29" i="28" s="1"/>
  <c r="AL49" i="28" s="1"/>
  <c r="AL51" i="28" s="1"/>
  <c r="AL80" i="23"/>
  <c r="AH50" i="2"/>
  <c r="AH56" i="2" s="1"/>
  <c r="AI60" i="28"/>
  <c r="AI85" i="2" s="1"/>
  <c r="AI90" i="2" s="1"/>
  <c r="AI96" i="2" s="1"/>
  <c r="AI58" i="28"/>
  <c r="AI45" i="2" s="1"/>
  <c r="AI50" i="2" s="1"/>
  <c r="AI56" i="2" s="1"/>
  <c r="AI59" i="28"/>
  <c r="AI65" i="2" s="1"/>
  <c r="AI70" i="2" s="1"/>
  <c r="AI76" i="2" s="1"/>
  <c r="AK31" i="28"/>
  <c r="AK35" i="28" s="1"/>
  <c r="AK37" i="28" s="1"/>
  <c r="AK42" i="28"/>
  <c r="AJ44" i="28"/>
  <c r="AJ53" i="28" s="1"/>
  <c r="AK105" i="26"/>
  <c r="AK42" i="2" s="1"/>
  <c r="AK106" i="26"/>
  <c r="AK62" i="2" s="1"/>
  <c r="AK107" i="26"/>
  <c r="AK82" i="2" s="1"/>
  <c r="AL89" i="26"/>
  <c r="AL93" i="26" s="1"/>
  <c r="AL96" i="26" s="1"/>
  <c r="AL98" i="26" s="1"/>
  <c r="AL101" i="26" s="1"/>
  <c r="AL51" i="26"/>
  <c r="AL55" i="26" s="1"/>
  <c r="AL59" i="26" s="1"/>
  <c r="AL61" i="26" s="1"/>
  <c r="AL64" i="26" s="1"/>
  <c r="AM52" i="23"/>
  <c r="AM67" i="23" s="1"/>
  <c r="AM83" i="23" l="1"/>
  <c r="AM29" i="28" s="1"/>
  <c r="AM49" i="28" s="1"/>
  <c r="AM51" i="28" s="1"/>
  <c r="AM80" i="23"/>
  <c r="AJ60" i="28"/>
  <c r="AJ85" i="2" s="1"/>
  <c r="AJ90" i="2" s="1"/>
  <c r="AJ96" i="2" s="1"/>
  <c r="AJ58" i="28"/>
  <c r="AJ45" i="2" s="1"/>
  <c r="AJ50" i="2" s="1"/>
  <c r="AJ56" i="2" s="1"/>
  <c r="AJ59" i="28"/>
  <c r="AJ65" i="2" s="1"/>
  <c r="AJ70" i="2" s="1"/>
  <c r="AJ76" i="2" s="1"/>
  <c r="AL31" i="28"/>
  <c r="AL35" i="28" s="1"/>
  <c r="AL37" i="28" s="1"/>
  <c r="AL42" i="28"/>
  <c r="AK44" i="28"/>
  <c r="AK53" i="28" s="1"/>
  <c r="AL105" i="26"/>
  <c r="AL42" i="2" s="1"/>
  <c r="AL106" i="26"/>
  <c r="AL62" i="2" s="1"/>
  <c r="AL107" i="26"/>
  <c r="AL82" i="2" s="1"/>
  <c r="AM89" i="26"/>
  <c r="AM93" i="26" s="1"/>
  <c r="AM96" i="26" s="1"/>
  <c r="AM98" i="26" s="1"/>
  <c r="AM101" i="26" s="1"/>
  <c r="AM51" i="26"/>
  <c r="AM55" i="26" s="1"/>
  <c r="AM59" i="26" s="1"/>
  <c r="AM61" i="26" s="1"/>
  <c r="AM64" i="26" s="1"/>
  <c r="AN52" i="23"/>
  <c r="AN67" i="23" s="1"/>
  <c r="AN83" i="23" l="1"/>
  <c r="AN29" i="28" s="1"/>
  <c r="AN49" i="28" s="1"/>
  <c r="AN51" i="28" s="1"/>
  <c r="AN80" i="23"/>
  <c r="AK58" i="28"/>
  <c r="AK45" i="2" s="1"/>
  <c r="AK50" i="2" s="1"/>
  <c r="AK56" i="2" s="1"/>
  <c r="AK59" i="28"/>
  <c r="AK65" i="2" s="1"/>
  <c r="AK70" i="2" s="1"/>
  <c r="AK76" i="2" s="1"/>
  <c r="AK60" i="28"/>
  <c r="AK85" i="2" s="1"/>
  <c r="AK90" i="2" s="1"/>
  <c r="AK96" i="2" s="1"/>
  <c r="AM31" i="28"/>
  <c r="AM35" i="28" s="1"/>
  <c r="AM37" i="28" s="1"/>
  <c r="AM42" i="28"/>
  <c r="AL44" i="28"/>
  <c r="AL53" i="28" s="1"/>
  <c r="AM105" i="26"/>
  <c r="AM42" i="2" s="1"/>
  <c r="AM106" i="26"/>
  <c r="AM62" i="2" s="1"/>
  <c r="AM107" i="26"/>
  <c r="AM82" i="2" s="1"/>
  <c r="AN89" i="26"/>
  <c r="AN93" i="26" s="1"/>
  <c r="AN96" i="26" s="1"/>
  <c r="AN98" i="26" s="1"/>
  <c r="AN101" i="26" s="1"/>
  <c r="AN51" i="26"/>
  <c r="AN55" i="26" s="1"/>
  <c r="AN59" i="26" s="1"/>
  <c r="AN61" i="26" s="1"/>
  <c r="AN64" i="26" s="1"/>
  <c r="AO52" i="23"/>
  <c r="AO67" i="23" s="1"/>
  <c r="AO83" i="23" l="1"/>
  <c r="AO29" i="28" s="1"/>
  <c r="AO49" i="28" s="1"/>
  <c r="AO51" i="28" s="1"/>
  <c r="AO80" i="23"/>
  <c r="AL58" i="28"/>
  <c r="AL45" i="2" s="1"/>
  <c r="AL50" i="2" s="1"/>
  <c r="AL56" i="2" s="1"/>
  <c r="AL59" i="28"/>
  <c r="AL65" i="2" s="1"/>
  <c r="AL70" i="2" s="1"/>
  <c r="AL76" i="2" s="1"/>
  <c r="AL60" i="28"/>
  <c r="AL85" i="2" s="1"/>
  <c r="AL90" i="2" s="1"/>
  <c r="AL96" i="2" s="1"/>
  <c r="AN31" i="28"/>
  <c r="AN35" i="28" s="1"/>
  <c r="AN37" i="28" s="1"/>
  <c r="AN42" i="28"/>
  <c r="AM44" i="28"/>
  <c r="AM53" i="28" s="1"/>
  <c r="AN106" i="26"/>
  <c r="AN62" i="2" s="1"/>
  <c r="AN107" i="26"/>
  <c r="AN82" i="2" s="1"/>
  <c r="AN105" i="26"/>
  <c r="AN42" i="2" s="1"/>
  <c r="AO51" i="26"/>
  <c r="AO55" i="26" s="1"/>
  <c r="AO59" i="26" s="1"/>
  <c r="AO61" i="26" s="1"/>
  <c r="AO64" i="26" s="1"/>
  <c r="AO89" i="26"/>
  <c r="AO93" i="26" s="1"/>
  <c r="AO96" i="26" s="1"/>
  <c r="AO98" i="26" s="1"/>
  <c r="AO101" i="26" s="1"/>
  <c r="AP52" i="23"/>
  <c r="AP67" i="23" s="1"/>
  <c r="AP83" i="23" l="1"/>
  <c r="AP29" i="28" s="1"/>
  <c r="AP49" i="28" s="1"/>
  <c r="AP51" i="28" s="1"/>
  <c r="AP80" i="23"/>
  <c r="AM58" i="28"/>
  <c r="AM45" i="2" s="1"/>
  <c r="AM50" i="2" s="1"/>
  <c r="AM56" i="2" s="1"/>
  <c r="AM59" i="28"/>
  <c r="AM65" i="2" s="1"/>
  <c r="AM70" i="2" s="1"/>
  <c r="AM76" i="2" s="1"/>
  <c r="AM60" i="28"/>
  <c r="AM85" i="2" s="1"/>
  <c r="AM90" i="2" s="1"/>
  <c r="AM96" i="2" s="1"/>
  <c r="AO31" i="28"/>
  <c r="AO35" i="28" s="1"/>
  <c r="AO37" i="28" s="1"/>
  <c r="AO42" i="28"/>
  <c r="AN44" i="28"/>
  <c r="AN53" i="28" s="1"/>
  <c r="AO107" i="26"/>
  <c r="AO82" i="2" s="1"/>
  <c r="AO106" i="26"/>
  <c r="AO62" i="2" s="1"/>
  <c r="AO105" i="26"/>
  <c r="AO42" i="2" s="1"/>
  <c r="AP89" i="26"/>
  <c r="AP93" i="26" s="1"/>
  <c r="AP96" i="26" s="1"/>
  <c r="AP98" i="26" s="1"/>
  <c r="AP101" i="26" s="1"/>
  <c r="AP51" i="26"/>
  <c r="AP55" i="26" s="1"/>
  <c r="AP59" i="26" s="1"/>
  <c r="AP61" i="26" s="1"/>
  <c r="AP64" i="26" s="1"/>
  <c r="AQ52" i="23"/>
  <c r="AQ67" i="23" s="1"/>
  <c r="AQ83" i="23" l="1"/>
  <c r="AQ29" i="28" s="1"/>
  <c r="AQ49" i="28" s="1"/>
  <c r="AQ51" i="28" s="1"/>
  <c r="AQ80" i="23"/>
  <c r="AN58" i="28"/>
  <c r="AN45" i="2" s="1"/>
  <c r="AN50" i="2" s="1"/>
  <c r="AN56" i="2" s="1"/>
  <c r="AN59" i="28"/>
  <c r="AN65" i="2" s="1"/>
  <c r="AN70" i="2" s="1"/>
  <c r="AN76" i="2" s="1"/>
  <c r="AN60" i="28"/>
  <c r="AN85" i="2" s="1"/>
  <c r="AN90" i="2" s="1"/>
  <c r="AN96" i="2" s="1"/>
  <c r="AP31" i="28"/>
  <c r="AP35" i="28" s="1"/>
  <c r="AP37" i="28" s="1"/>
  <c r="AP42" i="28"/>
  <c r="AO44" i="28"/>
  <c r="AO53" i="28" s="1"/>
  <c r="AP106" i="26"/>
  <c r="AP62" i="2" s="1"/>
  <c r="AP105" i="26"/>
  <c r="AP42" i="2" s="1"/>
  <c r="AP107" i="26"/>
  <c r="AP82" i="2" s="1"/>
  <c r="AQ89" i="26"/>
  <c r="AQ93" i="26" s="1"/>
  <c r="AQ96" i="26" s="1"/>
  <c r="AQ98" i="26" s="1"/>
  <c r="AQ101" i="26" s="1"/>
  <c r="AQ51" i="26"/>
  <c r="AQ55" i="26" s="1"/>
  <c r="AQ59" i="26" s="1"/>
  <c r="AQ61" i="26" s="1"/>
  <c r="AQ64" i="26" s="1"/>
  <c r="AR52" i="23"/>
  <c r="AR67" i="23" s="1"/>
  <c r="AR80" i="23" s="1"/>
  <c r="AR83" i="23" l="1"/>
  <c r="AR29" i="28" s="1"/>
  <c r="AR49" i="28" s="1"/>
  <c r="D67" i="23"/>
  <c r="AO59" i="28"/>
  <c r="AO65" i="2" s="1"/>
  <c r="AO70" i="2" s="1"/>
  <c r="AO76" i="2" s="1"/>
  <c r="AO60" i="28"/>
  <c r="AO85" i="2" s="1"/>
  <c r="AO90" i="2" s="1"/>
  <c r="AO96" i="2" s="1"/>
  <c r="AO58" i="28"/>
  <c r="AO45" i="2" s="1"/>
  <c r="AO50" i="2" s="1"/>
  <c r="AO56" i="2" s="1"/>
  <c r="AQ31" i="28"/>
  <c r="AQ35" i="28" s="1"/>
  <c r="AQ37" i="28" s="1"/>
  <c r="AQ42" i="28"/>
  <c r="AP44" i="28"/>
  <c r="AP53" i="28" s="1"/>
  <c r="AQ106" i="26"/>
  <c r="AQ62" i="2" s="1"/>
  <c r="AQ105" i="26"/>
  <c r="AQ42" i="2" s="1"/>
  <c r="AQ107" i="26"/>
  <c r="AQ82" i="2" s="1"/>
  <c r="AR89" i="26"/>
  <c r="AR93" i="26" s="1"/>
  <c r="AR96" i="26" s="1"/>
  <c r="AR51" i="26"/>
  <c r="AR55" i="26" s="1"/>
  <c r="AR59" i="26" s="1"/>
  <c r="D83" i="23" l="1"/>
  <c r="AP59" i="28"/>
  <c r="AP65" i="2" s="1"/>
  <c r="AP70" i="2" s="1"/>
  <c r="AP76" i="2" s="1"/>
  <c r="AP60" i="28"/>
  <c r="AP85" i="2" s="1"/>
  <c r="AP90" i="2" s="1"/>
  <c r="AP96" i="2" s="1"/>
  <c r="AP58" i="28"/>
  <c r="AP45" i="2" s="1"/>
  <c r="AP50" i="2" s="1"/>
  <c r="AP56" i="2" s="1"/>
  <c r="AR51" i="28"/>
  <c r="D51" i="28" s="1"/>
  <c r="D49" i="28"/>
  <c r="AR31" i="28"/>
  <c r="AR35" i="28" s="1"/>
  <c r="AR37" i="28" s="1"/>
  <c r="AR42" i="28"/>
  <c r="AR44" i="28" s="1"/>
  <c r="AQ44" i="28"/>
  <c r="AQ53" i="28" s="1"/>
  <c r="AR61" i="26"/>
  <c r="D59" i="26"/>
  <c r="AR98" i="26"/>
  <c r="D96" i="26"/>
  <c r="AR53" i="28" l="1"/>
  <c r="D44" i="28"/>
  <c r="AQ60" i="28"/>
  <c r="AQ85" i="2" s="1"/>
  <c r="AQ90" i="2" s="1"/>
  <c r="AQ96" i="2" s="1"/>
  <c r="AQ58" i="28"/>
  <c r="AQ45" i="2" s="1"/>
  <c r="AQ50" i="2" s="1"/>
  <c r="AQ56" i="2" s="1"/>
  <c r="AQ59" i="28"/>
  <c r="AQ65" i="2" s="1"/>
  <c r="AQ70" i="2" s="1"/>
  <c r="AQ76" i="2" s="1"/>
  <c r="D42" i="28"/>
  <c r="D35" i="28"/>
  <c r="AR64" i="26"/>
  <c r="D61" i="26"/>
  <c r="D37" i="28"/>
  <c r="AR101" i="26"/>
  <c r="D101" i="26" s="1"/>
  <c r="D98" i="26"/>
  <c r="D47" i="33" l="1"/>
  <c r="D46" i="33"/>
  <c r="D45" i="33"/>
  <c r="D37" i="33"/>
  <c r="D100" i="29"/>
  <c r="D98" i="29"/>
  <c r="D99" i="29"/>
  <c r="D56" i="29"/>
  <c r="AR105" i="26"/>
  <c r="AR42" i="2" s="1"/>
  <c r="D42" i="2" s="1"/>
  <c r="C14" i="2" s="1"/>
  <c r="AR106" i="26"/>
  <c r="AR107" i="26"/>
  <c r="D64" i="26"/>
  <c r="J33" i="10" l="1"/>
  <c r="D107" i="26"/>
  <c r="AR82" i="2"/>
  <c r="D106" i="26"/>
  <c r="AR62" i="2"/>
  <c r="D105" i="26"/>
  <c r="AR58" i="28" l="1"/>
  <c r="D53" i="28"/>
  <c r="AR60" i="28"/>
  <c r="AR59" i="28"/>
  <c r="D62" i="2"/>
  <c r="D14" i="2" s="1"/>
  <c r="D82" i="2"/>
  <c r="E14" i="2" l="1"/>
  <c r="F5" i="10" s="1"/>
  <c r="AR45" i="2"/>
  <c r="D58" i="28"/>
  <c r="AR65" i="2"/>
  <c r="D59" i="28"/>
  <c r="AR85" i="2"/>
  <c r="D60" i="28"/>
  <c r="K33" i="10"/>
  <c r="L33" i="10" l="1"/>
  <c r="D85" i="2"/>
  <c r="E17" i="2" s="1"/>
  <c r="AR90" i="2"/>
  <c r="D65" i="2"/>
  <c r="D17" i="2" s="1"/>
  <c r="AR70" i="2"/>
  <c r="D45" i="2"/>
  <c r="C17" i="2" s="1"/>
  <c r="AR50" i="2"/>
  <c r="J36" i="10" l="1"/>
  <c r="C22" i="2"/>
  <c r="D70" i="2"/>
  <c r="AR76" i="2"/>
  <c r="D76" i="2" s="1"/>
  <c r="K36" i="10"/>
  <c r="D22" i="2"/>
  <c r="AR56" i="2"/>
  <c r="D50" i="2"/>
  <c r="AR96" i="2"/>
  <c r="D96" i="2" s="1"/>
  <c r="D90" i="2"/>
  <c r="F8" i="10"/>
  <c r="F11" i="10" s="1"/>
  <c r="L36" i="10"/>
  <c r="E22" i="2"/>
  <c r="F18" i="2" s="1"/>
  <c r="D56" i="2" l="1"/>
  <c r="C37" i="2"/>
  <c r="J21" i="10" s="1"/>
  <c r="K39" i="10"/>
  <c r="D32" i="2"/>
  <c r="K16" i="10"/>
  <c r="J16" i="10"/>
  <c r="C32" i="2"/>
  <c r="J39" i="10"/>
  <c r="F20" i="2"/>
  <c r="F14" i="2"/>
  <c r="F13" i="2"/>
  <c r="L16" i="10"/>
  <c r="F15" i="2"/>
  <c r="F17" i="2"/>
  <c r="E32" i="2"/>
  <c r="F21" i="2"/>
  <c r="L39" i="10"/>
  <c r="F16" i="2"/>
  <c r="F19" i="2"/>
  <c r="F22" i="2"/>
  <c r="E34" i="2" l="1"/>
  <c r="D5" i="1" s="1"/>
  <c r="F5" i="1" s="1"/>
  <c r="E35" i="2"/>
  <c r="C35" i="2"/>
  <c r="J20" i="10" s="1"/>
  <c r="C34" i="2"/>
  <c r="D34" i="2"/>
  <c r="D35" i="2"/>
  <c r="K20" i="10" s="1"/>
  <c r="D36" i="2" l="1"/>
  <c r="K19" i="10"/>
  <c r="J19" i="10"/>
  <c r="C36" i="2"/>
  <c r="E9" i="2"/>
  <c r="L20" i="10"/>
  <c r="AH13" i="10"/>
  <c r="L19" i="10"/>
  <c r="E36" i="2"/>
  <c r="Z9" i="20" l="1"/>
  <c r="D3" i="29"/>
  <c r="K1" i="18"/>
  <c r="D3" i="26"/>
  <c r="D3" i="35"/>
  <c r="J1" i="17"/>
  <c r="D3" i="24"/>
  <c r="D3" i="22"/>
  <c r="D3" i="23"/>
  <c r="D3" i="33"/>
  <c r="D4" i="41"/>
  <c r="D4" i="28"/>
  <c r="D6" i="1"/>
  <c r="AJ13" i="10"/>
</calcChain>
</file>

<file path=xl/sharedStrings.xml><?xml version="1.0" encoding="utf-8"?>
<sst xmlns="http://schemas.openxmlformats.org/spreadsheetml/2006/main" count="2570" uniqueCount="1030">
  <si>
    <t>Multimodal Improvements to Safely Connect Tulsa at US-75 and 81st Street Interchange</t>
  </si>
  <si>
    <t>Benefits-Cost Analysis (BCA) Summary</t>
  </si>
  <si>
    <t>Calculation</t>
  </si>
  <si>
    <t>Note</t>
  </si>
  <si>
    <t>Input</t>
  </si>
  <si>
    <t>Sensitivity</t>
  </si>
  <si>
    <t>Sensitivity On?</t>
  </si>
  <si>
    <t>Discount Factor</t>
  </si>
  <si>
    <t>Benefits ($ millions)</t>
  </si>
  <si>
    <t>% of Benefit</t>
  </si>
  <si>
    <t>Safety Benefits</t>
  </si>
  <si>
    <t xml:space="preserve">Travel Time </t>
  </si>
  <si>
    <t>Reduced Vehicle Operating Costs</t>
  </si>
  <si>
    <t>Emissions Reduction*</t>
  </si>
  <si>
    <t>Pedestrian / Cycling Improvements</t>
  </si>
  <si>
    <t>Reduced Bridge Hits</t>
  </si>
  <si>
    <t>Residual Value</t>
  </si>
  <si>
    <t>Present Value of Benefit (Cost)</t>
  </si>
  <si>
    <t>Costs ($ millions)</t>
  </si>
  <si>
    <t>Capital Cost</t>
  </si>
  <si>
    <t>Maintenance</t>
  </si>
  <si>
    <t>Financial Metrics ($ millions)</t>
  </si>
  <si>
    <t>Present Value of Benefits</t>
  </si>
  <si>
    <t>Present Value of Costs</t>
  </si>
  <si>
    <t>Net Present Value (NPV)</t>
  </si>
  <si>
    <t xml:space="preserve">Benefit Cost Ratio </t>
  </si>
  <si>
    <t>Return on Investment</t>
  </si>
  <si>
    <t>Internal Rate of Return</t>
  </si>
  <si>
    <t>Results - Undiscounted</t>
  </si>
  <si>
    <t>Benefits</t>
  </si>
  <si>
    <t>Total</t>
  </si>
  <si>
    <t>Emmisions Reduction</t>
  </si>
  <si>
    <t>Pedestrian / Cycling Improvments</t>
  </si>
  <si>
    <t>Costs</t>
  </si>
  <si>
    <t>Net Present Value of Benefits - Costs</t>
  </si>
  <si>
    <t>Inputs</t>
  </si>
  <si>
    <t>Category</t>
  </si>
  <si>
    <t>Variable</t>
  </si>
  <si>
    <t>Unit</t>
  </si>
  <si>
    <t>Value</t>
  </si>
  <si>
    <t xml:space="preserve">Source </t>
  </si>
  <si>
    <t>Periodic Values</t>
  </si>
  <si>
    <t>Timing</t>
  </si>
  <si>
    <t>Model Start Year</t>
  </si>
  <si>
    <t>Year</t>
  </si>
  <si>
    <t>Model Constraint</t>
  </si>
  <si>
    <t>Base Year of Analysis</t>
  </si>
  <si>
    <t>BCA Guidelines</t>
  </si>
  <si>
    <t>Construction Start Year</t>
  </si>
  <si>
    <t>ODOT Provided</t>
  </si>
  <si>
    <t>Construction Duration</t>
  </si>
  <si>
    <t>Years</t>
  </si>
  <si>
    <t>Construction Completion</t>
  </si>
  <si>
    <t>First Year of Benefit</t>
  </si>
  <si>
    <t>Length of Analysis Utilized</t>
  </si>
  <si>
    <t>Length of Analysis - Baseline</t>
  </si>
  <si>
    <t>Length of Analysis - Sensitivity</t>
  </si>
  <si>
    <t>Analysis Period beyond BCA Guidelines</t>
  </si>
  <si>
    <t>End of Analysis</t>
  </si>
  <si>
    <t>No Discount Factor</t>
  </si>
  <si>
    <t>%</t>
  </si>
  <si>
    <t>Year of estimate for Capital Costs</t>
  </si>
  <si>
    <t>Year of estimate for Maintenance Costs</t>
  </si>
  <si>
    <t>Year of estimate for UT Costs</t>
  </si>
  <si>
    <t>Year of estimate for RW Costs</t>
  </si>
  <si>
    <t>Year of estimate for Design Costs</t>
  </si>
  <si>
    <t>Annual Conversion</t>
  </si>
  <si>
    <t>days/year</t>
  </si>
  <si>
    <t>Known conversion</t>
  </si>
  <si>
    <t>Conversion from kg to metric tons</t>
  </si>
  <si>
    <t>kg/metric ton</t>
  </si>
  <si>
    <t>Project Attributes</t>
  </si>
  <si>
    <t>$</t>
  </si>
  <si>
    <t>% Increase to value in row above</t>
  </si>
  <si>
    <t>Bridge Costs Provided from ODOT</t>
  </si>
  <si>
    <t>Useful Life</t>
  </si>
  <si>
    <t>Design life provided by ODOT</t>
  </si>
  <si>
    <t>Existing Asset Useful Value</t>
  </si>
  <si>
    <t>Proposed Sidewalk Width</t>
  </si>
  <si>
    <t>feet</t>
  </si>
  <si>
    <t>Based on project 60% design plans</t>
  </si>
  <si>
    <t>Number of Marked-Crosswalks</t>
  </si>
  <si>
    <t>each</t>
  </si>
  <si>
    <t>Number of Signals for Pedestrian Crossing</t>
  </si>
  <si>
    <t>Sidewalk length</t>
  </si>
  <si>
    <t>miles</t>
  </si>
  <si>
    <t xml:space="preserve">Traffic </t>
  </si>
  <si>
    <t>Portion of Heavy Vehicles</t>
  </si>
  <si>
    <t>ODOT Provided Input</t>
  </si>
  <si>
    <t>Traffic Analysis Base Year</t>
  </si>
  <si>
    <t>Traffic Analysis Base Year ADT</t>
  </si>
  <si>
    <t>ADT</t>
  </si>
  <si>
    <t>Traffic Analysis Future Year</t>
  </si>
  <si>
    <t>Traffic Analysis Future Year ADT</t>
  </si>
  <si>
    <t xml:space="preserve">Crash Modification Factor </t>
  </si>
  <si>
    <t>factor</t>
  </si>
  <si>
    <t>Federal Highway Administration DDI Informational Guide 2nd Edition (NCHRP Report 959)</t>
  </si>
  <si>
    <t>Crash Modification Factor  - Sensitivity</t>
  </si>
  <si>
    <t>Safety</t>
  </si>
  <si>
    <t>Incidents/year</t>
  </si>
  <si>
    <t>ODOT Data</t>
  </si>
  <si>
    <t>Base Year</t>
  </si>
  <si>
    <t>year</t>
  </si>
  <si>
    <t>Non-incapacitating injuries or possible injury</t>
  </si>
  <si>
    <t>$/incident</t>
  </si>
  <si>
    <t>BCA Guidelines Table A-1</t>
  </si>
  <si>
    <t>PDO</t>
  </si>
  <si>
    <t>BCA Guidelines Table A-2</t>
  </si>
  <si>
    <t>Time Savings</t>
  </si>
  <si>
    <t>Current ped path length</t>
  </si>
  <si>
    <t>Proposed ped path length</t>
  </si>
  <si>
    <t>Pedestrian Speed</t>
  </si>
  <si>
    <t>miles per hour</t>
  </si>
  <si>
    <t>BCA Guidelines Table A-8, note 1</t>
  </si>
  <si>
    <t>Value of Travel Time Savings</t>
  </si>
  <si>
    <t>Personal</t>
  </si>
  <si>
    <t>$/person/hr</t>
  </si>
  <si>
    <t>BCA Guidelines Table A-3</t>
  </si>
  <si>
    <t>Business</t>
  </si>
  <si>
    <t>All Purposes</t>
  </si>
  <si>
    <t>Walking, Cycling, Waiting, Standing, and Transfer Time</t>
  </si>
  <si>
    <t>Truck Drivers</t>
  </si>
  <si>
    <t>Bus Drivers</t>
  </si>
  <si>
    <t>Transit Rail Drivers</t>
  </si>
  <si>
    <t>Locomotive Engineers</t>
  </si>
  <si>
    <t>Average Vehicle Occupancy</t>
  </si>
  <si>
    <t>Passenger Vehicles Weekday Peak</t>
  </si>
  <si>
    <t>per/veh</t>
  </si>
  <si>
    <t>BCA Guidelines Table A-4</t>
  </si>
  <si>
    <t>Passenger Vehicles Weekday Off-Peak</t>
  </si>
  <si>
    <t>Passenger Vehicles Weekend</t>
  </si>
  <si>
    <t>Passenger Vehicles All Travel</t>
  </si>
  <si>
    <t>Heavy Vehicle Occupancy</t>
  </si>
  <si>
    <t>Assumed value</t>
  </si>
  <si>
    <t>Delay - No Build Case</t>
  </si>
  <si>
    <t>Base Year Delay</t>
  </si>
  <si>
    <t>Vehicle-hours per day</t>
  </si>
  <si>
    <t>SYNCHRO Results</t>
  </si>
  <si>
    <t>Future Year Delay</t>
  </si>
  <si>
    <t>Future Year Delay - Sensitivity</t>
  </si>
  <si>
    <t>Future Year</t>
  </si>
  <si>
    <t>Delay - Build Case (Alternative)</t>
  </si>
  <si>
    <t>Emissions Produced</t>
  </si>
  <si>
    <t>CO2</t>
  </si>
  <si>
    <t>Emissions Base Year - No Build</t>
  </si>
  <si>
    <t>kg-per day</t>
  </si>
  <si>
    <t>Emissions Future Year - No Build</t>
  </si>
  <si>
    <t>NOx</t>
  </si>
  <si>
    <t>Emissions Base Year  - No Build</t>
  </si>
  <si>
    <t>Emissions Base Year  - Build</t>
  </si>
  <si>
    <t>Emissions Base Year - Build</t>
  </si>
  <si>
    <t>Emissions Future Year - Build</t>
  </si>
  <si>
    <t>Emissions Reductions Benefits</t>
  </si>
  <si>
    <t>NOX</t>
  </si>
  <si>
    <t>$/metric ton</t>
  </si>
  <si>
    <t>See table to right</t>
  </si>
  <si>
    <t>SOX</t>
  </si>
  <si>
    <t>PM2.5</t>
  </si>
  <si>
    <t>Vehicle Operating Costs</t>
  </si>
  <si>
    <t>Fuel Consumption Base Year - No Build</t>
  </si>
  <si>
    <t>gallons</t>
  </si>
  <si>
    <t>Fuel Consumption Future Year - No Build</t>
  </si>
  <si>
    <t>Fuel Consumption Base Year - Build</t>
  </si>
  <si>
    <t>Fuel Consumption Future Year - Build</t>
  </si>
  <si>
    <t>Pedestrian Facility Improvements</t>
  </si>
  <si>
    <t>Pedestrian Base Year</t>
  </si>
  <si>
    <t>INCOG Provided Data</t>
  </si>
  <si>
    <t>Pedestrian Base Year Count</t>
  </si>
  <si>
    <t>Ped/day</t>
  </si>
  <si>
    <t>Pedestrian Annual Growth Rate</t>
  </si>
  <si>
    <t>Census data City of Tulsa, OK. Calcs in tab "REF- Pedestrian"</t>
  </si>
  <si>
    <t>Expanded Sidewalk Value (per foot of added Width)</t>
  </si>
  <si>
    <t>$ / person-mile walked</t>
  </si>
  <si>
    <t>BCA Guidelines Table A-8</t>
  </si>
  <si>
    <t xml:space="preserve">Install Marked-Crosswalk on Roadway with Volumes ≥10,000 Vehicles per Day </t>
  </si>
  <si>
    <t>$ / each</t>
  </si>
  <si>
    <t>Install Signal for Pedestrian Crossing on Roadway with Volumes ≥13,000 Vehicles per Day</t>
  </si>
  <si>
    <t>Bridge Hits</t>
  </si>
  <si>
    <t>Number of Bridge Hits in District 8</t>
  </si>
  <si>
    <t>count</t>
  </si>
  <si>
    <t>ODOT provided input</t>
  </si>
  <si>
    <t>Perdiod of Bridge Hits Analyzed</t>
  </si>
  <si>
    <t>years</t>
  </si>
  <si>
    <t>Number of Low Clearance Bridge in District 8</t>
  </si>
  <si>
    <t>Probability of Bridge Hit</t>
  </si>
  <si>
    <t>incidents / Period</t>
  </si>
  <si>
    <t>incidents / year</t>
  </si>
  <si>
    <t>Bridge Replacement Cost</t>
  </si>
  <si>
    <t>Full bridge replacement related bridge hit not assumed realistic</t>
  </si>
  <si>
    <t>Average bridge damage per hit</t>
  </si>
  <si>
    <t>Total cost of bridge hit</t>
  </si>
  <si>
    <t>Project Costs</t>
  </si>
  <si>
    <t>Calendar Year</t>
  </si>
  <si>
    <t>Model Period</t>
  </si>
  <si>
    <t xml:space="preserve">Base Year </t>
  </si>
  <si>
    <t>Flag</t>
  </si>
  <si>
    <t>Years from Base Calendar Year</t>
  </si>
  <si>
    <t>Benefit Period Flag</t>
  </si>
  <si>
    <t>Analysis Period</t>
  </si>
  <si>
    <t>Benefit Year</t>
  </si>
  <si>
    <t>Description</t>
  </si>
  <si>
    <t>No Build Case (Baseline)</t>
  </si>
  <si>
    <t>Capital Costs</t>
  </si>
  <si>
    <t>Environmental</t>
  </si>
  <si>
    <t>Design</t>
  </si>
  <si>
    <t>ROW</t>
  </si>
  <si>
    <t>Utilities</t>
  </si>
  <si>
    <t>Subtotal</t>
  </si>
  <si>
    <t xml:space="preserve">Discounted </t>
  </si>
  <si>
    <t>Undiscounted</t>
  </si>
  <si>
    <t>Maintenance Costs</t>
  </si>
  <si>
    <t>Build Case (Alternative)</t>
  </si>
  <si>
    <t>Cost (Alternative - Baseline)</t>
  </si>
  <si>
    <t>Total Costs</t>
  </si>
  <si>
    <t>Traffic Forecasts</t>
  </si>
  <si>
    <t>No Build Traffic</t>
  </si>
  <si>
    <t>Vehicular Traffic</t>
  </si>
  <si>
    <t>Annual Growth Rate</t>
  </si>
  <si>
    <t>Traffic Forecast Start Year</t>
  </si>
  <si>
    <t>Traffic Forcecast Start Year ADT</t>
  </si>
  <si>
    <t>Total Vehicular Traffic</t>
  </si>
  <si>
    <t>Passenger Vehicles</t>
  </si>
  <si>
    <t>Heavy Vehicles</t>
  </si>
  <si>
    <t>Pedestrian</t>
  </si>
  <si>
    <t>Base Year Pedestrians</t>
  </si>
  <si>
    <t>Start Year</t>
  </si>
  <si>
    <t>Pedestrian Forecast</t>
  </si>
  <si>
    <t>Build Traffic</t>
  </si>
  <si>
    <t>Traffic</t>
  </si>
  <si>
    <t>Accidents Calculation</t>
  </si>
  <si>
    <t>Accidents Rate</t>
  </si>
  <si>
    <t>Total Crashes</t>
  </si>
  <si>
    <t>% Incidents/ADT</t>
  </si>
  <si>
    <t>Cost Per Incident</t>
  </si>
  <si>
    <t>Accidents Projection</t>
  </si>
  <si>
    <t>Incident</t>
  </si>
  <si>
    <t>Accidents Cost</t>
  </si>
  <si>
    <t>CMF</t>
  </si>
  <si>
    <t>Benefit (Alternative - Baseline)</t>
  </si>
  <si>
    <t>Total Benefit</t>
  </si>
  <si>
    <t>Travel Time Savings Benefits</t>
  </si>
  <si>
    <t>Delay Calculations</t>
  </si>
  <si>
    <t>Average Annual Increase</t>
  </si>
  <si>
    <t>Annual Increase Flag</t>
  </si>
  <si>
    <t>flag</t>
  </si>
  <si>
    <t>Delay</t>
  </si>
  <si>
    <t>Value of Time</t>
  </si>
  <si>
    <t xml:space="preserve">Value of All Purposes </t>
  </si>
  <si>
    <t>Vehicle Occupancy</t>
  </si>
  <si>
    <t>Portion of Passenger Vehicles</t>
  </si>
  <si>
    <t>Cost of Delay</t>
  </si>
  <si>
    <t>$/Day</t>
  </si>
  <si>
    <t>$/year</t>
  </si>
  <si>
    <t>Current Path</t>
  </si>
  <si>
    <t>Walking Speed</t>
  </si>
  <si>
    <t>Trip Duration</t>
  </si>
  <si>
    <t>hour</t>
  </si>
  <si>
    <t>Pedestrian Travel Time</t>
  </si>
  <si>
    <t>Ped hours / day</t>
  </si>
  <si>
    <t>Pedestrian cost of trip</t>
  </si>
  <si>
    <t>$/day</t>
  </si>
  <si>
    <t xml:space="preserve">Total </t>
  </si>
  <si>
    <t>Total Cost</t>
  </si>
  <si>
    <t>New Path</t>
  </si>
  <si>
    <t>Emissions Benefits</t>
  </si>
  <si>
    <t>Total Emissions</t>
  </si>
  <si>
    <t>Convert to tons</t>
  </si>
  <si>
    <t>kg/ton</t>
  </si>
  <si>
    <t>Annualization Factor</t>
  </si>
  <si>
    <t>day/year</t>
  </si>
  <si>
    <t>Cost of Emissions</t>
  </si>
  <si>
    <t>Monetized Value per Metric Ton</t>
  </si>
  <si>
    <t>$ per year</t>
  </si>
  <si>
    <t>Vehicle Operating Costs Benefits</t>
  </si>
  <si>
    <t>Fuel Consumed</t>
  </si>
  <si>
    <t>Fuel Consumption Calculation</t>
  </si>
  <si>
    <t xml:space="preserve">Fuel Consumption Base Year </t>
  </si>
  <si>
    <t xml:space="preserve">Fuel Consumption Future Year </t>
  </si>
  <si>
    <t>gallons-per day</t>
  </si>
  <si>
    <t>Total Fuel Consumption</t>
  </si>
  <si>
    <t>Gallons per year</t>
  </si>
  <si>
    <t>Gasonline / Diesel Split</t>
  </si>
  <si>
    <t>Gasoline Consumption</t>
  </si>
  <si>
    <t>Diesel Consumption</t>
  </si>
  <si>
    <t>Cost of Fuel Consumption</t>
  </si>
  <si>
    <t>Gasoline Value per Metric Ton</t>
  </si>
  <si>
    <t>$ / gallon</t>
  </si>
  <si>
    <t>Diesel Value per Metric Ton</t>
  </si>
  <si>
    <t>Cost of Gasoline Consumption</t>
  </si>
  <si>
    <t>Cost of Diesel Consumption</t>
  </si>
  <si>
    <t>Pedestrian / Cycling Improvments Benefits</t>
  </si>
  <si>
    <t>No sidewalk existing</t>
  </si>
  <si>
    <t>No crosswalk existing</t>
  </si>
  <si>
    <t>No pedestrian signals existing</t>
  </si>
  <si>
    <t>New Sidewalk</t>
  </si>
  <si>
    <t>Pedestrian Travel Distance</t>
  </si>
  <si>
    <t>Ped miles / day</t>
  </si>
  <si>
    <t>Expanded Sidewalk</t>
  </si>
  <si>
    <t>Expanded Sidewalk Value</t>
  </si>
  <si>
    <t>Benefit of expanded sidewalk</t>
  </si>
  <si>
    <t>Additional Crosswalks</t>
  </si>
  <si>
    <t>New Crosswalks</t>
  </si>
  <si>
    <t>$ / use</t>
  </si>
  <si>
    <t>Additional Pedestrian Signals</t>
  </si>
  <si>
    <t>New Ped Signals</t>
  </si>
  <si>
    <t>Bridge Hits Benefits</t>
  </si>
  <si>
    <t>Cost of Bridge Hit</t>
  </si>
  <si>
    <t>Average damage per bridge hit</t>
  </si>
  <si>
    <t>$ / year</t>
  </si>
  <si>
    <t>Residual Value Benefits</t>
  </si>
  <si>
    <t>Bridge Cost</t>
  </si>
  <si>
    <t xml:space="preserve">Residual Value </t>
  </si>
  <si>
    <t>Benefit (Baseline - Alternative)</t>
  </si>
  <si>
    <t>Baseline</t>
  </si>
  <si>
    <t>Alternative</t>
  </si>
  <si>
    <t>Table 1: Summary of Benefits</t>
  </si>
  <si>
    <t>Baseline Status and Problems to be Addressed</t>
  </si>
  <si>
    <t>Change to Baseline</t>
  </si>
  <si>
    <t>Types of Impacts &amp; Benefits</t>
  </si>
  <si>
    <t xml:space="preserve">Population Affected by Impacts </t>
  </si>
  <si>
    <t>Benefit Value (2021 $ millions, 7% discount)</t>
  </si>
  <si>
    <t>The US-75 corridor is included in the top 5% of freight bottlenecks in the Tulsa area and is listed as a critical freight corridor in ODOT's State Freight Plan. 
A specific challenge associated with the interchange is to adequately accommodate existing future and travel demand. The current interchange movements are operating at a Level of Service D and AM and PM peak hours are showing a total network delay of 47 and 44 vehicle hours of delay, respectively. Additionally, there are no multimodal accommodations across US-75.</t>
  </si>
  <si>
    <t>The Oklahoma Department of Transportation (ODOT) and City of Tulsa (COT) propose to reconstruct the existing US-75/W. 81st Street interchange as a diverging diamond interchange (DDI), provide additional capacity on W. 81 Street, and provide new pedestrian and bicycle facilities across US-75. This innovative design will improve safety and traffic flow and provide a connection for non-vehicular traffic where none exists today.</t>
  </si>
  <si>
    <r>
      <rPr>
        <b/>
        <i/>
        <sz val="11"/>
        <color theme="1"/>
        <rFont val="Times New Roman"/>
        <family val="1"/>
      </rPr>
      <t>Impact</t>
    </r>
    <r>
      <rPr>
        <sz val="11"/>
        <color theme="1"/>
        <rFont val="Times New Roman"/>
        <family val="1"/>
      </rPr>
      <t xml:space="preserve"> - New diverging diamond interchange
</t>
    </r>
    <r>
      <rPr>
        <b/>
        <i/>
        <sz val="11"/>
        <color theme="1"/>
        <rFont val="Times New Roman"/>
        <family val="1"/>
      </rPr>
      <t>Benefit</t>
    </r>
    <r>
      <rPr>
        <sz val="11"/>
        <color theme="1"/>
        <rFont val="Times New Roman"/>
        <family val="1"/>
      </rPr>
      <t xml:space="preserve"> - Improved vehicle safety </t>
    </r>
  </si>
  <si>
    <t xml:space="preserve">Vehicle Owners and Truck Operators </t>
  </si>
  <si>
    <r>
      <rPr>
        <b/>
        <i/>
        <sz val="11"/>
        <color theme="1"/>
        <rFont val="Times New Roman"/>
        <family val="1"/>
      </rPr>
      <t>Impac</t>
    </r>
    <r>
      <rPr>
        <sz val="11"/>
        <color theme="1"/>
        <rFont val="Times New Roman"/>
        <family val="1"/>
      </rPr>
      <t xml:space="preserve">t - Reduced vehicular delays at interchange and reduced distances for pedestrian routes
</t>
    </r>
    <r>
      <rPr>
        <b/>
        <i/>
        <sz val="11"/>
        <color theme="1"/>
        <rFont val="Times New Roman"/>
        <family val="1"/>
      </rPr>
      <t>Benefit</t>
    </r>
    <r>
      <rPr>
        <sz val="11"/>
        <color theme="1"/>
        <rFont val="Times New Roman"/>
        <family val="1"/>
      </rPr>
      <t xml:space="preserve"> - Reduction in travel times </t>
    </r>
  </si>
  <si>
    <t>Vehicle Owners, Truck Operators, and Pedestrians</t>
  </si>
  <si>
    <r>
      <rPr>
        <b/>
        <i/>
        <sz val="11"/>
        <color theme="1"/>
        <rFont val="Times New Roman"/>
        <family val="1"/>
      </rPr>
      <t>Impact</t>
    </r>
    <r>
      <rPr>
        <sz val="11"/>
        <color theme="1"/>
        <rFont val="Times New Roman"/>
        <family val="1"/>
      </rPr>
      <t xml:space="preserve"> - Shorter delays at interchange
</t>
    </r>
    <r>
      <rPr>
        <b/>
        <i/>
        <sz val="11"/>
        <color theme="1"/>
        <rFont val="Times New Roman"/>
        <family val="1"/>
      </rPr>
      <t>Benefit</t>
    </r>
    <r>
      <rPr>
        <sz val="11"/>
        <color theme="1"/>
        <rFont val="Times New Roman"/>
        <family val="1"/>
      </rPr>
      <t xml:space="preserve"> - Reduced vehicle operating costs (fuel reduction) </t>
    </r>
  </si>
  <si>
    <r>
      <rPr>
        <b/>
        <i/>
        <sz val="11"/>
        <color theme="1"/>
        <rFont val="Times New Roman"/>
        <family val="1"/>
      </rPr>
      <t>Impact</t>
    </r>
    <r>
      <rPr>
        <sz val="11"/>
        <color theme="1"/>
        <rFont val="Times New Roman"/>
        <family val="1"/>
      </rPr>
      <t xml:space="preserve"> - Reduced time spent idling during intersection delays
</t>
    </r>
    <r>
      <rPr>
        <b/>
        <i/>
        <sz val="11"/>
        <color theme="1"/>
        <rFont val="Times New Roman"/>
        <family val="1"/>
      </rPr>
      <t>Benefit</t>
    </r>
    <r>
      <rPr>
        <sz val="11"/>
        <color theme="1"/>
        <rFont val="Times New Roman"/>
        <family val="1"/>
      </rPr>
      <t xml:space="preserve"> - Emissions reduction </t>
    </r>
  </si>
  <si>
    <t xml:space="preserve">Vehicle Owners, Truck Operators, and Residents of adjacent communities </t>
  </si>
  <si>
    <r>
      <rPr>
        <b/>
        <i/>
        <sz val="11"/>
        <color theme="1"/>
        <rFont val="Times New Roman"/>
        <family val="1"/>
      </rPr>
      <t>Impact</t>
    </r>
    <r>
      <rPr>
        <sz val="11"/>
        <color theme="1"/>
        <rFont val="Times New Roman"/>
        <family val="1"/>
      </rPr>
      <t xml:space="preserve"> - New sidewalks providing reduced walking distances and walk/cycling times
</t>
    </r>
    <r>
      <rPr>
        <b/>
        <i/>
        <sz val="11"/>
        <color theme="1"/>
        <rFont val="Times New Roman"/>
        <family val="1"/>
      </rPr>
      <t>Benefit</t>
    </r>
    <r>
      <rPr>
        <sz val="11"/>
        <color theme="1"/>
        <rFont val="Times New Roman"/>
        <family val="1"/>
      </rPr>
      <t xml:space="preserve"> - Pedestrians and cyclist improvements </t>
    </r>
  </si>
  <si>
    <t xml:space="preserve">Residents of adjacent communities </t>
  </si>
  <si>
    <r>
      <rPr>
        <b/>
        <i/>
        <sz val="11"/>
        <color theme="1"/>
        <rFont val="Times New Roman"/>
        <family val="1"/>
      </rPr>
      <t>Impact</t>
    </r>
    <r>
      <rPr>
        <sz val="11"/>
        <color theme="1"/>
        <rFont val="Times New Roman"/>
        <family val="1"/>
      </rPr>
      <t xml:space="preserve"> - New bridges at proposed interchange
</t>
    </r>
    <r>
      <rPr>
        <b/>
        <i/>
        <sz val="11"/>
        <color theme="1"/>
        <rFont val="Times New Roman"/>
        <family val="1"/>
      </rPr>
      <t>Benefit</t>
    </r>
    <r>
      <rPr>
        <sz val="11"/>
        <color theme="1"/>
        <rFont val="Times New Roman"/>
        <family val="1"/>
      </rPr>
      <t xml:space="preserve"> - Reduced bridge hits and reduced maintenance costs over the life of the project. </t>
    </r>
  </si>
  <si>
    <t>Vehicle Owners, Truck Operators, and ODOT</t>
  </si>
  <si>
    <r>
      <rPr>
        <b/>
        <i/>
        <sz val="11"/>
        <color theme="1"/>
        <rFont val="Times New Roman"/>
        <family val="1"/>
      </rPr>
      <t>Impact</t>
    </r>
    <r>
      <rPr>
        <sz val="11"/>
        <color theme="1"/>
        <rFont val="Times New Roman"/>
        <family val="1"/>
      </rPr>
      <t xml:space="preserve"> - New bridges at proposed interchange
</t>
    </r>
    <r>
      <rPr>
        <b/>
        <i/>
        <sz val="11"/>
        <color theme="1"/>
        <rFont val="Times New Roman"/>
        <family val="1"/>
      </rPr>
      <t>Benefit</t>
    </r>
    <r>
      <rPr>
        <sz val="11"/>
        <color theme="1"/>
        <rFont val="Times New Roman"/>
        <family val="1"/>
      </rPr>
      <t xml:space="preserve"> - Estended residual life of bridges at proposed interchange</t>
    </r>
  </si>
  <si>
    <t>ODOT</t>
  </si>
  <si>
    <t>Current</t>
  </si>
  <si>
    <t>Summary of BCA Outcomes, Millions of Dollars in 2021</t>
  </si>
  <si>
    <t>Safety Assumptions</t>
  </si>
  <si>
    <t>Base Case</t>
  </si>
  <si>
    <t>Project Evaluation Metric</t>
  </si>
  <si>
    <t>Present Value at 3% Discount Rate</t>
  </si>
  <si>
    <t>Present Value at 7% Discount Rate</t>
  </si>
  <si>
    <t>Synchro Analysis:
Total Vehicle-Hours per Day</t>
  </si>
  <si>
    <t>Pedestrian Counts</t>
  </si>
  <si>
    <t>Source</t>
  </si>
  <si>
    <t>Parameters</t>
  </si>
  <si>
    <t>Change in Parameter Value</t>
  </si>
  <si>
    <t>New NPV</t>
  </si>
  <si>
    <t>% Change in NPV</t>
  </si>
  <si>
    <t>New B/C Ratio</t>
  </si>
  <si>
    <t>Total Benefits</t>
  </si>
  <si>
    <t>Year of Count</t>
  </si>
  <si>
    <t xml:space="preserve">ODOT Data </t>
  </si>
  <si>
    <t>Vehicle Delay</t>
  </si>
  <si>
    <t>20% Reduction</t>
  </si>
  <si>
    <t>Total O&amp;M (Cost) / Savings</t>
  </si>
  <si>
    <t>Existing</t>
  </si>
  <si>
    <t>Average Ped/day</t>
  </si>
  <si>
    <t>20% Increase</t>
  </si>
  <si>
    <t>Total Capital (Cost) / Savings</t>
  </si>
  <si>
    <t xml:space="preserve">Proposed </t>
  </si>
  <si>
    <t>Pedestrian Growth Rate</t>
  </si>
  <si>
    <t>Benefit</t>
  </si>
  <si>
    <t xml:space="preserve">Benefit / Cost Ratio </t>
  </si>
  <si>
    <t>Split of Travel Time Savings</t>
  </si>
  <si>
    <t>30 Year Analysis Period</t>
  </si>
  <si>
    <t>Ped</t>
  </si>
  <si>
    <t>Summary of Project Costs, Millions of Dollars in 2021</t>
  </si>
  <si>
    <t>Veh</t>
  </si>
  <si>
    <t>Cost Category</t>
  </si>
  <si>
    <t>Maintenance (negative is savings)</t>
  </si>
  <si>
    <t>Summary of Benefits, Millions of Dollars in 2021</t>
  </si>
  <si>
    <t>Source / Comment</t>
  </si>
  <si>
    <t>SYNCHRO FUEL CONSUMPTION DATA</t>
  </si>
  <si>
    <t xml:space="preserve">Synchro Analysis: Fuel Consumption (gal.) </t>
  </si>
  <si>
    <t>AM</t>
  </si>
  <si>
    <t>PM</t>
  </si>
  <si>
    <t xml:space="preserve">AM </t>
  </si>
  <si>
    <t>Pedstrian Ammenities</t>
  </si>
  <si>
    <t>SYNCHRO EMISSIONS DATA</t>
  </si>
  <si>
    <t>Emissions (kg)</t>
  </si>
  <si>
    <t>Exisiting</t>
  </si>
  <si>
    <r>
      <t>CO</t>
    </r>
    <r>
      <rPr>
        <vertAlign val="subscript"/>
        <sz val="11"/>
        <color theme="1"/>
        <rFont val="Times New Roman"/>
        <family val="1"/>
      </rPr>
      <t>2</t>
    </r>
  </si>
  <si>
    <r>
      <t>NO</t>
    </r>
    <r>
      <rPr>
        <vertAlign val="subscript"/>
        <sz val="11"/>
        <color theme="1"/>
        <rFont val="Times New Roman"/>
        <family val="1"/>
      </rPr>
      <t>X</t>
    </r>
  </si>
  <si>
    <t>VOC</t>
  </si>
  <si>
    <t>Travel Time Savings - Pedestrian</t>
  </si>
  <si>
    <t>Value of time for pedestrian travel</t>
  </si>
  <si>
    <t>Travel Time Savings - Vehicles</t>
  </si>
  <si>
    <t>Source:</t>
  </si>
  <si>
    <t>Year of Estimate</t>
  </si>
  <si>
    <t xml:space="preserve">Year </t>
  </si>
  <si>
    <t>No-Build</t>
  </si>
  <si>
    <t>BUILD</t>
  </si>
  <si>
    <t>Maint &amp; Rehab Costs for US-75/81st</t>
  </si>
  <si>
    <t xml:space="preserve"> Capital Costs </t>
  </si>
  <si>
    <t xml:space="preserve"> Maintenance </t>
  </si>
  <si>
    <t>UT</t>
  </si>
  <si>
    <t>RW</t>
  </si>
  <si>
    <t xml:space="preserve"> TOTAL </t>
  </si>
  <si>
    <t>TOTAL</t>
  </si>
  <si>
    <t>Based on ODOT volume</t>
  </si>
  <si>
    <t>AADT Volume</t>
  </si>
  <si>
    <t>Annual Growth</t>
  </si>
  <si>
    <t>Delay Output Selected</t>
  </si>
  <si>
    <t>N of 81st</t>
  </si>
  <si>
    <t>OKDOT AADT N of 81</t>
  </si>
  <si>
    <t>27-Year Growth Factor</t>
  </si>
  <si>
    <t>Veh - Hours</t>
  </si>
  <si>
    <t>Yearly Linear Rate to achieve growth 27-year Growth Factor</t>
  </si>
  <si>
    <t>EXIST</t>
  </si>
  <si>
    <t>PROP</t>
  </si>
  <si>
    <t>BENEFIT</t>
  </si>
  <si>
    <t>Directional Hourly</t>
  </si>
  <si>
    <t>SYNCHRO Delay</t>
  </si>
  <si>
    <t>From Mike Spayd email 2/7/23</t>
  </si>
  <si>
    <t>VISSIM (total delay) - DDI+Olympia</t>
  </si>
  <si>
    <t>Arterial (81st Street)</t>
  </si>
  <si>
    <t>Growth Rate</t>
  </si>
  <si>
    <t>SYNCHRO (total delay)</t>
  </si>
  <si>
    <t>Based on Annual Growth</t>
  </si>
  <si>
    <t>5-Year Growth Factor</t>
  </si>
  <si>
    <t>Yearly Linear Rate to achieve growth 5-year Growth Factor</t>
  </si>
  <si>
    <t>VISSIM (total delay) - Just DDI</t>
  </si>
  <si>
    <t>23-Year Growth Factor</t>
  </si>
  <si>
    <t>Yearly Linear Rate to achieve growth 23-year Growth Factor</t>
  </si>
  <si>
    <t>Fuel Consumption (gal.)</t>
  </si>
  <si>
    <t>SYNCHRO</t>
  </si>
  <si>
    <t>28-Year Growth Factor</t>
  </si>
  <si>
    <t>Yearly Linear Rate to achieve growth 28-year Growth Factor</t>
  </si>
  <si>
    <t>CO</t>
  </si>
  <si>
    <t>NO x</t>
  </si>
  <si>
    <t>2023 Volume</t>
  </si>
  <si>
    <t>WB</t>
  </si>
  <si>
    <t>EB</t>
  </si>
  <si>
    <t>Combined</t>
  </si>
  <si>
    <t>2046 Volume</t>
  </si>
  <si>
    <t>From INCOG</t>
  </si>
  <si>
    <t>We installed the counter for two weeks on the southeast corner of Hwy 71 and 81st St. After reviewing the data, and factoring in the weather, we believe an accurate number of sidewalk users for this location is between 40 - 97 per day.  Eco counter cannot differentiate between transportation modes (pedestrian, bicyclists, scooters etc.), and so we refer to the counts as “sidewalk users”.</t>
  </si>
  <si>
    <t>Low</t>
  </si>
  <si>
    <t>High</t>
  </si>
  <si>
    <t>Avg</t>
  </si>
  <si>
    <t>https://www.census.gov/quickfacts/tulsacityoklahoma</t>
  </si>
  <si>
    <t>Population Start Year</t>
  </si>
  <si>
    <t>Population</t>
  </si>
  <si>
    <t>Population Finish Year</t>
  </si>
  <si>
    <t>Total Growth</t>
  </si>
  <si>
    <t xml:space="preserve">Crash Data at ramp terminals on 81st </t>
  </si>
  <si>
    <t>End Year</t>
  </si>
  <si>
    <t>Period</t>
  </si>
  <si>
    <t>Count</t>
  </si>
  <si>
    <t>Rate / year</t>
  </si>
  <si>
    <t>DDI Safety Study CMF Value</t>
  </si>
  <si>
    <t>GC#</t>
  </si>
  <si>
    <t>DATE INCIDENT</t>
  </si>
  <si>
    <t>DEFENDANT</t>
  </si>
  <si>
    <t>STRUCTURE/CONTRACT</t>
  </si>
  <si>
    <t>DAMAGE LOSS</t>
  </si>
  <si>
    <t>AMOUNT CLAIMED</t>
  </si>
  <si>
    <t>AMOUNT RECEIVED</t>
  </si>
  <si>
    <t>DATE CLOSED</t>
  </si>
  <si>
    <t>DIST #</t>
  </si>
  <si>
    <t>Project #</t>
  </si>
  <si>
    <t>Posted Clearance</t>
  </si>
  <si>
    <t>GCC-180</t>
  </si>
  <si>
    <t>Vaught Construction, Inc.</t>
  </si>
  <si>
    <t>Hwy 64 @ 129th W. Ave., Tulsa Co.</t>
  </si>
  <si>
    <t>Bridge (NBI 17277)</t>
  </si>
  <si>
    <t>SAP-272A(253)</t>
  </si>
  <si>
    <t>15' 0"</t>
  </si>
  <si>
    <t>GCC-181</t>
  </si>
  <si>
    <t>Blue White Trucking, Inc.</t>
  </si>
  <si>
    <t>I-40 EB @ Methodist Road, Canadian Co.</t>
  </si>
  <si>
    <t>Bridge (NBI 29923)</t>
  </si>
  <si>
    <t>SAP-4000(069)</t>
  </si>
  <si>
    <t>??</t>
  </si>
  <si>
    <t>GCC-191</t>
  </si>
  <si>
    <t>DD&amp;S Logistics, Inc.</t>
  </si>
  <si>
    <t>SH-20 @ CR Yale, Tulsa Co.</t>
  </si>
  <si>
    <t>Bridge (NBI 18076)</t>
  </si>
  <si>
    <t>SAP-014N(101)SS</t>
  </si>
  <si>
    <t>16' 2"</t>
  </si>
  <si>
    <t>GCC-211</t>
  </si>
  <si>
    <t>Gill's Waste Oil, LLC</t>
  </si>
  <si>
    <t xml:space="preserve">SH-49 @ I-44 W/B Off Ramp, Comanche Co. </t>
  </si>
  <si>
    <t>Bridge (NBI 15761)</t>
  </si>
  <si>
    <t>E-SAP-4400(049)_SS</t>
  </si>
  <si>
    <t>GCC-216</t>
  </si>
  <si>
    <t>JD Specialized Transport Co.</t>
  </si>
  <si>
    <t>State Hwy 3 @ State Hwy 1, Pontotoc Co.</t>
  </si>
  <si>
    <t>Bridge (NBI 29688)</t>
  </si>
  <si>
    <t>SAP-3500(075)SS</t>
  </si>
  <si>
    <t>16' 7"</t>
  </si>
  <si>
    <t>GCC-251</t>
  </si>
  <si>
    <t>Stone Trucking Company</t>
  </si>
  <si>
    <t>I-44 @ US-169, Tulsa Co.</t>
  </si>
  <si>
    <t>Bridge/Roadway (NBI 15855)</t>
  </si>
  <si>
    <t>E-SAP-4400(060)ES</t>
  </si>
  <si>
    <t>15' 8"</t>
  </si>
  <si>
    <t>GCC-253</t>
  </si>
  <si>
    <t>Big C's Towing</t>
  </si>
  <si>
    <t xml:space="preserve">US-271 @ County Rd., LeFlore Co. </t>
  </si>
  <si>
    <t>Bridge &amp; Concrete (NBI 10961)</t>
  </si>
  <si>
    <t>SAP-240C(078)ES</t>
  </si>
  <si>
    <t>14' 10"</t>
  </si>
  <si>
    <t>GCC-256</t>
  </si>
  <si>
    <t>Muzom Transportation</t>
  </si>
  <si>
    <t>I-35 NB @ S Edge US-77 (Bridge), Cleveland Co.</t>
  </si>
  <si>
    <t>Concrete Bridge Support (NBI 29220)</t>
  </si>
  <si>
    <t>SAP-214N(099)ES</t>
  </si>
  <si>
    <t>17' 3"</t>
  </si>
  <si>
    <t>GCC-259</t>
  </si>
  <si>
    <t>RK&amp;R Dozer Service LLC</t>
  </si>
  <si>
    <t>SH-51 EB @I-35 SB Payne Co.</t>
  </si>
  <si>
    <t>Bridge (NBI 28183)</t>
  </si>
  <si>
    <t>E-SAP-3500(088)ES</t>
  </si>
  <si>
    <t>16' 9"</t>
  </si>
  <si>
    <t xml:space="preserve"> </t>
  </si>
  <si>
    <t>GCC-273</t>
  </si>
  <si>
    <t>Garfield County</t>
  </si>
  <si>
    <t xml:space="preserve">5800 N. 4th @ SB HWY-81, Garfield Co. </t>
  </si>
  <si>
    <t>Bridge (NBI 30176)</t>
  </si>
  <si>
    <t>JP# 34665(04)</t>
  </si>
  <si>
    <t>16' 10"</t>
  </si>
  <si>
    <t>GCC-274</t>
  </si>
  <si>
    <t>TRS Services, Inc.</t>
  </si>
  <si>
    <t>I-40 @ Alfadale Rd. (43), Canadian Co.</t>
  </si>
  <si>
    <t>Bridge and Rail (NBI 16772)</t>
  </si>
  <si>
    <t>SAP-4000(101)ES</t>
  </si>
  <si>
    <t>15' 9"</t>
  </si>
  <si>
    <t>GCC-282</t>
  </si>
  <si>
    <t>Smithey Environmental Services</t>
  </si>
  <si>
    <t>I-244 EB / Main Street, Tulsa County, OK</t>
  </si>
  <si>
    <t>Bridge (NBI 18022)</t>
  </si>
  <si>
    <t>SAP-2440(029)</t>
  </si>
  <si>
    <t>13' 4"</t>
  </si>
  <si>
    <t>GCC-290</t>
  </si>
  <si>
    <t>GBT Roadlines, Inc.</t>
  </si>
  <si>
    <t>US-69 southbound at Redbud Lane, Bryan Co.</t>
  </si>
  <si>
    <t>Bridge (NBI 18578)</t>
  </si>
  <si>
    <t>SAP-013N(187)ES</t>
  </si>
  <si>
    <t>GCC-293</t>
  </si>
  <si>
    <t>A&amp;D Supply Company</t>
  </si>
  <si>
    <t>I-35 @ 12th Street, Moore, Cleveland Co.</t>
  </si>
  <si>
    <t>Bridge (NBI 17019)</t>
  </si>
  <si>
    <t>SAP-3500(109)ES</t>
  </si>
  <si>
    <t>GCC-297</t>
  </si>
  <si>
    <t>Earl Le Dozer, LLC</t>
  </si>
  <si>
    <t>US-412 (US-64) N. 65th over, Sand Springs, Tulsa Co.</t>
  </si>
  <si>
    <t>Bridge (NBI 18564)</t>
  </si>
  <si>
    <t>SAP-019N(147)ES</t>
  </si>
  <si>
    <t>14' 7"</t>
  </si>
  <si>
    <t>GCC-298</t>
  </si>
  <si>
    <t>C. Gull Tree Service</t>
  </si>
  <si>
    <t>N.W. 36th Street, I-44, Oklahoma City, Oklahoma Co.</t>
  </si>
  <si>
    <t>Bridge (NBI 18592)</t>
  </si>
  <si>
    <t>SAP-4400(088)ES</t>
  </si>
  <si>
    <t>16' 0"</t>
  </si>
  <si>
    <t>GCC-305</t>
  </si>
  <si>
    <t>Arkk Trucking</t>
  </si>
  <si>
    <t>I-44 Bridge over S. 33rd E. Avenue, Tulsa, Tulsa Co.</t>
  </si>
  <si>
    <t xml:space="preserve">Bridge </t>
  </si>
  <si>
    <t>NHPPI-4400(058)PM</t>
  </si>
  <si>
    <t>GCC-318</t>
  </si>
  <si>
    <t>Cleveland County</t>
  </si>
  <si>
    <t>SH-9 over US-77, Norman, Cleveland Co.</t>
  </si>
  <si>
    <t>Bridge (NBI 18072)</t>
  </si>
  <si>
    <t>SAP-214N(116)ES</t>
  </si>
  <si>
    <t>GCC-325</t>
  </si>
  <si>
    <t>GPEX Transport, Inc.</t>
  </si>
  <si>
    <t>I-35 at CR E205, Love Co.</t>
  </si>
  <si>
    <t>Bridge (NBI 16620)</t>
  </si>
  <si>
    <t>SAP-3500(127)ES</t>
  </si>
  <si>
    <t>GCC-326</t>
  </si>
  <si>
    <t>Vance Dotson Trucking</t>
  </si>
  <si>
    <t>I-44 near mm 2.5, Cotton Co.</t>
  </si>
  <si>
    <t>Bridge (NBI 15798)</t>
  </si>
  <si>
    <t>SAP-4400(098)ES</t>
  </si>
  <si>
    <t>GCC-335</t>
  </si>
  <si>
    <t>American Waste Control, Inc.</t>
  </si>
  <si>
    <t>US-75 over 41st St. Tulsa, Tulsa Co.</t>
  </si>
  <si>
    <t>Bridge (NBI 18311)</t>
  </si>
  <si>
    <t>SAP-014N(121)ES</t>
  </si>
  <si>
    <t>15' 2"</t>
  </si>
  <si>
    <t>GCC-337</t>
  </si>
  <si>
    <t>Hood Brand LLC</t>
  </si>
  <si>
    <t>New Haven Ave. over SH-11,  Tulsa, Tulsa Co.</t>
  </si>
  <si>
    <t>Bridge (NBI 22070)</t>
  </si>
  <si>
    <t>SAP-028N(006)ES</t>
  </si>
  <si>
    <t>16' 3"</t>
  </si>
  <si>
    <t>GCC-339</t>
  </si>
  <si>
    <t>Brixey Wasteworks, LLC</t>
  </si>
  <si>
    <t>US-69 Washington Ave. Bryan Co.</t>
  </si>
  <si>
    <t>Bridge (NBI 18081)</t>
  </si>
  <si>
    <t>E-SAP-013N(208)ES</t>
  </si>
  <si>
    <t>14' 6"</t>
  </si>
  <si>
    <t>GCC-343</t>
  </si>
  <si>
    <t>Becco Contractors, Inc.</t>
  </si>
  <si>
    <t>US-412/US-64 at 129th W Ave. Sand Springs, Tulsa Co.</t>
  </si>
  <si>
    <t>SAP-019N(153)ES</t>
  </si>
  <si>
    <t>GCC-352</t>
  </si>
  <si>
    <t>Big Iron Oilfield Services</t>
  </si>
  <si>
    <t>I-35 at Hereford Road, Carter Co.</t>
  </si>
  <si>
    <t>Bridge (NBI 17554)</t>
  </si>
  <si>
    <t>E-SAP-3500(141)ES</t>
  </si>
  <si>
    <t>16' 1"</t>
  </si>
  <si>
    <t>GCC-354</t>
  </si>
  <si>
    <t>MEI Contractors</t>
  </si>
  <si>
    <t>I-240 near S. Western, Oklahoma City, Oklahoma Co.</t>
  </si>
  <si>
    <t>Pedestrian Bridge (NBI 18117)</t>
  </si>
  <si>
    <t>E-SAP-2400(007)ES/</t>
  </si>
  <si>
    <t>GCC-375</t>
  </si>
  <si>
    <t>Wesley Byrd</t>
  </si>
  <si>
    <t>SH-51 over 145th/Aspen Ave., Tulsa, Tulsa Co.</t>
  </si>
  <si>
    <t>Bridge (NBI 27147)</t>
  </si>
  <si>
    <t>Bid set for April 2023</t>
  </si>
  <si>
    <t>16' 6"</t>
  </si>
  <si>
    <t>GCC-390</t>
  </si>
  <si>
    <t>Shoevaldoc Construction</t>
  </si>
  <si>
    <t>I-35 over SH-39, mm 92 near Purcell, McLain Co.</t>
  </si>
  <si>
    <t>Bridge (NBI 17207, 17208)</t>
  </si>
  <si>
    <t>BRIDGE HITS</t>
  </si>
  <si>
    <t>Total Damage</t>
  </si>
  <si>
    <t>Count of Bridge Hits with Damage</t>
  </si>
  <si>
    <t>Average Damage per Bridge Hit</t>
  </si>
  <si>
    <t>https://apps.bea.gov/iTable/?reqid=19&amp;step=3&amp;isuri=1&amp;1921=survey&amp;1903=11%23reqid%3D19&amp;step=3&amp;isuri=1&amp;1921=survey&amp;1903=11#eyJhcHBpZCI6MTksInN0ZXBzIjpbMSwyLDNdLCJkYXRhIjpbWyJOSVBBX1RhYmxlX0xpc3QiLCI1Il0sWyJDYXRlZ29yaWVzIiwiU3VydmV5Il1dfQ==</t>
  </si>
  <si>
    <t>GDP</t>
  </si>
  <si>
    <t>Factor</t>
  </si>
  <si>
    <t>N/A - Define in BCA Guidelines</t>
  </si>
  <si>
    <t>Table 12.</t>
  </si>
  <si>
    <t>Report</t>
  </si>
  <si>
    <t>Scenario</t>
  </si>
  <si>
    <t>Datekey</t>
  </si>
  <si>
    <t>12. Petroleum and Other Liquids Prices</t>
  </si>
  <si>
    <t>Average</t>
  </si>
  <si>
    <t xml:space="preserve"> Sector and Fuel</t>
  </si>
  <si>
    <t>Prices in Nominal Dollars</t>
  </si>
  <si>
    <t>Delivered Sector Product Prices</t>
  </si>
  <si>
    <t>Nominal Dollars per Gallon</t>
  </si>
  <si>
    <t>Parameter Values</t>
  </si>
  <si>
    <t>This sheet provides a copy of parameter and monetization values from Appendix A of the USDOT BCA Guidance, and is provided for convenience.</t>
  </si>
  <si>
    <t>Source: USDOT BCA Guidance (Appendix A)</t>
  </si>
  <si>
    <t>-</t>
  </si>
  <si>
    <t>Table A-1a: Value of Reduced Fatalities, Injuries, and Crashes</t>
  </si>
  <si>
    <t>KABCO Level</t>
  </si>
  <si>
    <t>Monetized Value (2022 $)</t>
  </si>
  <si>
    <t>O - No Injury</t>
  </si>
  <si>
    <t>C - Possible Injury</t>
  </si>
  <si>
    <t>B - Non-incapacitating</t>
  </si>
  <si>
    <t>A - Incapacitating</t>
  </si>
  <si>
    <t>K - Killed</t>
  </si>
  <si>
    <t>U - Injured (Severity Unknown)</t>
  </si>
  <si>
    <t>Table A-1b: Value of Reduced Fatal, Injury, and PDO Crashes</t>
  </si>
  <si>
    <t>Crash Type</t>
  </si>
  <si>
    <t>PDO Crash</t>
  </si>
  <si>
    <t>Injury Crash</t>
  </si>
  <si>
    <t>Fatal Crash</t>
  </si>
  <si>
    <t>Table A-2: Value of Travel Time Savings</t>
  </si>
  <si>
    <t>Recommended Hourly Values of Travel Time Savings</t>
  </si>
  <si>
    <t>(2022 $ per person-hour)</t>
  </si>
  <si>
    <t>Hourly Value</t>
  </si>
  <si>
    <t>General Travel Time</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</si>
  <si>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</si>
  <si>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</si>
  <si>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</si>
  <si>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</si>
  <si>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</si>
  <si>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Transit Rail Operators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</si>
  <si>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$25.10 per hour.</t>
  </si>
  <si>
    <t>2)  Weighted average based on a typical distribution of local travel by surface modes (88.2% personal, 11.8% business). Applicants should apply their own distribution of business versus personal travel where such information is available.</t>
  </si>
  <si>
    <t>3)  Note that business travel does not include commuting travel, which should be valued at the personal travel rate. Travel on high-speed rail service that would be competitive with air travel should be valued at $47.70 per hour for personal travel and $80.20 for business travel.</t>
  </si>
  <si>
    <t>4)  Should be applied only when actions affect those elements of travel time.</t>
  </si>
  <si>
    <t>5)  Includes only the value of time for the operator, not passengers or freight.</t>
  </si>
  <si>
    <t>Table A-3: Average Vehicle Occupancy Rates for Highway Passenger Vehicles</t>
  </si>
  <si>
    <t>Vehicle Type</t>
  </si>
  <si>
    <t>Average Occupancy</t>
  </si>
  <si>
    <r>
      <t>Passenger Vehicles (Weekday Peak)</t>
    </r>
    <r>
      <rPr>
        <vertAlign val="superscript"/>
        <sz val="11"/>
        <color rgb="FF1F497D"/>
        <rFont val="Times New Roman"/>
        <family val="1"/>
      </rPr>
      <t>1</t>
    </r>
  </si>
  <si>
    <t>Passenger Vehicles (Weekday Off-Peak)</t>
  </si>
  <si>
    <t>Passenger Vehicles (Weekend)</t>
  </si>
  <si>
    <t>Passenger Vehicles (All Travel)</t>
  </si>
  <si>
    <t>1) Weekday peak period values calculated for trips starting between 6:00 AM-8:59 AM and 4:00 PM-6:59 PM.</t>
  </si>
  <si>
    <t>Table A-4: Vehicle Operating Costs</t>
  </si>
  <si>
    <t>Recommended Value per Mile (2022 $)</t>
  </si>
  <si>
    <r>
      <t>Light Duty Vehicles</t>
    </r>
    <r>
      <rPr>
        <vertAlign val="superscript"/>
        <sz val="11"/>
        <color theme="1"/>
        <rFont val="Times New Roman"/>
        <family val="1"/>
      </rPr>
      <t>1</t>
    </r>
  </si>
  <si>
    <r>
      <t>Commercial Trucks</t>
    </r>
    <r>
      <rPr>
        <vertAlign val="superscript"/>
        <sz val="11"/>
        <color theme="1"/>
        <rFont val="Times New Roman"/>
        <family val="1"/>
      </rPr>
      <t>2</t>
    </r>
  </si>
  <si>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</si>
  <si>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</si>
  <si>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Table A-5: Train Operating and Social Costs</t>
  </si>
  <si>
    <t>Recommended Value per Hour (2022 $)</t>
  </si>
  <si>
    <t>Train and Movement Type</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</si>
  <si>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</si>
  <si>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</si>
  <si>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</si>
  <si>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Idling</t>
  </si>
  <si>
    <t>Freight Train</t>
  </si>
  <si>
    <t>Commuter Train</t>
  </si>
  <si>
    <t>Amtrak Long-Distance</t>
  </si>
  <si>
    <t>Amtrak State-Supported</t>
  </si>
  <si>
    <t>Hauling</t>
  </si>
  <si>
    <t>All Movements</t>
  </si>
  <si>
    <t>Freight Railcar</t>
  </si>
  <si>
    <t>*</t>
  </si>
  <si>
    <t>1)  Includes fuel cost, depreciation, and labor cost which should be discounted at 3.1 percent.</t>
  </si>
  <si>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</si>
  <si>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t>Table A-6: Damage Costs for Emissions per Metric Ton*</t>
  </si>
  <si>
    <t>Emission Type</t>
  </si>
  <si>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</si>
  <si>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</si>
  <si>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</si>
  <si>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</si>
  <si>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*Applicants should carefully note whether their emissions data is reported in short tons or metric tons. A metric ton is equal to 1.1023 short tons.</t>
  </si>
  <si>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</si>
  <si>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t>Table A-7: Inflation Adjustment Values</t>
  </si>
  <si>
    <t>Base Year of Nominal Dollar</t>
  </si>
  <si>
    <t>Multiplier to Adjust to Real 2022 $</t>
  </si>
  <si>
    <t>Table A-8: Pedestrian Facility Improvements Revealed Preference Values</t>
  </si>
  <si>
    <t>Improvement Type</t>
  </si>
  <si>
    <r>
      <t>Recommended Value per Person-Mile Walked (2022 $)</t>
    </r>
    <r>
      <rPr>
        <vertAlign val="superscript"/>
        <sz val="11"/>
        <color theme="0"/>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</si>
  <si>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</si>
  <si>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</si>
  <si>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</si>
  <si>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</si>
  <si>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r>
      <t>Recommended Value per Use (2022 $)</t>
    </r>
    <r>
      <rPr>
        <vertAlign val="superscript"/>
        <sz val="11"/>
        <color theme="0"/>
        <rFont val="Times New Roman"/>
        <family val="1"/>
      </rPr>
      <t>1</t>
    </r>
  </si>
  <si>
    <t>Install Marked-Crosswalk on Roadway with Volumes ≥10,000 Vehicle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</si>
  <si>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</si>
  <si>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</si>
  <si>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</si>
  <si>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</si>
  <si>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r>
      <t>Recommended Value per Cycling Mile (2022 $)</t>
    </r>
    <r>
      <rPr>
        <vertAlign val="superscript"/>
        <sz val="11"/>
        <color theme="0"/>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</si>
  <si>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</si>
  <si>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</si>
  <si>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</si>
  <si>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</si>
  <si>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</si>
  <si>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</si>
  <si>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</si>
  <si>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A-10: Transit Facility Amenity Revealed and Stated Preference Values</t>
  </si>
  <si>
    <t>Attribute Type</t>
  </si>
  <si>
    <t>Recommended Value per User Trip (2022 $)</t>
  </si>
  <si>
    <t>Bus Stop</t>
  </si>
  <si>
    <t>Light Rail /Streetcar Stop</t>
  </si>
  <si>
    <t>Rail Station</t>
  </si>
  <si>
    <t>Clocks</t>
  </si>
  <si>
    <t>Electronic Real-Time Information Displays</t>
  </si>
  <si>
    <t>Information /Emergency Button</t>
  </si>
  <si>
    <t>PA System</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</si>
  <si>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</si>
  <si>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</si>
  <si>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t>Restroom Availability</t>
  </si>
  <si>
    <t>Retail/Food Outlet Availability</t>
  </si>
  <si>
    <t>Staff Availability</t>
  </si>
  <si>
    <t>Step-Free Access to Station/Stop</t>
  </si>
  <si>
    <t>Step-Free Access to Vehicle</t>
  </si>
  <si>
    <t>Surveillance Cameras</t>
  </si>
  <si>
    <r>
      <t>Temperature Controlled Environment</t>
    </r>
    <r>
      <rPr>
        <vertAlign val="superscript"/>
        <sz val="11"/>
        <color rgb="FF1F497D"/>
        <rFont val="Times New Roman"/>
        <family val="1"/>
      </rPr>
      <t>1</t>
    </r>
  </si>
  <si>
    <t>Ticket Machines</t>
  </si>
  <si>
    <t>Timetables</t>
  </si>
  <si>
    <t>Bike Facilities</t>
  </si>
  <si>
    <t>Car Access Facilities</t>
  </si>
  <si>
    <t>Elevator</t>
  </si>
  <si>
    <t>Escalators</t>
  </si>
  <si>
    <t>On-Site Ticket Office</t>
  </si>
  <si>
    <t>Taxi Pickup/Dropoff</t>
  </si>
  <si>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</si>
  <si>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</si>
  <si>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</si>
  <si>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Bus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</si>
  <si>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</si>
  <si>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</si>
  <si>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</si>
  <si>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</si>
  <si>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</si>
  <si>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</si>
  <si>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</si>
  <si>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</si>
  <si>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</si>
  <si>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r>
      <t>Boarding Quality Benefit (Per Boarding) (2022 $)</t>
    </r>
    <r>
      <rPr>
        <vertAlign val="superscript"/>
        <sz val="11"/>
        <color theme="0"/>
        <rFont val="Calibri"/>
        <family val="2"/>
        <scheme val="minor"/>
      </rPr>
      <t>1</t>
    </r>
  </si>
  <si>
    <r>
      <t>Vehicle Ride Quality Benefit (Per Passenger Hour) (2022 $)</t>
    </r>
    <r>
      <rPr>
        <vertAlign val="superscript"/>
        <sz val="11"/>
        <color theme="0"/>
        <rFont val="Calibri"/>
        <family val="2"/>
        <scheme val="minor"/>
      </rPr>
      <t>1</t>
    </r>
  </si>
  <si>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</si>
  <si>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</si>
  <si>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</si>
  <si>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t>Streetcar or On-Street Light Rail Transit</t>
  </si>
  <si>
    <t>Off-Street Light Rail Transit</t>
  </si>
  <si>
    <t>Heavy Rail</t>
  </si>
  <si>
    <t>Commuter Rail</t>
  </si>
  <si>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</si>
  <si>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</si>
  <si>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</si>
  <si>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</si>
  <si>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Table A-13: Mortality Reduction Benefits of Induced Active Transportation Values</t>
  </si>
  <si>
    <t>Mode</t>
  </si>
  <si>
    <r>
      <t>Applicable Age Range</t>
    </r>
    <r>
      <rPr>
        <vertAlign val="superscript"/>
        <sz val="11"/>
        <color theme="0"/>
        <rFont val="Calibri"/>
        <family val="2"/>
        <scheme val="minor"/>
      </rPr>
      <t>3</t>
    </r>
  </si>
  <si>
    <r>
      <t>Recommended Value per Induced Trip (2022 $)</t>
    </r>
    <r>
      <rPr>
        <vertAlign val="superscript"/>
        <sz val="11"/>
        <color theme="0"/>
        <rFont val="Calibri"/>
        <family val="2"/>
        <scheme val="minor"/>
      </rPr>
      <t>4</t>
    </r>
  </si>
  <si>
    <r>
      <t>Walking</t>
    </r>
    <r>
      <rPr>
        <vertAlign val="superscript"/>
        <sz val="11"/>
        <color theme="1"/>
        <rFont val="Calibri"/>
        <family val="2"/>
        <scheme val="minor"/>
      </rPr>
      <t>1</t>
    </r>
  </si>
  <si>
    <t>Ages 20-74</t>
  </si>
  <si>
    <r>
      <t>Cycling</t>
    </r>
    <r>
      <rPr>
        <vertAlign val="superscript"/>
        <sz val="11"/>
        <color theme="1"/>
        <rFont val="Calibri"/>
        <family val="2"/>
        <scheme val="minor"/>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</si>
  <si>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</si>
  <si>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</si>
  <si>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</si>
  <si>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</si>
  <si>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</si>
  <si>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Table A-14: External Highway Use Costs</t>
  </si>
  <si>
    <t>Vehicle Type and Location</t>
  </si>
  <si>
    <r>
      <t>Recommended Value of Cost per Vehicle Mile Traveled (2022 $)</t>
    </r>
    <r>
      <rPr>
        <vertAlign val="superscript"/>
        <sz val="11"/>
        <color theme="0"/>
        <rFont val="Times New Roman"/>
        <family val="1"/>
      </rPr>
      <t>1</t>
    </r>
  </si>
  <si>
    <t>Congestion</t>
  </si>
  <si>
    <t>Noise</t>
  </si>
  <si>
    <t>Safety Cost</t>
  </si>
  <si>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</si>
  <si>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</si>
  <si>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</si>
  <si>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</si>
  <si>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</si>
  <si>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</si>
  <si>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</si>
  <si>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</si>
  <si>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</si>
  <si>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</si>
  <si>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</si>
  <si>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2022 dollars using the GDP deflator.</t>
  </si>
  <si>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</si>
  <si>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t>2% Discount Factor</t>
  </si>
  <si>
    <t>3.1% Discount Factor</t>
  </si>
  <si>
    <t>Analysis Year</t>
  </si>
  <si>
    <t>Project Bridge Cost (for Residual Life calculation)</t>
  </si>
  <si>
    <t>Reduced Maintenance</t>
  </si>
  <si>
    <t>Results - 3.1% Discount</t>
  </si>
  <si>
    <t>Results - 2% Discount</t>
  </si>
  <si>
    <t>All $ values 2022, unless otherwise noted</t>
  </si>
  <si>
    <t>2022 Factor</t>
  </si>
  <si>
    <t>2022 Dollars</t>
  </si>
  <si>
    <t>NOTE: 3.1% Discount in row above calculates CO2 at 2% discount.</t>
  </si>
  <si>
    <t>Benefit Cost Ratio (3.1% disc.*)</t>
  </si>
  <si>
    <t>*Emissions 3.1% discount factor includes 2% discount for CO2</t>
  </si>
  <si>
    <t>Source: EIA Energy Outlook 2023</t>
  </si>
  <si>
    <t>EIA - Annual Energy Outlook 2023</t>
  </si>
  <si>
    <t>Annual Energy Outlook 2023</t>
  </si>
  <si>
    <t>Reference Case</t>
  </si>
  <si>
    <t>Tue Jan 23 2024 13:27:21 GMT-0500 (Eastern Standard Time)</t>
  </si>
  <si>
    <t>full name</t>
  </si>
  <si>
    <t>api key</t>
  </si>
  <si>
    <t>units</t>
  </si>
  <si>
    <t>Growth (2022-2050)</t>
  </si>
  <si>
    <t>Crude Oil Prices (2022 dollars per barrel)</t>
  </si>
  <si>
    <t>Brent Spot</t>
  </si>
  <si>
    <t>Real Petroleum Prices: Crude Oil: Brent Spot: Reference case</t>
  </si>
  <si>
    <t>AEO.2023.REF2023.PRCE_NA_NA_NA_CR_BRNTSPPR_USA_Y13DLRPBBL.A</t>
  </si>
  <si>
    <t>2022 $/b</t>
  </si>
  <si>
    <t>West Texas Intermediate Spot</t>
  </si>
  <si>
    <t>Real Petroleum Prices: Crude Oil: West Texas Intermediate Spot: Reference case</t>
  </si>
  <si>
    <t>AEO.2023.REF2023.PRCE_NA_NA_NA_CR_WTI_USA_Y13DLRPBBL.A</t>
  </si>
  <si>
    <t>Average Imported Cost</t>
  </si>
  <si>
    <t>Real Petroleum Prices: Crude Oil: Average Imported Cost: Reference case</t>
  </si>
  <si>
    <t>AEO.2023.REF2023.PRCE_NA_NA_NA_CR_IMCO_USA_Y13DLRPBBL.A</t>
  </si>
  <si>
    <t>Brent / West Texas Intermediate Spread</t>
  </si>
  <si>
    <t>Real Petroleum Prices: Crude Oil: Brent vs. WTI Price Spread: Reference case</t>
  </si>
  <si>
    <t>AEO.2023.REF2023.PRCE_MARK_NA_NA_CR_NA_USA_Y13DLRPBBL.A</t>
  </si>
  <si>
    <t>Residential</t>
  </si>
  <si>
    <t>Propane</t>
  </si>
  <si>
    <t>Real Petroleum Prices: Residential: Propane: Reference case</t>
  </si>
  <si>
    <t>AEO.2023.REF2023.PRCE_NA_RESD_NA_PROP_NA_USA_Y13DLRPGLN.A</t>
  </si>
  <si>
    <t>2022 $/gal</t>
  </si>
  <si>
    <t>Distillate Fuel Oil</t>
  </si>
  <si>
    <t>Real Petroleum Prices: Residential: Distillate Fuel Oil: Reference case</t>
  </si>
  <si>
    <t>AEO.2023.REF2023.PRCE_NA_RESD_NA_DFO_NA_USA_Y13DLRPGLN.A</t>
  </si>
  <si>
    <t>Commercial</t>
  </si>
  <si>
    <t>Real Petroleum Prices: Commercial: Distillate Fuel Oil: Reference case</t>
  </si>
  <si>
    <t>AEO.2023.REF2023.PRCE_NA_COMM_NA_DFO_NA_USA_Y13DLRPGLN.A</t>
  </si>
  <si>
    <t>Residual Fuel Oil</t>
  </si>
  <si>
    <t>Real Petroleum Prices: Commercial: Residual Fuel Oil: Reference case</t>
  </si>
  <si>
    <t>AEO.2023.REF2023.PRCE_NA_COMM_NA_RFO_NA_USA_Y13DLRPGLN.A</t>
  </si>
  <si>
    <t>Residual Fuel Oil (2022 dollars per barrel)</t>
  </si>
  <si>
    <t>AEO.2023.REF2023.PRCE_NA_COMM_NA_RFO_NA_USA_Y13DLRPBBL.A</t>
  </si>
  <si>
    <t>Industrial</t>
  </si>
  <si>
    <t>Real Petroleum Prices: Industrial: Propane: Reference case</t>
  </si>
  <si>
    <t>AEO.2023.REF2023.PRCE_NA_IDAL_NA_PROP_NA_USA_Y13DLRPGLN.A</t>
  </si>
  <si>
    <t>Real Petroleum Prices: Industrial: Distillate Fuel Oil: Reference case</t>
  </si>
  <si>
    <t>AEO.2023.REF2023.PRCE_NA_IDAL_NA_DFO_NA_USA_Y13DLRPGLN.A</t>
  </si>
  <si>
    <t>Real Petroleum Prices: Industrial: Residual Fuel Oil: Reference case</t>
  </si>
  <si>
    <t>AEO.2023.REF2023.PRCE_NA_IDAL_NA_RFO_NA_USA_Y13DLRPGLN.A</t>
  </si>
  <si>
    <t>AEO.2023.REF2023.PRCE_NA_IDAL_NA_RFO_NA_USA_Y13DLRPBBL.A</t>
  </si>
  <si>
    <t>Transportation</t>
  </si>
  <si>
    <t>Real Petroleum Prices: Transportation: Propane: Reference case</t>
  </si>
  <si>
    <t>AEO.2023.REF2023.PRCE_NA_TRN_NA_PROP_NA_USA_Y13DLRPGLN.A</t>
  </si>
  <si>
    <t>E85</t>
  </si>
  <si>
    <t>Real Petroleum Prices: Transportation: Ethanol (E85): Reference case</t>
  </si>
  <si>
    <t>AEO.2023.REF2023.PRCE_NA_TRN_NA_ETH_NA_USA_Y13DLRPGLN.A</t>
  </si>
  <si>
    <t>Ethanol Wholesale Price</t>
  </si>
  <si>
    <t>Real Petroleum Prices: Transportation: Ethanol Wholesale Price: Reference case</t>
  </si>
  <si>
    <t>AEO.2023.REF2023.PRCE_WHL_TRN_NA_ETH_NA_USA_Y13DLRPGLN.A</t>
  </si>
  <si>
    <t>Motor Gasoline</t>
  </si>
  <si>
    <t>Real Petroleum Prices: Transportation: Motor Gasoline: Reference case</t>
  </si>
  <si>
    <t>AEO.2023.REF2023.PRCE_NA_TRN_NA_MGS_NA_USA_Y13DLRPGLN.A</t>
  </si>
  <si>
    <t>Jet Fuel</t>
  </si>
  <si>
    <t>Real Petroleum Prices: Transportation: Jet Fuel: Reference case</t>
  </si>
  <si>
    <t>AEO.2023.REF2023.PRCE_NA_TRN_NA_JFL_NA_USA_Y13DLRPGLN.A</t>
  </si>
  <si>
    <t>Diesel Fuel (distillate fuel oil)</t>
  </si>
  <si>
    <t>Real Petroleum Prices: Transportation: Diesel Fuel: Reference case</t>
  </si>
  <si>
    <t>AEO.2023.REF2023.PRCE_NA_TRN_NA_DFU_NA_USA_Y13DLRPGLN.A</t>
  </si>
  <si>
    <t>Real Petroleum Prices: Transportation: Residual Fuel Oil: Reference case</t>
  </si>
  <si>
    <t>AEO.2023.REF2023.PRCE_NA_TRN_NA_RFO_NA_USA_Y13DLRPGLN.A</t>
  </si>
  <si>
    <t>AEO.2023.REF2023.PRCE_NA_TRN_NA_RFO_NA_USA_Y13DLRPBBL.A</t>
  </si>
  <si>
    <t>Electric Power</t>
  </si>
  <si>
    <t>Real Petroleum Prices: Electric Power: Distillate Fuel Oil: Reference case</t>
  </si>
  <si>
    <t>AEO.2023.REF2023.PRCE_NA_ELEP_NA_DFO_NA_USA_Y13DLRPGLN.A</t>
  </si>
  <si>
    <t>Real Petroleum Prices: Electric Power: Residual Fuel Oil: Reference case</t>
  </si>
  <si>
    <t>AEO.2023.REF2023.PRCE_NA_ELEP_NA_RFO_NA_USA_Y13DLRPGLN.A</t>
  </si>
  <si>
    <t>AEO.2023.REF2023.PRCE_NA_ELEP_NA_RFO_NA_USA_Y13DLRPBBL.A</t>
  </si>
  <si>
    <t>Average Prices</t>
  </si>
  <si>
    <t xml:space="preserve"> All Sectors</t>
  </si>
  <si>
    <t>Real Petroleum Prices: Refined Petroleum Product Prices: Propane: Reference case</t>
  </si>
  <si>
    <t>AEO.2023.REF2023.PRCE_NA_ALLS_NA_PROP_NA_USA_Y13DLRPGLN.A</t>
  </si>
  <si>
    <t>Real Petroleum Prices: Refined Petroleum Product Prices: Motor Gasoline: Reference case</t>
  </si>
  <si>
    <t>AEO.2023.REF2023.PRCE_NA_ALLS_NA_MGS_NA_USA_Y13DLRPGLN.A</t>
  </si>
  <si>
    <t>Real Petroleum Prices: Refined Petroleum Product Prices: Jet Fuel: Reference case</t>
  </si>
  <si>
    <t>AEO.2023.REF2023.PRCE_NA_ALLS_NA_JFL_NA_USA_Y13DLRPGLN.A</t>
  </si>
  <si>
    <t>Real Petroleum Prices: Refined Petroleum Product Prices: Distillate Fuel Oil: Reference case</t>
  </si>
  <si>
    <t>AEO.2023.REF2023.PRCE_NA_ALLS_NA_DFO_NA_USA_Y13DLRPGLN.A</t>
  </si>
  <si>
    <t>Real Petroleum Prices: Refined Petroleum Product Prices: Residual Fuel Oil: Reference case</t>
  </si>
  <si>
    <t>AEO.2023.REF2023.PRCE_NA_ALLS_NA_RFO_NA_USA_Y13DLRPGLN.A</t>
  </si>
  <si>
    <t>AEO.2023.REF2023.PRCE_NA_ALLS_NA_RFO_NA_USA_Y13DLRPBBL.A</t>
  </si>
  <si>
    <t>Real Petroleum Prices: Refined Petroleum Product Prices: Average: Reference case</t>
  </si>
  <si>
    <t>AEO.2023.REF2023.PRCE_NA_ALLS_NA_RPP_NA_USA_Y13DLRPGLN.A</t>
  </si>
  <si>
    <t>Crude Oil Spot Prices (nominal dollars per barr</t>
  </si>
  <si>
    <t>Nominal Petroleum Prices: Crude Oil: Brent Spot: Reference case</t>
  </si>
  <si>
    <t>AEO.2023.REF2023.PRCE_NA_NA_NA_CR_BRNTSPPR_USA_NDLRPBRL.A</t>
  </si>
  <si>
    <t>nom $/b</t>
  </si>
  <si>
    <t>Nominal Petroleum Prices: Crude Oil: West Texas Intermediate Spot: Reference case</t>
  </si>
  <si>
    <t>AEO.2023.REF2023.PRCE_NA_NA_NA_CR_WTI_USA_NDLRPBRL.A</t>
  </si>
  <si>
    <t>Nominal Petroleum Prices: Crude Oil: Average Imported Cost: Reference case</t>
  </si>
  <si>
    <t>AEO.2023.REF2023.PRCE_NA_NA_NA_CR_IMCO_USA_NDLRPBRL.A</t>
  </si>
  <si>
    <t>Nominal Petroleum Prices: Residential: Propane: Reference case</t>
  </si>
  <si>
    <t>AEO.2023.REF2023.PRCE_NA_RESD_NA_PROP_NA_USA_NDLRPGLN.A</t>
  </si>
  <si>
    <t>nom $/gal</t>
  </si>
  <si>
    <t>Nominal Petroleum Prices: Residential: Distillate Fuel Oil: Reference case</t>
  </si>
  <si>
    <t>AEO.2023.REF2023.PRCE_NA_RESD_NA_DFO_NA_USA_NDLRPGLN.A</t>
  </si>
  <si>
    <t>Nominal Petroleum Prices: Commercial: Distillate Fuel Oil: Reference case</t>
  </si>
  <si>
    <t>AEO.2023.REF2023.PRCE_NA_COMM_NA_DFO_NA_USA_NDLRPGLN.A</t>
  </si>
  <si>
    <t>Nominal Petroleum Prices: Commercial: Residual Fuel Oil: Reference case</t>
  </si>
  <si>
    <t>AEO.2023.REF2023.PRCE_NA_COMM_NA_RFO_NA_USA_NDLRPGLN.A</t>
  </si>
  <si>
    <t>Nominal Petroleum Prices: Industrial: Propane: Reference case</t>
  </si>
  <si>
    <t>AEO.2023.REF2023.PRCE_NA_IDAL_NA_PROP_NA_USA_NDLRPGLN.A</t>
  </si>
  <si>
    <t>Nominal Petroleum Prices: Industrial: Distillate Fuel Oil: Reference case</t>
  </si>
  <si>
    <t>AEO.2023.REF2023.PRCE_NA_IDAL_NA_DFO_NA_USA_NDLRPGLN.A</t>
  </si>
  <si>
    <t>Nominal Petroleum Prices: Industrial: Residual Fuel Oil: Reference case</t>
  </si>
  <si>
    <t>AEO.2023.REF2023.PRCE_NA_IDAL_NA_RFO_NA_USA_NDLRPGLN.A</t>
  </si>
  <si>
    <t>Nominal Petroleum Prices: Transportation: Propane: Reference case</t>
  </si>
  <si>
    <t>AEO.2023.REF2023.PRCE_NA_TRN_NA_PROP_NA_USA_NDLRPGLN.A</t>
  </si>
  <si>
    <t>Nominal Petroleum Prices: Transportation: Ethanol (E85): Reference case</t>
  </si>
  <si>
    <t>AEO.2023.REF2023.PRCE_NA_TRN_NA_ETH_NA_USA_NDLRPGLN.A</t>
  </si>
  <si>
    <t>Nominal Petroleum Prices: Transportation: Ethanol Wholesale Price: Reference case</t>
  </si>
  <si>
    <t>AEO.2023.REF2023.PRCE_NA_TRN_NA_EWP_NA_USA_NDLRPGLN.A</t>
  </si>
  <si>
    <t>Nominal Petroleum Prices: Transportation: Motor Gasoline: Reference case</t>
  </si>
  <si>
    <t>AEO.2023.REF2023.PRCE_NA_TRN_NA_MGS_NA_USA_NDLRPGLN.A</t>
  </si>
  <si>
    <t>Nominal Petroleum Prices: Transportation: Jet Fuel: Reference case</t>
  </si>
  <si>
    <t>AEO.2023.REF2023.PRCE_NA_TRN_NA_JFL_NA_USA_NDLRPGLN.A</t>
  </si>
  <si>
    <t>Nominal Petroleum Prices: Transportation: Diesel Fuel: Reference case</t>
  </si>
  <si>
    <t>AEO.2023.REF2023.PRCE_NA_TRN_NA_DFU_NA_USA_NDLRPGLN.A</t>
  </si>
  <si>
    <t>Nominal Petroleum Prices: Transportation: Residual Fuel Oil: Reference case</t>
  </si>
  <si>
    <t>AEO.2023.REF2023.PRCE_NA_TRN_NA_RFO_NA_USA_NDLRPGLN.A</t>
  </si>
  <si>
    <t>Nominal Petroleum Prices: Electric Power: Distillate Fuel Oil: Reference case</t>
  </si>
  <si>
    <t>AEO.2023.REF2023.PRCE_NA_ELEP_NA_DFO_NA_USA_NDLRPGLN.A</t>
  </si>
  <si>
    <t>Nominal Petroleum Prices: Electric Power: Residual Fuel Oil: Reference case</t>
  </si>
  <si>
    <t>AEO.2023.REF2023.PRCE_NA_ELEP_NA_RFO_NA_USA_NDLRPGLN.A</t>
  </si>
  <si>
    <t>Nominal Petroleum Prices: Refined Petroleum Product Prices: Propane: Reference case</t>
  </si>
  <si>
    <t>AEO.2023.REF2023.PRCE_NA_NA_NA_PROP_NA_USA_NDLRPGLN.A</t>
  </si>
  <si>
    <t>Nominal Petroleum Prices: Refined Petroleum Product Prices: Motor Gasoline: Reference case</t>
  </si>
  <si>
    <t>AEO.2023.REF2023.PRCE_NA_NA_NA_MGS_NA_USA_NDLRPGLN.A</t>
  </si>
  <si>
    <t>Nominal Petroleum Prices: Refined Petroleum Product Prices: Jet Fuel: Reference case</t>
  </si>
  <si>
    <t>AEO.2023.REF2023.PRCE_NA_NA_NA_JFL_NA_USA_NDLRPGLN.A</t>
  </si>
  <si>
    <t>Nominal Petroleum Prices: Refined Petroleum Product Prices: Distillate Fuel Oil: Reference case</t>
  </si>
  <si>
    <t>AEO.2023.REF2023.PRCE_NA_NA_NA_DFO_NA_USA_NDLRPGLN.A</t>
  </si>
  <si>
    <t>Residual Fuel Oil (dollars per barrel)</t>
  </si>
  <si>
    <t>Nominal Petroleum Prices: Refined Petroleum Product Prices: Residual Fuel Oil: Reference case</t>
  </si>
  <si>
    <t>AEO.2023.REF2023.PRCE_NA_NA_NA_RFO_NA_USA_NDLRPBRL.A</t>
  </si>
  <si>
    <t>Nominal Petroleum Prices: Refined Petroleum Product Prices: Average: Reference case</t>
  </si>
  <si>
    <t>AEO.2023.REF2023.PRCE_NA_NA_NA_AVG_NA_USA_NDLRPGLN.A</t>
  </si>
  <si>
    <t>Construction Cost</t>
  </si>
  <si>
    <t>Construction Cost - Sensitivity</t>
  </si>
  <si>
    <t>ton-per year</t>
  </si>
  <si>
    <t>Transposed from BCA Guidelines Table A-6</t>
  </si>
  <si>
    <t xml:space="preserve">Exhibit 4-7 in the FHWA DDI guide 2nd edition </t>
  </si>
  <si>
    <t>Known Factors</t>
  </si>
  <si>
    <t>Bridge Cost (design life greater than analysis period)</t>
  </si>
  <si>
    <t>2022 dollars</t>
  </si>
  <si>
    <t>year of estimate dollars</t>
  </si>
  <si>
    <t>cost removed from Residual Value</t>
  </si>
  <si>
    <t>Total Bridge Cost</t>
  </si>
  <si>
    <t>Bridge Cost for Residual Value Calc</t>
  </si>
  <si>
    <t>Noon</t>
  </si>
  <si>
    <t>Base Pedestrian Traffic</t>
  </si>
  <si>
    <t>Induced Active Transportation Mode</t>
  </si>
  <si>
    <t>Induced Active Transporation Mode - Walking</t>
  </si>
  <si>
    <t xml:space="preserve">Induced Active Transporation Mode - Cycling </t>
  </si>
  <si>
    <t>BCA Guidelines Table A-13</t>
  </si>
  <si>
    <t>$ / trip</t>
  </si>
  <si>
    <t>$/ trip</t>
  </si>
  <si>
    <t>Benefit of induced Active Transportation Mode</t>
  </si>
  <si>
    <t>BCR</t>
  </si>
  <si>
    <t>East of US 75</t>
  </si>
  <si>
    <t>West of US 75</t>
  </si>
  <si>
    <t>Vehicular Traffic East of US 75</t>
  </si>
  <si>
    <t>Vehicular Traffic West of US 75</t>
  </si>
  <si>
    <t>Induced Pedestrian Demand through new ped facility (portion of vehicluar traffic)</t>
  </si>
  <si>
    <t>Induced Pedestrian Trips</t>
  </si>
  <si>
    <t>Total Pedestrian Traffic</t>
  </si>
  <si>
    <t>Increase through induced ped trips</t>
  </si>
  <si>
    <t>Delay - Noon Hour</t>
  </si>
  <si>
    <t>0 = Noon hour delay on, 1 = Noon hour delay off</t>
  </si>
  <si>
    <t>Noon on/off?</t>
  </si>
  <si>
    <t>Induced Pedestrian Demand Benefits</t>
  </si>
  <si>
    <t>Induced Pedestrian Demand</t>
  </si>
  <si>
    <t>Days / year</t>
  </si>
  <si>
    <t xml:space="preserve">Days per year of induced pedestrian travel </t>
  </si>
  <si>
    <t>Induced Pedestrian Demand - Days per year (weather and other factors will deter peds)</t>
  </si>
  <si>
    <t>Ramp Up of Ped Demand - Year 1</t>
  </si>
  <si>
    <t>0% = No induced ped demand for year, 100% = Full induced ped demand for year</t>
  </si>
  <si>
    <t>Ramp Up of Ped Demand - Year 2</t>
  </si>
  <si>
    <t>Ramp Up of Ped Demand - Year 3</t>
  </si>
  <si>
    <t>Ramp Up Factor</t>
  </si>
  <si>
    <t>Steady State Ped Demand</t>
  </si>
  <si>
    <t>Induced Ped Demand</t>
  </si>
  <si>
    <t>Portion of Vehicular Traffic Induced to Ped Mode</t>
  </si>
  <si>
    <t>Total Crashes in Analysis Period</t>
  </si>
  <si>
    <t>Portion of Vehicular traffic induced ped demand - Sensitivity</t>
  </si>
  <si>
    <t>NPV</t>
  </si>
  <si>
    <t>Reduced Maintenance Costs</t>
  </si>
  <si>
    <t>Using the Bicycle and Pedestrian Sketch Method (Griffin 2009) produces induced pedestrian trips at 2% of AADT. 1% used as a more conservative approach.</t>
  </si>
  <si>
    <t>National Weather Service (estimate of growing season in Tulsa as proxy for warm weather days suitable for pedestrians, rounded down for simplicity)</t>
  </si>
  <si>
    <t>Base Case NPV</t>
  </si>
  <si>
    <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</si>
</sst>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_(&quot;$&quot;* #,##0_);_(&quot;$&quot;* \(#,##0\);_(&quot;$&quot;* &quot;-&quot;??_);_(@_)"/>
    <numFmt numFmtId="166" formatCode="\$0"/>
    <numFmt numFmtId="167" formatCode="0.0"/>
    <numFmt numFmtId="168" formatCode="_(* #,##0_);_(* \(#,##0\);_(* &quot;-&quot;??_);_(@_)"/>
    <numFmt numFmtId="169" formatCode="&quot;$&quot;#,##0.00"/>
    <numFmt numFmtId="170" formatCode="0.0%"/>
    <numFmt numFmtId="171" formatCode="0.0000000%"/>
    <numFmt numFmtId="172" formatCode="_(* #,##0.0_);_(* \(#,##0.0\);_(* &quot;-&quot;??_);_(@_)"/>
    <numFmt numFmtId="173" formatCode="_(* #,##0.000_);_(* \(#,##0.000\);_(* &quot;-&quot;??_);_(@_)"/>
    <numFmt numFmtId="174" formatCode="0.000%"/>
    <numFmt numFmtId="175" formatCode="&quot;$&quot;#,##0"/>
    <numFmt numFmtId="176" formatCode="_(&quot;$&quot;* #,##0.0_);_(&quot;$&quot;* \(#,##0.0\);_(&quot;$&quot;* &quot;-&quot;??_);_(@_)"/>
    <numFmt numFmtId="177" formatCode="&quot;$&quot;#,##0.0000"/>
    <numFmt numFmtId="178" formatCode="&quot;$&quot;#,##0.000_);[Red]\(&quot;$&quot;#,##0.000\)"/>
    <numFmt numFmtId="179" formatCode="&quot;$&quot;#,##0.0000_);[Red]\(&quot;$&quot;#,##0.0000\)"/>
    <numFmt numFmtId="180" formatCode="0.000"/>
    <numFmt numFmtId="181" formatCode="_(* #,##0.0_);_(* \(#,##0.0\);_(* &quot;-&quot;?_);_(@_)"/>
  </numFmts>
  <fonts count="74" x14ac:knownFonts="1">
    <font>
      <sz val="11"/>
      <color theme="1"/>
      <name val="Calibri"/>
      <family val="2"/>
      <scheme val="minor"/>
    </font>
    <font>
      <sz val="11"/>
      <color theme="1"/>
      <name val="Arial"/>
      <family val="2"/>
    </font>
    <font>
      <sz val="11"/>
      <color theme="1"/>
      <name val="Calibri"/>
      <family val="2"/>
      <scheme val="minor"/>
    </font>
    <font>
      <b/>
      <sz val="15"/>
      <color theme="3"/>
      <name val="Calibri"/>
      <family val="2"/>
      <scheme val="minor"/>
    </font>
    <font>
      <sz val="11"/>
      <color theme="1"/>
      <name val="Arial"/>
      <family val="2"/>
    </font>
    <font>
      <b/>
      <sz val="11"/>
      <color theme="1"/>
      <name val="Arial"/>
      <family val="2"/>
    </font>
    <font>
      <sz val="11"/>
      <color theme="4"/>
      <name val="Arial"/>
      <family val="2"/>
    </font>
    <font>
      <b/>
      <sz val="15"/>
      <color theme="9"/>
      <name val="Arial"/>
      <family val="2"/>
    </font>
    <font>
      <b/>
      <sz val="15"/>
      <color theme="4"/>
      <name val="Arial"/>
      <family val="2"/>
    </font>
    <font>
      <sz val="11"/>
      <color theme="6"/>
      <name val="Arial"/>
      <family val="2"/>
    </font>
    <font>
      <sz val="11"/>
      <name val="Arial"/>
      <family val="2"/>
    </font>
    <font>
      <u/>
      <sz val="11"/>
      <color theme="10"/>
      <name val="Calibri"/>
      <family val="2"/>
      <scheme val="minor"/>
    </font>
    <font>
      <sz val="10"/>
      <color rgb="FF000000"/>
      <name val="Times New Roman"/>
      <family val="1"/>
    </font>
    <font>
      <b/>
      <sz val="11"/>
      <name val="Times New Roman"/>
      <family val="1"/>
    </font>
    <font>
      <sz val="11"/>
      <name val="Times New Roman"/>
      <family val="1"/>
    </font>
    <font>
      <i/>
      <sz val="11"/>
      <name val="Times New Roman"/>
      <family val="1"/>
    </font>
    <font>
      <sz val="8"/>
      <name val="Calibri"/>
      <family val="2"/>
      <scheme val="minor"/>
    </font>
    <font>
      <b/>
      <sz val="11"/>
      <color theme="0"/>
      <name val="Calibri"/>
      <family val="2"/>
      <scheme val="minor"/>
    </font>
    <font>
      <b/>
      <sz val="11"/>
      <color theme="1"/>
      <name val="Calibri"/>
      <family val="2"/>
      <scheme val="minor"/>
    </font>
    <font>
      <i/>
      <sz val="11"/>
      <color theme="1"/>
      <name val="Arial"/>
      <family val="2"/>
    </font>
    <font>
      <i/>
      <sz val="11"/>
      <color theme="6"/>
      <name val="Arial"/>
      <family val="2"/>
    </font>
    <font>
      <i/>
      <sz val="11"/>
      <color theme="1"/>
      <name val="Calibri"/>
      <family val="2"/>
      <scheme val="minor"/>
    </font>
    <font>
      <b/>
      <i/>
      <sz val="11"/>
      <color theme="1"/>
      <name val="Arial"/>
      <family val="2"/>
    </font>
    <font>
      <sz val="11"/>
      <color rgb="FF000000"/>
      <name val="Calibri"/>
      <family val="2"/>
    </font>
    <font>
      <sz val="10"/>
      <color rgb="FF000000"/>
      <name val="Times New Roman"/>
      <family val="1"/>
    </font>
    <font>
      <b/>
      <sz val="11"/>
      <color rgb="FFFFFFFF"/>
      <name val="Calibri"/>
      <family val="2"/>
    </font>
    <font>
      <sz val="11"/>
      <color rgb="FFFFFFFF"/>
      <name val="Arial Black"/>
      <family val="2"/>
    </font>
    <font>
      <b/>
      <sz val="11"/>
      <color rgb="FFFFFFFF"/>
      <name val="Arial Black"/>
      <family val="2"/>
    </font>
    <font>
      <sz val="11"/>
      <color theme="1"/>
      <name val="Calibri"/>
      <family val="2"/>
    </font>
    <font>
      <sz val="11"/>
      <color rgb="FF808080"/>
      <name val="Calibri"/>
      <family val="2"/>
    </font>
    <font>
      <b/>
      <sz val="12"/>
      <color rgb="FF000000"/>
      <name val="Calibri"/>
      <family val="2"/>
    </font>
    <font>
      <b/>
      <sz val="12"/>
      <color theme="1"/>
      <name val="Calibri"/>
      <family val="2"/>
    </font>
    <font>
      <b/>
      <sz val="13"/>
      <color theme="3"/>
      <name val="Calibri"/>
      <family val="2"/>
      <scheme val="minor"/>
    </font>
    <font>
      <b/>
      <i/>
      <sz val="10"/>
      <color theme="1"/>
      <name val="Calibri"/>
      <family val="2"/>
      <scheme val="minor"/>
    </font>
    <font>
      <b/>
      <i/>
      <sz val="11"/>
      <color theme="1"/>
      <name val="Calibri"/>
      <family val="2"/>
      <scheme val="minor"/>
    </font>
    <font>
      <b/>
      <sz val="10"/>
      <color theme="1"/>
      <name val="Calibri"/>
      <family val="2"/>
      <scheme val="minor"/>
    </font>
    <font>
      <b/>
      <sz val="9"/>
      <name val="Calibri"/>
      <family val="2"/>
      <scheme val="minor"/>
    </font>
    <font>
      <sz val="11"/>
      <color rgb="FF000000"/>
      <name val="Calibri"/>
      <family val="2"/>
      <scheme val="minor"/>
    </font>
    <font>
      <b/>
      <sz val="11"/>
      <color rgb="FF000000"/>
      <name val="Calibri"/>
      <family val="2"/>
    </font>
    <font>
      <b/>
      <sz val="11"/>
      <color theme="6"/>
      <name val="Arial"/>
      <family val="2"/>
    </font>
    <font>
      <sz val="10"/>
      <name val="Arial"/>
      <family val="2"/>
    </font>
    <font>
      <b/>
      <sz val="10"/>
      <name val="Arial"/>
      <family val="2"/>
    </font>
    <font>
      <sz val="10"/>
      <color rgb="FFFF0000"/>
      <name val="Arial"/>
      <family val="2"/>
    </font>
    <font>
      <sz val="9"/>
      <color indexed="8"/>
      <name val="Calibri"/>
      <family val="2"/>
    </font>
    <font>
      <b/>
      <sz val="9"/>
      <color indexed="8"/>
      <name val="Calibri"/>
      <family val="2"/>
    </font>
    <font>
      <sz val="10"/>
      <color indexed="8"/>
      <name val="Arial"/>
      <family val="2"/>
    </font>
    <font>
      <sz val="8"/>
      <name val="Arial"/>
      <family val="2"/>
    </font>
    <font>
      <b/>
      <sz val="12"/>
      <color indexed="30"/>
      <name val="Calibri"/>
      <family val="2"/>
    </font>
    <font>
      <b/>
      <sz val="9"/>
      <name val="Calibri"/>
      <family val="2"/>
    </font>
    <font>
      <b/>
      <sz val="14"/>
      <color theme="1"/>
      <name val="Arial"/>
      <family val="2"/>
    </font>
    <font>
      <b/>
      <sz val="15"/>
      <color rgb="FFFFC000"/>
      <name val="Arial"/>
      <family val="2"/>
    </font>
    <font>
      <b/>
      <sz val="20"/>
      <color theme="1"/>
      <name val="Calibri"/>
      <family val="2"/>
      <scheme val="minor"/>
    </font>
    <font>
      <b/>
      <sz val="15"/>
      <color theme="8"/>
      <name val="Arial"/>
      <family val="2"/>
    </font>
    <font>
      <sz val="11"/>
      <color theme="0"/>
      <name val="Arial"/>
      <family val="2"/>
    </font>
    <font>
      <b/>
      <sz val="11"/>
      <color theme="0"/>
      <name val="Times New Roman"/>
      <family val="1"/>
    </font>
    <font>
      <sz val="11"/>
      <color theme="1"/>
      <name val="Times New Roman"/>
      <family val="1"/>
    </font>
    <font>
      <b/>
      <i/>
      <sz val="11"/>
      <color theme="1"/>
      <name val="Times New Roman"/>
      <family val="1"/>
    </font>
    <font>
      <i/>
      <sz val="11"/>
      <color theme="4"/>
      <name val="Arial"/>
      <family val="2"/>
    </font>
    <font>
      <sz val="11"/>
      <color rgb="FF000000"/>
      <name val="Times New Roman"/>
      <family val="1"/>
    </font>
    <font>
      <b/>
      <sz val="11"/>
      <color theme="1"/>
      <name val="Times New Roman"/>
      <family val="1"/>
    </font>
    <font>
      <vertAlign val="subscript"/>
      <sz val="11"/>
      <color theme="1"/>
      <name val="Times New Roman"/>
      <family val="1"/>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vertAlign val="superscript"/>
      <sz val="11"/>
      <color theme="1"/>
      <name val="Times New Roman"/>
      <family val="1"/>
    </font>
    <font>
      <vertAlign val="subscript"/>
      <sz val="11"/>
      <color rgb="FF1F497D"/>
      <name val="Times New Roman"/>
      <family val="1"/>
    </font>
    <font>
      <sz val="12"/>
      <color theme="1"/>
      <name val="Calibri"/>
      <family val="2"/>
      <scheme val="minor"/>
    </font>
    <font>
      <b/>
      <sz val="16"/>
      <color theme="0"/>
      <name val="Calibri"/>
      <family val="2"/>
      <scheme val="minor"/>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i/>
      <sz val="11"/>
      <color theme="0" tint="-0.34998626667073579"/>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2F75B5"/>
        <bgColor indexed="64"/>
      </patternFill>
    </fill>
    <fill>
      <patternFill patternType="solid">
        <fgColor rgb="FF00B0F0"/>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4"/>
        <bgColor theme="4"/>
      </patternFill>
    </fill>
    <fill>
      <patternFill patternType="solid">
        <fgColor theme="4"/>
        <bgColor indexed="64"/>
      </patternFill>
    </fill>
    <fill>
      <patternFill patternType="solid">
        <fgColor rgb="FFFFFFCC"/>
      </patternFill>
    </fill>
    <fill>
      <patternFill patternType="solid">
        <fgColor theme="0" tint="-0.14999847407452621"/>
        <bgColor indexed="64"/>
      </patternFill>
    </fill>
    <fill>
      <patternFill patternType="solid">
        <fgColor rgb="FF44546A"/>
        <bgColor indexed="64"/>
      </patternFill>
    </fill>
    <fill>
      <patternFill patternType="solid">
        <fgColor rgb="FFFFFFFF"/>
        <bgColor indexed="64"/>
      </patternFill>
    </fill>
  </fills>
  <borders count="68">
    <border>
      <left/>
      <right/>
      <top/>
      <bottom/>
      <diagonal/>
    </border>
    <border>
      <left/>
      <right/>
      <top/>
      <bottom style="thick">
        <color theme="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top/>
      <bottom style="thick">
        <color theme="4"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thick">
        <color rgb="FF0096D7"/>
      </bottom>
      <diagonal/>
    </border>
    <border>
      <left/>
      <right/>
      <top/>
      <bottom style="thin">
        <color rgb="FFBFBFBF"/>
      </bottom>
      <diagonal/>
    </border>
    <border>
      <left/>
      <right/>
      <top/>
      <bottom style="dashed">
        <color rgb="FFBFBFBF"/>
      </bottom>
      <diagonal/>
    </border>
    <border>
      <left/>
      <right/>
      <top style="medium">
        <color rgb="FF0096D7"/>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23">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1" applyNumberFormat="0" applyFill="0" applyAlignment="0" applyProtection="0"/>
    <xf numFmtId="0" fontId="2" fillId="2" borderId="0" applyNumberFormat="0" applyBorder="0" applyAlignment="0" applyProtection="0"/>
    <xf numFmtId="0" fontId="11" fillId="0" borderId="0" applyNumberFormat="0" applyFill="0" applyBorder="0" applyAlignment="0" applyProtection="0"/>
    <xf numFmtId="0" fontId="12" fillId="0" borderId="0"/>
    <xf numFmtId="9" fontId="2" fillId="0" borderId="0" applyFont="0" applyFill="0" applyBorder="0" applyAlignment="0" applyProtection="0"/>
    <xf numFmtId="0" fontId="24" fillId="0" borderId="0"/>
    <xf numFmtId="0" fontId="32" fillId="0" borderId="32" applyNumberFormat="0" applyFill="0" applyAlignment="0" applyProtection="0"/>
    <xf numFmtId="0" fontId="2" fillId="0" borderId="0"/>
    <xf numFmtId="9" fontId="12" fillId="0" borderId="0" applyFont="0" applyFill="0" applyBorder="0" applyAlignment="0" applyProtection="0"/>
    <xf numFmtId="9" fontId="2" fillId="0" borderId="0" applyFont="0" applyFill="0" applyBorder="0" applyAlignment="0" applyProtection="0"/>
    <xf numFmtId="0" fontId="40" fillId="0" borderId="0"/>
    <xf numFmtId="0" fontId="43" fillId="0" borderId="0"/>
    <xf numFmtId="0" fontId="44" fillId="0" borderId="48">
      <alignment wrapText="1"/>
    </xf>
    <xf numFmtId="0" fontId="47" fillId="0" borderId="0">
      <alignment horizontal="left"/>
    </xf>
    <xf numFmtId="0" fontId="44" fillId="0" borderId="49">
      <alignment wrapText="1"/>
    </xf>
    <xf numFmtId="0" fontId="43" fillId="0" borderId="50">
      <alignment wrapText="1"/>
    </xf>
    <xf numFmtId="0" fontId="43" fillId="0" borderId="51">
      <alignment wrapText="1"/>
    </xf>
    <xf numFmtId="0" fontId="2" fillId="17" borderId="62" applyNumberFormat="0" applyFont="0" applyAlignment="0" applyProtection="0"/>
    <xf numFmtId="0" fontId="67" fillId="0" borderId="0"/>
    <xf numFmtId="0" fontId="11" fillId="0" borderId="0" applyNumberFormat="0" applyFill="0" applyBorder="0" applyAlignment="0" applyProtection="0"/>
  </cellStyleXfs>
  <cellXfs count="533">
    <xf numFmtId="0" fontId="0" fillId="0" borderId="0" xfId="0"/>
    <xf numFmtId="0" fontId="4" fillId="0" borderId="0" xfId="0" applyFont="1"/>
    <xf numFmtId="0" fontId="5" fillId="0" borderId="0" xfId="0" applyFont="1"/>
    <xf numFmtId="164" fontId="4" fillId="0" borderId="0" xfId="0" applyNumberFormat="1" applyFont="1"/>
    <xf numFmtId="2" fontId="4" fillId="0" borderId="0" xfId="0" applyNumberFormat="1" applyFont="1"/>
    <xf numFmtId="165" fontId="4" fillId="0" borderId="0" xfId="2" applyNumberFormat="1" applyFont="1"/>
    <xf numFmtId="165" fontId="4" fillId="0" borderId="0" xfId="0" applyNumberFormat="1" applyFont="1"/>
    <xf numFmtId="0" fontId="7" fillId="0" borderId="0" xfId="3" applyFont="1" applyBorder="1"/>
    <xf numFmtId="0" fontId="4" fillId="4" borderId="0" xfId="4" applyFont="1" applyFill="1"/>
    <xf numFmtId="0" fontId="4" fillId="4" borderId="0" xfId="0" applyFont="1" applyFill="1"/>
    <xf numFmtId="0" fontId="6" fillId="3" borderId="0" xfId="0" applyFont="1" applyFill="1"/>
    <xf numFmtId="0" fontId="8" fillId="0" borderId="0" xfId="3" applyFont="1" applyBorder="1"/>
    <xf numFmtId="0" fontId="9" fillId="0" borderId="0" xfId="0" applyFont="1"/>
    <xf numFmtId="0" fontId="9" fillId="4" borderId="0" xfId="0" applyFont="1" applyFill="1"/>
    <xf numFmtId="0" fontId="10" fillId="0" borderId="0" xfId="0" applyFont="1"/>
    <xf numFmtId="43" fontId="4" fillId="0" borderId="0" xfId="1" applyFont="1"/>
    <xf numFmtId="168" fontId="4" fillId="0" borderId="0" xfId="1" applyNumberFormat="1" applyFont="1"/>
    <xf numFmtId="10" fontId="4" fillId="0" borderId="0" xfId="7" applyNumberFormat="1" applyFont="1"/>
    <xf numFmtId="0" fontId="19" fillId="0" borderId="0" xfId="0" applyFont="1"/>
    <xf numFmtId="0" fontId="20" fillId="0" borderId="0" xfId="0" applyFont="1"/>
    <xf numFmtId="1" fontId="4" fillId="0" borderId="0" xfId="0" applyNumberFormat="1" applyFont="1"/>
    <xf numFmtId="0" fontId="24" fillId="0" borderId="0" xfId="8" applyAlignment="1">
      <alignment horizontal="left" vertical="top"/>
    </xf>
    <xf numFmtId="0" fontId="26" fillId="7" borderId="26" xfId="0" applyFont="1" applyFill="1" applyBorder="1" applyAlignment="1">
      <alignment horizontal="center" vertical="center"/>
    </xf>
    <xf numFmtId="0" fontId="25" fillId="7" borderId="29" xfId="0" applyFont="1" applyFill="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vertical="center"/>
    </xf>
    <xf numFmtId="0" fontId="23" fillId="0" borderId="31" xfId="0" applyFont="1" applyBorder="1" applyAlignment="1">
      <alignment horizontal="center" vertical="center"/>
    </xf>
    <xf numFmtId="168" fontId="23" fillId="0" borderId="20" xfId="1" applyNumberFormat="1" applyFont="1" applyBorder="1" applyAlignment="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3" fontId="23" fillId="0" borderId="20" xfId="0" applyNumberFormat="1" applyFont="1" applyBorder="1" applyAlignment="1">
      <alignment vertical="center"/>
    </xf>
    <xf numFmtId="3" fontId="23" fillId="0" borderId="20" xfId="0" applyNumberFormat="1" applyFont="1" applyBorder="1" applyAlignment="1">
      <alignment horizontal="right" vertical="center"/>
    </xf>
    <xf numFmtId="3" fontId="23" fillId="0" borderId="20" xfId="1" applyNumberFormat="1" applyFont="1" applyBorder="1" applyAlignment="1">
      <alignment horizontal="right" vertical="center"/>
    </xf>
    <xf numFmtId="0" fontId="23" fillId="0" borderId="20" xfId="1" applyNumberFormat="1" applyFont="1" applyBorder="1" applyAlignment="1">
      <alignment horizontal="right" vertical="center"/>
    </xf>
    <xf numFmtId="0" fontId="23" fillId="0" borderId="19" xfId="0" applyFont="1" applyBorder="1" applyAlignment="1">
      <alignment horizontal="center" vertical="center"/>
    </xf>
    <xf numFmtId="0" fontId="30" fillId="0" borderId="26" xfId="0" applyFont="1" applyBorder="1" applyAlignment="1">
      <alignment horizontal="center" vertical="center"/>
    </xf>
    <xf numFmtId="0" fontId="32" fillId="0" borderId="32" xfId="9" applyAlignment="1"/>
    <xf numFmtId="0" fontId="32" fillId="0" borderId="32" xfId="9"/>
    <xf numFmtId="0" fontId="4" fillId="0" borderId="6" xfId="0" applyFont="1" applyBorder="1"/>
    <xf numFmtId="0" fontId="4" fillId="0" borderId="12" xfId="0" applyFont="1" applyBorder="1"/>
    <xf numFmtId="0" fontId="5" fillId="5" borderId="9" xfId="0" applyFont="1" applyFill="1" applyBorder="1"/>
    <xf numFmtId="0" fontId="32" fillId="5" borderId="26" xfId="9" applyFill="1" applyBorder="1" applyAlignment="1"/>
    <xf numFmtId="9" fontId="32" fillId="5" borderId="17" xfId="7" applyFont="1" applyFill="1" applyBorder="1" applyAlignment="1"/>
    <xf numFmtId="0" fontId="4" fillId="0" borderId="4" xfId="0" applyFont="1" applyBorder="1"/>
    <xf numFmtId="14" fontId="4" fillId="0" borderId="0" xfId="0" applyNumberFormat="1" applyFont="1" applyAlignment="1">
      <alignment horizontal="left"/>
    </xf>
    <xf numFmtId="0" fontId="19" fillId="0" borderId="0" xfId="0" applyFont="1" applyAlignment="1">
      <alignment horizontal="left"/>
    </xf>
    <xf numFmtId="0" fontId="4" fillId="0" borderId="36" xfId="0" applyFont="1" applyBorder="1"/>
    <xf numFmtId="0" fontId="20" fillId="0" borderId="37" xfId="0" applyFont="1" applyBorder="1"/>
    <xf numFmtId="0" fontId="6" fillId="3" borderId="37" xfId="0" applyFont="1" applyFill="1" applyBorder="1"/>
    <xf numFmtId="0" fontId="4" fillId="0" borderId="38" xfId="0" applyFont="1" applyBorder="1"/>
    <xf numFmtId="0" fontId="4" fillId="0" borderId="39" xfId="0" applyFont="1" applyBorder="1"/>
    <xf numFmtId="0" fontId="4" fillId="0" borderId="40" xfId="0" applyFont="1" applyBorder="1"/>
    <xf numFmtId="0" fontId="4" fillId="0" borderId="5" xfId="0" applyFont="1" applyBorder="1"/>
    <xf numFmtId="0" fontId="20" fillId="0" borderId="41" xfId="0" applyFont="1" applyBorder="1"/>
    <xf numFmtId="0" fontId="10" fillId="0" borderId="41" xfId="0" applyFont="1" applyBorder="1"/>
    <xf numFmtId="0" fontId="4" fillId="0" borderId="11" xfId="0" applyFont="1" applyBorder="1"/>
    <xf numFmtId="0" fontId="4" fillId="0" borderId="37" xfId="0" applyFont="1" applyBorder="1"/>
    <xf numFmtId="0" fontId="4" fillId="0" borderId="41" xfId="0" applyFont="1" applyBorder="1"/>
    <xf numFmtId="0" fontId="4" fillId="0" borderId="0" xfId="0" applyFont="1" applyAlignment="1">
      <alignment horizontal="left"/>
    </xf>
    <xf numFmtId="0" fontId="20" fillId="0" borderId="0" xfId="0" applyFont="1" applyAlignment="1">
      <alignment horizontal="left"/>
    </xf>
    <xf numFmtId="0" fontId="6" fillId="3" borderId="0" xfId="0" applyFont="1" applyFill="1" applyAlignment="1">
      <alignment horizontal="left"/>
    </xf>
    <xf numFmtId="170" fontId="4" fillId="0" borderId="0" xfId="7" applyNumberFormat="1" applyFont="1"/>
    <xf numFmtId="0" fontId="33" fillId="0" borderId="0" xfId="0" applyFont="1"/>
    <xf numFmtId="1" fontId="36" fillId="8" borderId="16" xfId="0" applyNumberFormat="1" applyFont="1" applyFill="1" applyBorder="1" applyAlignment="1">
      <alignment horizontal="center"/>
    </xf>
    <xf numFmtId="0" fontId="18" fillId="11" borderId="20" xfId="10" applyFont="1" applyFill="1" applyBorder="1" applyAlignment="1">
      <alignment horizontal="center" vertical="center"/>
    </xf>
    <xf numFmtId="3" fontId="18" fillId="0" borderId="14" xfId="10" applyNumberFormat="1" applyFont="1" applyBorder="1" applyAlignment="1">
      <alignment horizontal="center" vertical="center"/>
    </xf>
    <xf numFmtId="0" fontId="18" fillId="11" borderId="23" xfId="10" applyFont="1" applyFill="1" applyBorder="1" applyAlignment="1">
      <alignment horizontal="center" vertical="center"/>
    </xf>
    <xf numFmtId="3" fontId="18" fillId="0" borderId="10" xfId="10" applyNumberFormat="1" applyFont="1" applyBorder="1" applyAlignment="1">
      <alignment horizontal="center" vertical="center"/>
    </xf>
    <xf numFmtId="2" fontId="2" fillId="0" borderId="0" xfId="10" applyNumberFormat="1" applyAlignment="1">
      <alignment horizontal="center" vertical="center"/>
    </xf>
    <xf numFmtId="10" fontId="2" fillId="0" borderId="0" xfId="11" applyNumberFormat="1" applyFont="1" applyAlignment="1">
      <alignment horizontal="center" vertical="center"/>
    </xf>
    <xf numFmtId="0" fontId="0" fillId="0" borderId="35" xfId="0" applyBorder="1"/>
    <xf numFmtId="10" fontId="2" fillId="0" borderId="35" xfId="11" applyNumberFormat="1" applyFont="1" applyBorder="1" applyAlignment="1">
      <alignment horizontal="center" vertical="center"/>
    </xf>
    <xf numFmtId="0" fontId="18" fillId="11" borderId="42" xfId="10" applyFont="1" applyFill="1" applyBorder="1" applyAlignment="1">
      <alignment horizontal="center" vertical="center"/>
    </xf>
    <xf numFmtId="10" fontId="37" fillId="0" borderId="43" xfId="12" applyNumberFormat="1" applyFont="1" applyBorder="1" applyAlignment="1">
      <alignment horizontal="center" vertical="center"/>
    </xf>
    <xf numFmtId="168" fontId="4" fillId="0" borderId="0" xfId="0" applyNumberFormat="1" applyFont="1"/>
    <xf numFmtId="49" fontId="9" fillId="0" borderId="0" xfId="0" applyNumberFormat="1" applyFont="1"/>
    <xf numFmtId="0" fontId="23" fillId="0" borderId="45" xfId="0" applyFont="1" applyBorder="1" applyAlignment="1">
      <alignment horizontal="center" vertical="center"/>
    </xf>
    <xf numFmtId="0" fontId="23" fillId="0" borderId="44" xfId="0" applyFont="1" applyBorder="1" applyAlignment="1">
      <alignment horizontal="center" vertical="center"/>
    </xf>
    <xf numFmtId="0" fontId="38" fillId="0" borderId="44" xfId="0" applyFont="1" applyBorder="1" applyAlignment="1">
      <alignment horizontal="center" vertical="center"/>
    </xf>
    <xf numFmtId="0" fontId="38" fillId="0" borderId="45" xfId="0" applyFont="1" applyBorder="1" applyAlignment="1">
      <alignment horizontal="center" vertical="center"/>
    </xf>
    <xf numFmtId="0" fontId="23" fillId="0" borderId="29" xfId="0" applyFont="1" applyBorder="1" applyAlignment="1">
      <alignment horizontal="left" vertical="center"/>
    </xf>
    <xf numFmtId="1" fontId="32" fillId="5" borderId="17" xfId="7" applyNumberFormat="1" applyFont="1" applyFill="1" applyBorder="1" applyAlignment="1"/>
    <xf numFmtId="0" fontId="4" fillId="0" borderId="46" xfId="0" applyFont="1" applyBorder="1"/>
    <xf numFmtId="49" fontId="9" fillId="0" borderId="41" xfId="0" applyNumberFormat="1" applyFont="1" applyBorder="1"/>
    <xf numFmtId="168" fontId="4" fillId="0" borderId="41" xfId="0" applyNumberFormat="1" applyFont="1" applyBorder="1"/>
    <xf numFmtId="168" fontId="4" fillId="0" borderId="41" xfId="1" applyNumberFormat="1" applyFont="1" applyBorder="1"/>
    <xf numFmtId="10" fontId="2" fillId="0" borderId="35" xfId="11" applyNumberFormat="1" applyFont="1" applyFill="1" applyBorder="1" applyAlignment="1">
      <alignment horizontal="center" vertical="center"/>
    </xf>
    <xf numFmtId="49" fontId="39" fillId="0" borderId="0" xfId="0" applyNumberFormat="1" applyFont="1"/>
    <xf numFmtId="168" fontId="5" fillId="0" borderId="0" xfId="0" applyNumberFormat="1" applyFont="1"/>
    <xf numFmtId="168" fontId="5" fillId="0" borderId="0" xfId="1" applyNumberFormat="1" applyFont="1"/>
    <xf numFmtId="2" fontId="0" fillId="0" borderId="0" xfId="0" applyNumberFormat="1"/>
    <xf numFmtId="172" fontId="4" fillId="0" borderId="0" xfId="0" applyNumberFormat="1" applyFont="1"/>
    <xf numFmtId="43" fontId="4" fillId="0" borderId="0" xfId="0" applyNumberFormat="1" applyFont="1"/>
    <xf numFmtId="173" fontId="4" fillId="0" borderId="0" xfId="0" applyNumberFormat="1" applyFont="1"/>
    <xf numFmtId="174" fontId="4" fillId="0" borderId="0" xfId="7" applyNumberFormat="1" applyFont="1"/>
    <xf numFmtId="172" fontId="4" fillId="0" borderId="0" xfId="1" applyNumberFormat="1" applyFont="1"/>
    <xf numFmtId="8" fontId="4" fillId="0" borderId="0" xfId="2" applyNumberFormat="1" applyFont="1"/>
    <xf numFmtId="8" fontId="4" fillId="0" borderId="0" xfId="1" applyNumberFormat="1" applyFont="1"/>
    <xf numFmtId="9" fontId="4" fillId="0" borderId="20" xfId="7" applyFont="1" applyBorder="1"/>
    <xf numFmtId="9" fontId="4" fillId="0" borderId="0" xfId="7" applyFont="1"/>
    <xf numFmtId="168" fontId="4" fillId="0" borderId="0" xfId="1" applyNumberFormat="1" applyFont="1" applyFill="1"/>
    <xf numFmtId="166" fontId="24" fillId="0" borderId="0" xfId="8" applyNumberFormat="1" applyAlignment="1">
      <alignment horizontal="left" vertical="top"/>
    </xf>
    <xf numFmtId="0" fontId="41" fillId="0" borderId="0" xfId="13" applyFont="1"/>
    <xf numFmtId="0" fontId="40" fillId="12" borderId="20" xfId="13" applyFill="1" applyBorder="1"/>
    <xf numFmtId="14" fontId="40" fillId="12" borderId="15" xfId="13" applyNumberFormat="1" applyFill="1" applyBorder="1"/>
    <xf numFmtId="169" fontId="40" fillId="12" borderId="20" xfId="13" applyNumberFormat="1" applyFill="1" applyBorder="1" applyAlignment="1">
      <alignment horizontal="right"/>
    </xf>
    <xf numFmtId="14" fontId="40" fillId="12" borderId="20" xfId="13" applyNumberFormat="1" applyFill="1" applyBorder="1" applyAlignment="1">
      <alignment horizontal="right"/>
    </xf>
    <xf numFmtId="0" fontId="40" fillId="12" borderId="20" xfId="13" applyFill="1" applyBorder="1" applyAlignment="1">
      <alignment horizontal="center"/>
    </xf>
    <xf numFmtId="0" fontId="40" fillId="12" borderId="0" xfId="13" applyFill="1"/>
    <xf numFmtId="0" fontId="40" fillId="12" borderId="20" xfId="13" applyFill="1" applyBorder="1" applyAlignment="1">
      <alignment horizontal="left"/>
    </xf>
    <xf numFmtId="0" fontId="40" fillId="0" borderId="20" xfId="13" applyBorder="1" applyAlignment="1">
      <alignment horizontal="center"/>
    </xf>
    <xf numFmtId="0" fontId="40" fillId="0" borderId="20" xfId="13" applyBorder="1"/>
    <xf numFmtId="0" fontId="40" fillId="0" borderId="0" xfId="13"/>
    <xf numFmtId="14" fontId="40" fillId="0" borderId="15" xfId="13" applyNumberFormat="1" applyBorder="1"/>
    <xf numFmtId="169" fontId="40" fillId="0" borderId="20" xfId="13" applyNumberFormat="1" applyBorder="1" applyAlignment="1">
      <alignment horizontal="right"/>
    </xf>
    <xf numFmtId="14" fontId="40" fillId="0" borderId="20" xfId="13" applyNumberFormat="1" applyBorder="1" applyAlignment="1">
      <alignment horizontal="right"/>
    </xf>
    <xf numFmtId="14" fontId="40" fillId="12" borderId="20" xfId="13" applyNumberFormat="1" applyFill="1" applyBorder="1"/>
    <xf numFmtId="14" fontId="40" fillId="0" borderId="0" xfId="13" applyNumberFormat="1"/>
    <xf numFmtId="169" fontId="40" fillId="0" borderId="0" xfId="13" applyNumberFormat="1" applyAlignment="1">
      <alignment horizontal="right"/>
    </xf>
    <xf numFmtId="14" fontId="40" fillId="0" borderId="0" xfId="13" applyNumberFormat="1" applyAlignment="1">
      <alignment horizontal="right"/>
    </xf>
    <xf numFmtId="0" fontId="40" fillId="0" borderId="0" xfId="13" applyAlignment="1">
      <alignment horizontal="center"/>
    </xf>
    <xf numFmtId="0" fontId="40" fillId="12" borderId="15" xfId="13" applyFill="1" applyBorder="1"/>
    <xf numFmtId="0" fontId="40" fillId="0" borderId="15" xfId="13" applyBorder="1"/>
    <xf numFmtId="0" fontId="40" fillId="12" borderId="13" xfId="13" applyFill="1" applyBorder="1"/>
    <xf numFmtId="0" fontId="42" fillId="0" borderId="13" xfId="13" applyFont="1" applyBorder="1"/>
    <xf numFmtId="0" fontId="42" fillId="12" borderId="13" xfId="13" applyFont="1" applyFill="1" applyBorder="1"/>
    <xf numFmtId="0" fontId="40" fillId="0" borderId="13" xfId="13" applyBorder="1"/>
    <xf numFmtId="0" fontId="41" fillId="0" borderId="11" xfId="13" applyFont="1" applyBorder="1"/>
    <xf numFmtId="14" fontId="41" fillId="0" borderId="11" xfId="13" applyNumberFormat="1" applyFont="1" applyBorder="1" applyAlignment="1">
      <alignment horizontal="center" wrapText="1"/>
    </xf>
    <xf numFmtId="0" fontId="41" fillId="0" borderId="34" xfId="13" applyFont="1" applyBorder="1" applyAlignment="1">
      <alignment horizontal="center"/>
    </xf>
    <xf numFmtId="0" fontId="41" fillId="0" borderId="34" xfId="13" applyFont="1" applyBorder="1" applyAlignment="1">
      <alignment wrapText="1"/>
    </xf>
    <xf numFmtId="0" fontId="41" fillId="0" borderId="34" xfId="13" applyFont="1" applyBorder="1"/>
    <xf numFmtId="169" fontId="41" fillId="0" borderId="34" xfId="13" applyNumberFormat="1" applyFont="1" applyBorder="1" applyAlignment="1">
      <alignment horizontal="right" wrapText="1"/>
    </xf>
    <xf numFmtId="14" fontId="41" fillId="0" borderId="34" xfId="13" applyNumberFormat="1" applyFont="1" applyBorder="1" applyAlignment="1">
      <alignment horizontal="center" wrapText="1"/>
    </xf>
    <xf numFmtId="0" fontId="41" fillId="0" borderId="5" xfId="13" applyFont="1" applyBorder="1"/>
    <xf numFmtId="0" fontId="40" fillId="12" borderId="38" xfId="13" applyFill="1" applyBorder="1"/>
    <xf numFmtId="14" fontId="40" fillId="12" borderId="21" xfId="13" applyNumberFormat="1" applyFill="1" applyBorder="1"/>
    <xf numFmtId="0" fontId="40" fillId="12" borderId="21" xfId="13" applyFill="1" applyBorder="1"/>
    <xf numFmtId="169" fontId="40" fillId="12" borderId="21" xfId="13" applyNumberFormat="1" applyFill="1" applyBorder="1" applyAlignment="1">
      <alignment horizontal="right"/>
    </xf>
    <xf numFmtId="14" fontId="40" fillId="12" borderId="21" xfId="13" applyNumberFormat="1" applyFill="1" applyBorder="1" applyAlignment="1">
      <alignment horizontal="right"/>
    </xf>
    <xf numFmtId="0" fontId="40" fillId="12" borderId="21" xfId="13" applyFill="1" applyBorder="1" applyAlignment="1">
      <alignment horizontal="center"/>
    </xf>
    <xf numFmtId="0" fontId="40" fillId="12" borderId="36" xfId="13" applyFill="1" applyBorder="1"/>
    <xf numFmtId="0" fontId="19" fillId="0" borderId="35" xfId="0" applyFont="1" applyBorder="1"/>
    <xf numFmtId="0" fontId="23" fillId="0" borderId="26" xfId="0" applyFont="1" applyBorder="1" applyAlignment="1">
      <alignment vertical="center"/>
    </xf>
    <xf numFmtId="0" fontId="23" fillId="0" borderId="17" xfId="0" applyFont="1" applyBorder="1" applyAlignment="1">
      <alignment vertical="center"/>
    </xf>
    <xf numFmtId="0" fontId="23" fillId="0" borderId="18" xfId="0" applyFont="1" applyBorder="1" applyAlignment="1">
      <alignment vertical="center"/>
    </xf>
    <xf numFmtId="0" fontId="18" fillId="0" borderId="0" xfId="0" applyFont="1"/>
    <xf numFmtId="0" fontId="43" fillId="0" borderId="0" xfId="14"/>
    <xf numFmtId="0" fontId="44" fillId="0" borderId="48" xfId="15">
      <alignment wrapText="1"/>
    </xf>
    <xf numFmtId="0" fontId="21" fillId="13" borderId="25" xfId="0" applyFont="1" applyFill="1" applyBorder="1"/>
    <xf numFmtId="0" fontId="21" fillId="13" borderId="24" xfId="0" applyFont="1" applyFill="1" applyBorder="1"/>
    <xf numFmtId="0" fontId="45" fillId="0" borderId="0" xfId="0" applyFont="1"/>
    <xf numFmtId="0" fontId="11" fillId="13" borderId="24" xfId="5" applyFill="1" applyBorder="1"/>
    <xf numFmtId="0" fontId="0" fillId="13" borderId="44" xfId="0" applyFill="1" applyBorder="1"/>
    <xf numFmtId="0" fontId="46" fillId="0" borderId="0" xfId="0" applyFont="1"/>
    <xf numFmtId="0" fontId="47" fillId="0" borderId="0" xfId="16">
      <alignment horizontal="left"/>
    </xf>
    <xf numFmtId="0" fontId="48" fillId="0" borderId="0" xfId="0" applyFont="1" applyAlignment="1">
      <alignment horizontal="right"/>
    </xf>
    <xf numFmtId="0" fontId="0" fillId="0" borderId="0" xfId="0" applyAlignment="1">
      <alignment horizontal="left"/>
    </xf>
    <xf numFmtId="10" fontId="0" fillId="0" borderId="0" xfId="0" applyNumberFormat="1"/>
    <xf numFmtId="0" fontId="11" fillId="0" borderId="0" xfId="5"/>
    <xf numFmtId="0" fontId="5" fillId="5" borderId="8" xfId="0" applyFont="1" applyFill="1" applyBorder="1"/>
    <xf numFmtId="1" fontId="32" fillId="5" borderId="18" xfId="7" applyNumberFormat="1" applyFont="1" applyFill="1" applyBorder="1" applyAlignment="1"/>
    <xf numFmtId="0" fontId="5" fillId="5" borderId="35" xfId="0" applyFont="1" applyFill="1" applyBorder="1"/>
    <xf numFmtId="168" fontId="5" fillId="0" borderId="0" xfId="1" applyNumberFormat="1" applyFont="1" applyFill="1" applyBorder="1"/>
    <xf numFmtId="0" fontId="5" fillId="5" borderId="26" xfId="0" applyFont="1" applyFill="1" applyBorder="1"/>
    <xf numFmtId="0" fontId="5" fillId="5" borderId="17" xfId="0" applyFont="1" applyFill="1" applyBorder="1"/>
    <xf numFmtId="0" fontId="4" fillId="0" borderId="52" xfId="0" applyFont="1" applyBorder="1"/>
    <xf numFmtId="0" fontId="5" fillId="5" borderId="53" xfId="0" applyFont="1" applyFill="1" applyBorder="1"/>
    <xf numFmtId="0" fontId="4" fillId="0" borderId="31" xfId="0" applyFont="1" applyBorder="1"/>
    <xf numFmtId="0" fontId="4" fillId="0" borderId="47" xfId="0" applyFont="1" applyBorder="1"/>
    <xf numFmtId="172" fontId="5" fillId="5" borderId="23" xfId="0" applyNumberFormat="1" applyFont="1" applyFill="1" applyBorder="1"/>
    <xf numFmtId="172" fontId="5" fillId="5" borderId="10" xfId="0" applyNumberFormat="1" applyFont="1" applyFill="1" applyBorder="1"/>
    <xf numFmtId="172" fontId="4" fillId="0" borderId="33" xfId="0" applyNumberFormat="1" applyFont="1" applyBorder="1"/>
    <xf numFmtId="172" fontId="4" fillId="0" borderId="7" xfId="0" applyNumberFormat="1" applyFont="1" applyBorder="1"/>
    <xf numFmtId="172" fontId="4" fillId="0" borderId="20" xfId="0" applyNumberFormat="1" applyFont="1" applyBorder="1"/>
    <xf numFmtId="172" fontId="4" fillId="0" borderId="14" xfId="0" applyNumberFormat="1" applyFont="1" applyBorder="1"/>
    <xf numFmtId="43" fontId="4" fillId="0" borderId="0" xfId="1" applyFont="1" applyBorder="1"/>
    <xf numFmtId="43" fontId="5" fillId="5" borderId="35" xfId="1" applyFont="1" applyFill="1" applyBorder="1"/>
    <xf numFmtId="43" fontId="5" fillId="5" borderId="45" xfId="1" applyFont="1" applyFill="1" applyBorder="1"/>
    <xf numFmtId="43" fontId="5" fillId="5" borderId="17" xfId="1" applyFont="1" applyFill="1" applyBorder="1"/>
    <xf numFmtId="43" fontId="5" fillId="5" borderId="18" xfId="1" applyFont="1" applyFill="1" applyBorder="1"/>
    <xf numFmtId="43" fontId="5" fillId="0" borderId="0" xfId="1" applyFont="1" applyFill="1" applyBorder="1"/>
    <xf numFmtId="1" fontId="6" fillId="3" borderId="0" xfId="0" applyNumberFormat="1" applyFont="1" applyFill="1"/>
    <xf numFmtId="167" fontId="6" fillId="3" borderId="0" xfId="0" applyNumberFormat="1" applyFont="1" applyFill="1"/>
    <xf numFmtId="10" fontId="4" fillId="0" borderId="0" xfId="7" applyNumberFormat="1" applyFont="1" applyBorder="1"/>
    <xf numFmtId="44" fontId="6" fillId="3" borderId="0" xfId="2" applyFont="1" applyFill="1" applyBorder="1"/>
    <xf numFmtId="0" fontId="4" fillId="0" borderId="41" xfId="0" applyFont="1" applyBorder="1" applyAlignment="1">
      <alignment wrapText="1"/>
    </xf>
    <xf numFmtId="167" fontId="6" fillId="3" borderId="37" xfId="0" applyNumberFormat="1" applyFont="1" applyFill="1" applyBorder="1"/>
    <xf numFmtId="165" fontId="4" fillId="0" borderId="41" xfId="0" applyNumberFormat="1" applyFont="1" applyBorder="1"/>
    <xf numFmtId="0" fontId="19" fillId="0" borderId="37" xfId="0" applyFont="1" applyBorder="1"/>
    <xf numFmtId="2" fontId="4" fillId="0" borderId="20" xfId="0" applyNumberFormat="1" applyFont="1" applyBorder="1"/>
    <xf numFmtId="2" fontId="4" fillId="0" borderId="14" xfId="0" applyNumberFormat="1" applyFont="1" applyBorder="1"/>
    <xf numFmtId="0" fontId="8" fillId="0" borderId="0" xfId="3" applyFont="1" applyBorder="1" applyAlignment="1">
      <alignment horizontal="center"/>
    </xf>
    <xf numFmtId="2" fontId="49" fillId="0" borderId="18" xfId="0" applyNumberFormat="1" applyFont="1" applyBorder="1"/>
    <xf numFmtId="2" fontId="49" fillId="0" borderId="0" xfId="0" applyNumberFormat="1" applyFont="1"/>
    <xf numFmtId="170" fontId="4" fillId="0" borderId="39" xfId="0" applyNumberFormat="1" applyFont="1" applyBorder="1"/>
    <xf numFmtId="9" fontId="4" fillId="0" borderId="23" xfId="7" applyFont="1" applyBorder="1"/>
    <xf numFmtId="9" fontId="4" fillId="0" borderId="10" xfId="7" applyFont="1" applyBorder="1"/>
    <xf numFmtId="0" fontId="50" fillId="0" borderId="0" xfId="3" applyFont="1" applyBorder="1"/>
    <xf numFmtId="0" fontId="25" fillId="7" borderId="31" xfId="0" applyFont="1" applyFill="1" applyBorder="1" applyAlignment="1">
      <alignment horizontal="center" vertical="center" wrapText="1"/>
    </xf>
    <xf numFmtId="0" fontId="23" fillId="0" borderId="13" xfId="0" applyFont="1" applyBorder="1" applyAlignment="1">
      <alignment horizontal="right" vertical="center"/>
    </xf>
    <xf numFmtId="0" fontId="29" fillId="0" borderId="13" xfId="0" applyFont="1" applyBorder="1" applyAlignment="1">
      <alignment horizontal="right" vertical="center"/>
    </xf>
    <xf numFmtId="3" fontId="0" fillId="0" borderId="13" xfId="0" applyNumberFormat="1" applyBorder="1" applyAlignment="1">
      <alignment horizontal="right"/>
    </xf>
    <xf numFmtId="3" fontId="23" fillId="0" borderId="13" xfId="0" applyNumberFormat="1" applyFont="1" applyBorder="1" applyAlignment="1">
      <alignment horizontal="right"/>
    </xf>
    <xf numFmtId="0" fontId="23" fillId="0" borderId="13" xfId="0" applyFont="1" applyBorder="1" applyAlignment="1">
      <alignment horizontal="center" vertical="center"/>
    </xf>
    <xf numFmtId="0" fontId="23" fillId="0" borderId="15" xfId="0" applyFont="1" applyBorder="1" applyAlignment="1">
      <alignment vertical="center"/>
    </xf>
    <xf numFmtId="0" fontId="26" fillId="0" borderId="54" xfId="0" applyFont="1" applyBorder="1" applyAlignment="1">
      <alignment horizontal="center" vertical="center"/>
    </xf>
    <xf numFmtId="0" fontId="25" fillId="0" borderId="54" xfId="0" applyFont="1" applyBorder="1" applyAlignment="1">
      <alignment horizontal="center" vertical="center" wrapText="1"/>
    </xf>
    <xf numFmtId="0" fontId="23" fillId="0" borderId="54" xfId="0" applyFont="1" applyBorder="1" applyAlignment="1">
      <alignment horizontal="right" vertical="center"/>
    </xf>
    <xf numFmtId="0" fontId="29" fillId="0" borderId="54" xfId="0" applyFont="1" applyBorder="1" applyAlignment="1">
      <alignment horizontal="right" vertical="center"/>
    </xf>
    <xf numFmtId="3" fontId="0" fillId="0" borderId="54" xfId="0" applyNumberFormat="1" applyBorder="1" applyAlignment="1">
      <alignment horizontal="right"/>
    </xf>
    <xf numFmtId="3" fontId="23" fillId="0" borderId="54" xfId="0" applyNumberFormat="1" applyFont="1" applyBorder="1" applyAlignment="1">
      <alignment horizontal="right"/>
    </xf>
    <xf numFmtId="0" fontId="23" fillId="0" borderId="54" xfId="0" applyFont="1" applyBorder="1" applyAlignment="1">
      <alignment horizontal="center" vertical="center"/>
    </xf>
    <xf numFmtId="175" fontId="30" fillId="0" borderId="13" xfId="0" applyNumberFormat="1" applyFont="1" applyBorder="1" applyAlignment="1">
      <alignment vertical="center"/>
    </xf>
    <xf numFmtId="175" fontId="30" fillId="0" borderId="54" xfId="0" applyNumberFormat="1" applyFont="1" applyBorder="1" applyAlignment="1">
      <alignment vertical="center"/>
    </xf>
    <xf numFmtId="175" fontId="30" fillId="0" borderId="15" xfId="0" applyNumberFormat="1" applyFont="1" applyBorder="1" applyAlignment="1">
      <alignment vertical="center"/>
    </xf>
    <xf numFmtId="175" fontId="30" fillId="0" borderId="20" xfId="0" applyNumberFormat="1" applyFont="1" applyBorder="1" applyAlignment="1">
      <alignment vertical="center"/>
    </xf>
    <xf numFmtId="0" fontId="25" fillId="7" borderId="0" xfId="0" applyFont="1" applyFill="1" applyAlignment="1">
      <alignment horizontal="center" vertical="center"/>
    </xf>
    <xf numFmtId="0" fontId="23" fillId="0" borderId="13" xfId="0" applyFont="1" applyBorder="1" applyAlignment="1">
      <alignment vertical="center"/>
    </xf>
    <xf numFmtId="3" fontId="23" fillId="0" borderId="13" xfId="0" applyNumberFormat="1" applyFont="1" applyBorder="1" applyAlignment="1">
      <alignment vertical="center"/>
    </xf>
    <xf numFmtId="168" fontId="23" fillId="0" borderId="13" xfId="1" applyNumberFormat="1" applyFont="1" applyBorder="1" applyAlignment="1">
      <alignment vertical="center"/>
    </xf>
    <xf numFmtId="3" fontId="23" fillId="0" borderId="13" xfId="0" applyNumberFormat="1" applyFont="1" applyBorder="1" applyAlignment="1">
      <alignment horizontal="right" vertical="center"/>
    </xf>
    <xf numFmtId="3" fontId="23" fillId="0" borderId="13" xfId="1" applyNumberFormat="1" applyFont="1" applyBorder="1" applyAlignment="1">
      <alignment horizontal="right" vertical="center"/>
    </xf>
    <xf numFmtId="0" fontId="23" fillId="0" borderId="13" xfId="1" applyNumberFormat="1" applyFont="1" applyBorder="1" applyAlignment="1">
      <alignment horizontal="right" vertical="center"/>
    </xf>
    <xf numFmtId="0" fontId="25" fillId="7" borderId="25" xfId="0" applyFont="1" applyFill="1" applyBorder="1" applyAlignment="1">
      <alignment horizontal="center" vertical="center"/>
    </xf>
    <xf numFmtId="175" fontId="31" fillId="0" borderId="56" xfId="0" applyNumberFormat="1" applyFont="1" applyBorder="1" applyAlignment="1">
      <alignment vertical="center"/>
    </xf>
    <xf numFmtId="168" fontId="28" fillId="0" borderId="55" xfId="1" applyNumberFormat="1" applyFont="1" applyBorder="1" applyAlignment="1">
      <alignment vertical="center"/>
    </xf>
    <xf numFmtId="0" fontId="6" fillId="6" borderId="0" xfId="0" applyFont="1" applyFill="1"/>
    <xf numFmtId="167" fontId="0" fillId="0" borderId="0" xfId="0" applyNumberFormat="1"/>
    <xf numFmtId="168" fontId="23" fillId="0" borderId="13" xfId="1" applyNumberFormat="1" applyFont="1" applyBorder="1" applyAlignment="1">
      <alignment horizontal="right" vertical="center"/>
    </xf>
    <xf numFmtId="168" fontId="28" fillId="0" borderId="55" xfId="1" applyNumberFormat="1" applyFont="1" applyFill="1" applyBorder="1" applyAlignment="1">
      <alignment vertical="center"/>
    </xf>
    <xf numFmtId="170" fontId="4" fillId="0" borderId="40" xfId="7" applyNumberFormat="1" applyFont="1" applyBorder="1"/>
    <xf numFmtId="0" fontId="19" fillId="0" borderId="57" xfId="0" applyFont="1" applyBorder="1" applyAlignment="1">
      <alignment horizontal="right"/>
    </xf>
    <xf numFmtId="168" fontId="6" fillId="3" borderId="41" xfId="1" applyNumberFormat="1" applyFont="1" applyFill="1" applyBorder="1"/>
    <xf numFmtId="49" fontId="20" fillId="0" borderId="0" xfId="0" applyNumberFormat="1" applyFont="1"/>
    <xf numFmtId="0" fontId="20" fillId="4" borderId="0" xfId="0" applyFont="1" applyFill="1"/>
    <xf numFmtId="0" fontId="4" fillId="0" borderId="0" xfId="0" quotePrefix="1" applyFont="1"/>
    <xf numFmtId="0" fontId="4" fillId="0" borderId="0" xfId="0" applyFont="1" applyAlignment="1">
      <alignment wrapText="1"/>
    </xf>
    <xf numFmtId="167" fontId="4" fillId="0" borderId="0" xfId="0" applyNumberFormat="1" applyFont="1"/>
    <xf numFmtId="49" fontId="20" fillId="0" borderId="41" xfId="0" applyNumberFormat="1" applyFont="1" applyBorder="1"/>
    <xf numFmtId="8" fontId="10" fillId="0" borderId="0" xfId="7" applyNumberFormat="1" applyFont="1" applyFill="1" applyBorder="1"/>
    <xf numFmtId="10" fontId="10" fillId="0" borderId="0" xfId="7" applyNumberFormat="1" applyFont="1" applyFill="1" applyBorder="1"/>
    <xf numFmtId="167" fontId="6" fillId="0" borderId="0" xfId="0" applyNumberFormat="1" applyFont="1"/>
    <xf numFmtId="165" fontId="4" fillId="0" borderId="0" xfId="2" applyNumberFormat="1" applyFont="1" applyBorder="1"/>
    <xf numFmtId="49" fontId="9" fillId="0" borderId="37" xfId="0" applyNumberFormat="1" applyFont="1" applyBorder="1"/>
    <xf numFmtId="43" fontId="4" fillId="0" borderId="37" xfId="0" applyNumberFormat="1" applyFont="1" applyBorder="1"/>
    <xf numFmtId="9" fontId="4" fillId="0" borderId="0" xfId="1" applyNumberFormat="1" applyFont="1"/>
    <xf numFmtId="172" fontId="4" fillId="0" borderId="0" xfId="1" applyNumberFormat="1" applyFont="1" applyFill="1"/>
    <xf numFmtId="10" fontId="4" fillId="0" borderId="0" xfId="7" applyNumberFormat="1" applyFont="1" applyFill="1"/>
    <xf numFmtId="172" fontId="4" fillId="0" borderId="37" xfId="0" applyNumberFormat="1" applyFont="1" applyBorder="1"/>
    <xf numFmtId="1" fontId="4" fillId="0" borderId="41" xfId="0" applyNumberFormat="1" applyFont="1" applyBorder="1"/>
    <xf numFmtId="44" fontId="6" fillId="0" borderId="0" xfId="2" applyFont="1" applyFill="1" applyBorder="1"/>
    <xf numFmtId="44" fontId="4" fillId="0" borderId="0" xfId="0" applyNumberFormat="1" applyFont="1"/>
    <xf numFmtId="44" fontId="4" fillId="0" borderId="0" xfId="2" applyFont="1"/>
    <xf numFmtId="0" fontId="9" fillId="0" borderId="37" xfId="0" applyFont="1" applyBorder="1"/>
    <xf numFmtId="0" fontId="5" fillId="0" borderId="37" xfId="0" applyFont="1" applyBorder="1"/>
    <xf numFmtId="168" fontId="4" fillId="0" borderId="37" xfId="0" applyNumberFormat="1" applyFont="1" applyBorder="1"/>
    <xf numFmtId="43" fontId="4" fillId="0" borderId="0" xfId="1" applyFont="1" applyFill="1" applyBorder="1"/>
    <xf numFmtId="0" fontId="51" fillId="0" borderId="0" xfId="0" applyFont="1"/>
    <xf numFmtId="0" fontId="5" fillId="0" borderId="26" xfId="0" applyFont="1" applyBorder="1"/>
    <xf numFmtId="2" fontId="5" fillId="0" borderId="18" xfId="0" applyNumberFormat="1" applyFont="1" applyBorder="1"/>
    <xf numFmtId="168" fontId="0" fillId="0" borderId="0" xfId="1" applyNumberFormat="1" applyFont="1"/>
    <xf numFmtId="10" fontId="0" fillId="0" borderId="0" xfId="7" applyNumberFormat="1" applyFont="1"/>
    <xf numFmtId="168" fontId="40" fillId="0" borderId="0" xfId="1" applyNumberFormat="1" applyFont="1" applyAlignment="1">
      <alignment horizontal="right"/>
    </xf>
    <xf numFmtId="0" fontId="52" fillId="0" borderId="0" xfId="3" applyFont="1" applyBorder="1"/>
    <xf numFmtId="0" fontId="53" fillId="14" borderId="0" xfId="0" applyFont="1" applyFill="1"/>
    <xf numFmtId="0" fontId="53" fillId="14" borderId="0" xfId="4" applyFont="1" applyFill="1"/>
    <xf numFmtId="0" fontId="15" fillId="0" borderId="0" xfId="0" applyFont="1"/>
    <xf numFmtId="0" fontId="13" fillId="0" borderId="0" xfId="0" applyFont="1"/>
    <xf numFmtId="0" fontId="54" fillId="15" borderId="59" xfId="9" applyFont="1" applyFill="1" applyBorder="1" applyAlignment="1">
      <alignment horizontal="center" vertical="center" wrapText="1"/>
    </xf>
    <xf numFmtId="9" fontId="54" fillId="15" borderId="58" xfId="7" applyFont="1" applyFill="1" applyBorder="1" applyAlignment="1">
      <alignment horizontal="center" vertical="center" wrapText="1"/>
    </xf>
    <xf numFmtId="9" fontId="54" fillId="15" borderId="60" xfId="7" applyFont="1" applyFill="1" applyBorder="1" applyAlignment="1">
      <alignment horizontal="center" vertical="center" wrapText="1"/>
    </xf>
    <xf numFmtId="0" fontId="14" fillId="0" borderId="36" xfId="0" applyFont="1" applyBorder="1"/>
    <xf numFmtId="172" fontId="14" fillId="0" borderId="36" xfId="0" applyNumberFormat="1" applyFont="1" applyBorder="1"/>
    <xf numFmtId="172" fontId="14" fillId="0" borderId="21" xfId="0" applyNumberFormat="1" applyFont="1" applyBorder="1"/>
    <xf numFmtId="172" fontId="14" fillId="0" borderId="36" xfId="1" applyNumberFormat="1" applyFont="1" applyBorder="1"/>
    <xf numFmtId="172" fontId="14" fillId="0" borderId="21" xfId="1" applyNumberFormat="1" applyFont="1" applyBorder="1"/>
    <xf numFmtId="43" fontId="14" fillId="0" borderId="36" xfId="0" applyNumberFormat="1" applyFont="1" applyBorder="1"/>
    <xf numFmtId="43" fontId="14" fillId="0" borderId="21" xfId="0" applyNumberFormat="1" applyFont="1" applyBorder="1"/>
    <xf numFmtId="0" fontId="14" fillId="0" borderId="13" xfId="0" applyFont="1" applyBorder="1"/>
    <xf numFmtId="0" fontId="55" fillId="0" borderId="0" xfId="0" applyFont="1"/>
    <xf numFmtId="0" fontId="55" fillId="0" borderId="0" xfId="0" applyFont="1" applyAlignment="1">
      <alignment horizontal="left" vertical="center" wrapText="1"/>
    </xf>
    <xf numFmtId="0" fontId="14" fillId="0" borderId="20" xfId="0" applyFont="1" applyBorder="1"/>
    <xf numFmtId="0" fontId="13" fillId="0" borderId="20" xfId="0" applyFont="1" applyBorder="1"/>
    <xf numFmtId="167" fontId="13" fillId="0" borderId="20" xfId="0" applyNumberFormat="1" applyFont="1" applyBorder="1"/>
    <xf numFmtId="172" fontId="13" fillId="0" borderId="20" xfId="1" applyNumberFormat="1" applyFont="1" applyBorder="1"/>
    <xf numFmtId="2" fontId="14" fillId="0" borderId="20" xfId="0" applyNumberFormat="1" applyFont="1" applyBorder="1"/>
    <xf numFmtId="165" fontId="14" fillId="0" borderId="20" xfId="2" applyNumberFormat="1" applyFont="1" applyBorder="1"/>
    <xf numFmtId="2" fontId="10" fillId="3" borderId="41" xfId="0" applyNumberFormat="1" applyFont="1" applyFill="1" applyBorder="1"/>
    <xf numFmtId="170" fontId="6" fillId="3" borderId="37" xfId="0" applyNumberFormat="1" applyFont="1" applyFill="1" applyBorder="1"/>
    <xf numFmtId="168" fontId="10" fillId="0" borderId="0" xfId="1" applyNumberFormat="1" applyFont="1" applyFill="1" applyBorder="1"/>
    <xf numFmtId="2" fontId="6" fillId="3" borderId="37" xfId="0" applyNumberFormat="1" applyFont="1" applyFill="1" applyBorder="1"/>
    <xf numFmtId="9" fontId="6" fillId="6" borderId="0" xfId="0" applyNumberFormat="1" applyFont="1" applyFill="1"/>
    <xf numFmtId="0" fontId="57" fillId="6" borderId="0" xfId="0" applyFont="1" applyFill="1"/>
    <xf numFmtId="0" fontId="6" fillId="6" borderId="40" xfId="0" applyFont="1" applyFill="1" applyBorder="1"/>
    <xf numFmtId="0" fontId="6" fillId="6" borderId="41" xfId="0" applyFont="1" applyFill="1" applyBorder="1"/>
    <xf numFmtId="0" fontId="57" fillId="6" borderId="41" xfId="0" applyFont="1" applyFill="1" applyBorder="1"/>
    <xf numFmtId="9" fontId="6" fillId="6" borderId="41" xfId="0" applyNumberFormat="1" applyFont="1" applyFill="1" applyBorder="1"/>
    <xf numFmtId="0" fontId="6" fillId="6" borderId="11" xfId="0" applyFont="1" applyFill="1" applyBorder="1"/>
    <xf numFmtId="2" fontId="6" fillId="3" borderId="0" xfId="0" applyNumberFormat="1" applyFont="1" applyFill="1"/>
    <xf numFmtId="167" fontId="10" fillId="0" borderId="0" xfId="0" applyNumberFormat="1" applyFont="1"/>
    <xf numFmtId="0" fontId="4" fillId="0" borderId="0" xfId="0" applyFont="1" applyAlignment="1">
      <alignment horizontal="right"/>
    </xf>
    <xf numFmtId="0" fontId="0" fillId="0" borderId="0" xfId="0" applyAlignment="1">
      <alignment wrapText="1"/>
    </xf>
    <xf numFmtId="0" fontId="54" fillId="15" borderId="0" xfId="9" applyFont="1" applyFill="1" applyBorder="1" applyAlignment="1">
      <alignment vertical="center" wrapText="1"/>
    </xf>
    <xf numFmtId="0" fontId="14" fillId="0" borderId="20" xfId="0" applyFont="1" applyBorder="1" applyAlignment="1">
      <alignment horizontal="left" vertical="center"/>
    </xf>
    <xf numFmtId="0" fontId="55" fillId="0" borderId="0" xfId="0" applyFont="1" applyAlignment="1">
      <alignment vertical="center" wrapText="1"/>
    </xf>
    <xf numFmtId="170" fontId="14" fillId="0" borderId="20" xfId="7" applyNumberFormat="1" applyFont="1" applyBorder="1"/>
    <xf numFmtId="44" fontId="14" fillId="0" borderId="20" xfId="2" applyFont="1" applyBorder="1"/>
    <xf numFmtId="0" fontId="14" fillId="0" borderId="20" xfId="0" applyFont="1" applyBorder="1" applyAlignment="1">
      <alignment wrapText="1"/>
    </xf>
    <xf numFmtId="167" fontId="14" fillId="0" borderId="20" xfId="0" applyNumberFormat="1" applyFont="1" applyBorder="1"/>
    <xf numFmtId="0" fontId="54" fillId="15" borderId="20" xfId="0" applyFont="1" applyFill="1" applyBorder="1" applyAlignment="1">
      <alignment horizontal="center" vertical="center" wrapText="1"/>
    </xf>
    <xf numFmtId="0" fontId="55" fillId="0" borderId="20" xfId="0" applyFont="1" applyBorder="1" applyAlignment="1">
      <alignment horizontal="left" vertical="center" wrapText="1"/>
    </xf>
    <xf numFmtId="44" fontId="55" fillId="0" borderId="20" xfId="2" applyFont="1" applyBorder="1" applyAlignment="1">
      <alignment horizontal="left" vertical="top" wrapText="1"/>
    </xf>
    <xf numFmtId="176" fontId="59" fillId="0" borderId="20" xfId="0" applyNumberFormat="1" applyFont="1" applyBorder="1"/>
    <xf numFmtId="0" fontId="54" fillId="15" borderId="20" xfId="9" applyFont="1" applyFill="1" applyBorder="1" applyAlignment="1">
      <alignment horizontal="center" vertical="center" wrapText="1"/>
    </xf>
    <xf numFmtId="9" fontId="54" fillId="15" borderId="20" xfId="7" applyFont="1" applyFill="1" applyBorder="1" applyAlignment="1">
      <alignment horizontal="center" vertical="center" wrapText="1"/>
    </xf>
    <xf numFmtId="0" fontId="58" fillId="0" borderId="20" xfId="0" applyFont="1" applyBorder="1" applyAlignment="1">
      <alignment vertical="center"/>
    </xf>
    <xf numFmtId="0" fontId="58" fillId="0" borderId="20" xfId="0" applyFont="1" applyBorder="1" applyAlignment="1">
      <alignment horizontal="center" vertical="center"/>
    </xf>
    <xf numFmtId="0" fontId="0" fillId="0" borderId="20" xfId="0" applyBorder="1"/>
    <xf numFmtId="0" fontId="0" fillId="0" borderId="20" xfId="0" applyBorder="1" applyAlignment="1">
      <alignment wrapText="1"/>
    </xf>
    <xf numFmtId="0" fontId="23" fillId="0" borderId="20" xfId="0" applyFont="1" applyBorder="1" applyAlignment="1">
      <alignment horizontal="center" vertical="center"/>
    </xf>
    <xf numFmtId="0" fontId="55" fillId="0" borderId="20" xfId="0" applyFont="1" applyBorder="1" applyAlignment="1">
      <alignment horizontal="center" vertical="center"/>
    </xf>
    <xf numFmtId="0" fontId="54" fillId="16" borderId="20" xfId="0" applyFont="1" applyFill="1" applyBorder="1" applyAlignment="1">
      <alignment horizontal="center" vertical="center"/>
    </xf>
    <xf numFmtId="10" fontId="14" fillId="0" borderId="20" xfId="7" applyNumberFormat="1" applyFont="1" applyBorder="1" applyAlignment="1">
      <alignment wrapText="1"/>
    </xf>
    <xf numFmtId="44" fontId="14" fillId="0" borderId="20" xfId="2" applyFont="1" applyBorder="1" applyAlignment="1">
      <alignment wrapText="1"/>
    </xf>
    <xf numFmtId="165" fontId="14" fillId="0" borderId="20" xfId="2" applyNumberFormat="1" applyFont="1" applyBorder="1" applyAlignment="1">
      <alignment wrapText="1"/>
    </xf>
    <xf numFmtId="44" fontId="4" fillId="0" borderId="21" xfId="2" applyFont="1" applyBorder="1"/>
    <xf numFmtId="44" fontId="4" fillId="0" borderId="22" xfId="2" applyFont="1" applyBorder="1"/>
    <xf numFmtId="44" fontId="5" fillId="5" borderId="23" xfId="2" applyFont="1" applyFill="1" applyBorder="1"/>
    <xf numFmtId="44" fontId="5" fillId="5" borderId="10" xfId="2" applyFont="1" applyFill="1" applyBorder="1"/>
    <xf numFmtId="2" fontId="14" fillId="0" borderId="20" xfId="0" applyNumberFormat="1" applyFont="1" applyBorder="1" applyAlignment="1">
      <alignment wrapText="1"/>
    </xf>
    <xf numFmtId="0" fontId="30" fillId="0" borderId="0" xfId="0" applyFont="1" applyAlignment="1">
      <alignment horizontal="center" vertical="center"/>
    </xf>
    <xf numFmtId="175" fontId="30" fillId="0" borderId="0" xfId="0" applyNumberFormat="1" applyFont="1" applyAlignment="1">
      <alignment vertical="center"/>
    </xf>
    <xf numFmtId="175" fontId="31" fillId="0" borderId="0" xfId="0" applyNumberFormat="1" applyFont="1" applyAlignment="1">
      <alignment vertical="center"/>
    </xf>
    <xf numFmtId="170" fontId="0" fillId="6" borderId="0" xfId="7" applyNumberFormat="1" applyFont="1" applyFill="1"/>
    <xf numFmtId="0" fontId="5" fillId="0" borderId="36" xfId="0" applyFont="1" applyBorder="1"/>
    <xf numFmtId="165" fontId="4" fillId="0" borderId="37" xfId="2" applyNumberFormat="1" applyFont="1" applyBorder="1"/>
    <xf numFmtId="0" fontId="6" fillId="6" borderId="39" xfId="0" applyFont="1" applyFill="1" applyBorder="1"/>
    <xf numFmtId="0" fontId="55" fillId="0" borderId="29" xfId="0" applyFont="1" applyBorder="1"/>
    <xf numFmtId="0" fontId="0" fillId="12" borderId="0" xfId="0" applyFill="1"/>
    <xf numFmtId="0" fontId="68" fillId="9" borderId="36" xfId="0" applyFont="1" applyFill="1" applyBorder="1"/>
    <xf numFmtId="0" fontId="0" fillId="9" borderId="37" xfId="0" applyFill="1" applyBorder="1"/>
    <xf numFmtId="0" fontId="0" fillId="0" borderId="37" xfId="0" applyBorder="1"/>
    <xf numFmtId="0" fontId="0" fillId="0" borderId="38" xfId="0" applyBorder="1"/>
    <xf numFmtId="0" fontId="0" fillId="0" borderId="40" xfId="0" applyBorder="1"/>
    <xf numFmtId="0" fontId="11" fillId="0" borderId="39" xfId="5" applyBorder="1" applyAlignment="1"/>
    <xf numFmtId="0" fontId="0" fillId="0" borderId="39" xfId="0" applyBorder="1"/>
    <xf numFmtId="0" fontId="64" fillId="0" borderId="39" xfId="0" applyFont="1" applyBorder="1"/>
    <xf numFmtId="0" fontId="55" fillId="0" borderId="39" xfId="0" applyFont="1" applyBorder="1"/>
    <xf numFmtId="0" fontId="17" fillId="15" borderId="20" xfId="0" applyFont="1" applyFill="1" applyBorder="1" applyAlignment="1">
      <alignment wrapText="1"/>
    </xf>
    <xf numFmtId="0" fontId="61" fillId="0" borderId="20" xfId="0" applyFont="1" applyBorder="1" applyAlignment="1">
      <alignment vertical="center" wrapText="1"/>
    </xf>
    <xf numFmtId="6" fontId="61" fillId="0" borderId="20" xfId="0" applyNumberFormat="1" applyFont="1" applyBorder="1" applyAlignment="1">
      <alignment horizontal="right" vertical="center" wrapText="1"/>
    </xf>
    <xf numFmtId="0" fontId="55" fillId="0" borderId="20" xfId="0" applyFont="1" applyBorder="1"/>
    <xf numFmtId="169" fontId="61" fillId="0" borderId="20" xfId="0" applyNumberFormat="1" applyFont="1" applyBorder="1"/>
    <xf numFmtId="0" fontId="0" fillId="9" borderId="38" xfId="0" applyFill="1" applyBorder="1"/>
    <xf numFmtId="0" fontId="55" fillId="0" borderId="40" xfId="0" applyFont="1" applyBorder="1"/>
    <xf numFmtId="0" fontId="55" fillId="0" borderId="36" xfId="0" applyFont="1" applyBorder="1"/>
    <xf numFmtId="0" fontId="55" fillId="0" borderId="38" xfId="0" applyFont="1" applyBorder="1"/>
    <xf numFmtId="0" fontId="69" fillId="16" borderId="20" xfId="0" applyFont="1" applyFill="1" applyBorder="1" applyAlignment="1">
      <alignment vertical="center" wrapText="1"/>
    </xf>
    <xf numFmtId="0" fontId="69" fillId="16" borderId="20" xfId="0" applyFont="1" applyFill="1" applyBorder="1" applyAlignment="1">
      <alignment horizontal="right" vertical="center" wrapText="1"/>
    </xf>
    <xf numFmtId="2" fontId="61" fillId="0" borderId="20" xfId="0" applyNumberFormat="1" applyFont="1" applyBorder="1" applyAlignment="1">
      <alignment horizontal="right" vertical="center" wrapText="1"/>
    </xf>
    <xf numFmtId="8" fontId="61" fillId="0" borderId="20" xfId="0" applyNumberFormat="1" applyFont="1" applyBorder="1" applyAlignment="1">
      <alignment horizontal="right" vertical="center" wrapText="1"/>
    </xf>
    <xf numFmtId="0" fontId="69" fillId="16" borderId="20" xfId="0" applyFont="1" applyFill="1" applyBorder="1" applyAlignment="1">
      <alignment vertical="center"/>
    </xf>
    <xf numFmtId="0" fontId="61" fillId="0" borderId="36" xfId="0" applyFont="1" applyBorder="1" applyAlignment="1">
      <alignment vertical="center" wrapText="1"/>
    </xf>
    <xf numFmtId="6" fontId="61" fillId="0" borderId="37" xfId="0" applyNumberFormat="1" applyFont="1" applyBorder="1" applyAlignment="1">
      <alignment horizontal="right" vertical="center" wrapText="1"/>
    </xf>
    <xf numFmtId="6" fontId="61" fillId="0" borderId="38" xfId="0" applyNumberFormat="1" applyFont="1" applyBorder="1" applyAlignment="1">
      <alignment horizontal="right" vertical="center" wrapText="1"/>
    </xf>
    <xf numFmtId="0" fontId="61" fillId="0" borderId="20" xfId="0" applyFont="1" applyBorder="1" applyAlignment="1">
      <alignment horizontal="left" vertical="center" wrapText="1"/>
    </xf>
    <xf numFmtId="0" fontId="61" fillId="0" borderId="20" xfId="0" applyFont="1" applyBorder="1" applyAlignment="1">
      <alignment vertical="top"/>
    </xf>
    <xf numFmtId="0" fontId="61" fillId="0" borderId="20" xfId="0" applyFont="1" applyBorder="1" applyAlignment="1">
      <alignment vertical="top" wrapText="1"/>
    </xf>
    <xf numFmtId="177" fontId="61" fillId="0" borderId="20" xfId="0" applyNumberFormat="1" applyFont="1" applyBorder="1"/>
    <xf numFmtId="0" fontId="61" fillId="0" borderId="39" xfId="0" applyFont="1" applyBorder="1"/>
    <xf numFmtId="0" fontId="61" fillId="0" borderId="29" xfId="0" applyFont="1" applyBorder="1"/>
    <xf numFmtId="0" fontId="61" fillId="0" borderId="20" xfId="0" applyFont="1" applyBorder="1" applyAlignment="1">
      <alignment vertical="center"/>
    </xf>
    <xf numFmtId="8" fontId="61" fillId="0" borderId="20" xfId="0" applyNumberFormat="1" applyFont="1" applyBorder="1" applyAlignment="1">
      <alignment horizontal="right" vertical="center"/>
    </xf>
    <xf numFmtId="0" fontId="61" fillId="0" borderId="20" xfId="0" applyFont="1" applyBorder="1" applyAlignment="1">
      <alignment horizontal="right" vertical="center"/>
    </xf>
    <xf numFmtId="0" fontId="0" fillId="0" borderId="36" xfId="0" applyBorder="1"/>
    <xf numFmtId="0" fontId="69" fillId="16" borderId="20" xfId="0" applyFont="1" applyFill="1" applyBorder="1" applyAlignment="1">
      <alignment horizontal="right" vertical="top" wrapText="1"/>
    </xf>
    <xf numFmtId="178" fontId="61" fillId="0" borderId="20" xfId="0" applyNumberFormat="1" applyFont="1" applyBorder="1" applyAlignment="1">
      <alignment horizontal="right" vertical="center" wrapText="1"/>
    </xf>
    <xf numFmtId="179" fontId="61" fillId="0" borderId="20" xfId="0" applyNumberFormat="1" applyFont="1" applyBorder="1" applyAlignment="1">
      <alignment horizontal="right" vertical="center" wrapText="1"/>
    </xf>
    <xf numFmtId="175" fontId="61" fillId="0" borderId="20" xfId="0" applyNumberFormat="1" applyFont="1" applyBorder="1"/>
    <xf numFmtId="169" fontId="61" fillId="0" borderId="20" xfId="0" applyNumberFormat="1" applyFont="1" applyBorder="1" applyAlignment="1">
      <alignment horizontal="right"/>
    </xf>
    <xf numFmtId="0" fontId="55" fillId="18" borderId="0" xfId="0" applyFont="1" applyFill="1"/>
    <xf numFmtId="0" fontId="55" fillId="18" borderId="38" xfId="0" applyFont="1" applyFill="1" applyBorder="1"/>
    <xf numFmtId="0" fontId="55" fillId="18" borderId="40" xfId="0" applyFont="1" applyFill="1" applyBorder="1"/>
    <xf numFmtId="0" fontId="55" fillId="18" borderId="11" xfId="0" applyFont="1" applyFill="1" applyBorder="1"/>
    <xf numFmtId="0" fontId="0" fillId="17" borderId="62" xfId="20" applyFont="1"/>
    <xf numFmtId="44" fontId="10" fillId="0" borderId="0" xfId="2" applyFont="1" applyFill="1" applyBorder="1"/>
    <xf numFmtId="170" fontId="6" fillId="3" borderId="0" xfId="0" applyNumberFormat="1" applyFont="1" applyFill="1"/>
    <xf numFmtId="165" fontId="10" fillId="0" borderId="0" xfId="2" applyNumberFormat="1" applyFont="1" applyFill="1" applyBorder="1"/>
    <xf numFmtId="172" fontId="4" fillId="0" borderId="33" xfId="1" applyNumberFormat="1" applyFont="1" applyBorder="1"/>
    <xf numFmtId="172" fontId="4" fillId="0" borderId="7" xfId="1" applyNumberFormat="1" applyFont="1" applyBorder="1"/>
    <xf numFmtId="170" fontId="32" fillId="5" borderId="18" xfId="7" applyNumberFormat="1" applyFont="1" applyFill="1" applyBorder="1" applyAlignment="1"/>
    <xf numFmtId="170" fontId="4" fillId="0" borderId="11" xfId="7" applyNumberFormat="1" applyFont="1" applyBorder="1"/>
    <xf numFmtId="44" fontId="4" fillId="0" borderId="64" xfId="2" applyFont="1" applyBorder="1"/>
    <xf numFmtId="44" fontId="4" fillId="0" borderId="65" xfId="2" applyFont="1" applyBorder="1"/>
    <xf numFmtId="0" fontId="0" fillId="0" borderId="0" xfId="0" applyAlignment="1">
      <alignment horizontal="right"/>
    </xf>
    <xf numFmtId="6" fontId="0" fillId="0" borderId="0" xfId="0" applyNumberFormat="1" applyAlignment="1">
      <alignment horizontal="left"/>
    </xf>
    <xf numFmtId="165" fontId="0" fillId="0" borderId="0" xfId="2" applyNumberFormat="1" applyFont="1"/>
    <xf numFmtId="165" fontId="0" fillId="0" borderId="0" xfId="0" applyNumberFormat="1"/>
    <xf numFmtId="0" fontId="5" fillId="0" borderId="37" xfId="0" quotePrefix="1" applyFont="1" applyBorder="1"/>
    <xf numFmtId="0" fontId="22" fillId="0" borderId="37" xfId="0" applyFont="1" applyBorder="1"/>
    <xf numFmtId="10" fontId="4" fillId="0" borderId="37" xfId="7" applyNumberFormat="1" applyFont="1" applyBorder="1"/>
    <xf numFmtId="169" fontId="40" fillId="0" borderId="0" xfId="13" applyNumberFormat="1" applyAlignment="1">
      <alignment horizontal="left"/>
    </xf>
    <xf numFmtId="169" fontId="40" fillId="12" borderId="0" xfId="13" applyNumberFormat="1" applyFill="1"/>
    <xf numFmtId="44" fontId="4" fillId="0" borderId="54" xfId="2" applyFont="1" applyBorder="1"/>
    <xf numFmtId="44" fontId="4" fillId="0" borderId="66" xfId="2" applyFont="1" applyBorder="1"/>
    <xf numFmtId="44" fontId="4" fillId="0" borderId="20" xfId="2" applyFont="1" applyBorder="1"/>
    <xf numFmtId="44" fontId="4" fillId="0" borderId="14" xfId="2" applyFont="1" applyBorder="1"/>
    <xf numFmtId="0" fontId="0" fillId="8" borderId="0" xfId="0" applyFill="1"/>
    <xf numFmtId="10" fontId="0" fillId="8" borderId="0" xfId="0" applyNumberFormat="1" applyFill="1"/>
    <xf numFmtId="8" fontId="6" fillId="0" borderId="0" xfId="7" applyNumberFormat="1" applyFont="1" applyFill="1" applyBorder="1"/>
    <xf numFmtId="0" fontId="12" fillId="0" borderId="20" xfId="8" applyFont="1" applyBorder="1" applyAlignment="1">
      <alignment horizontal="left" vertical="top"/>
    </xf>
    <xf numFmtId="1" fontId="24" fillId="0" borderId="20" xfId="8" applyNumberFormat="1" applyBorder="1" applyAlignment="1">
      <alignment horizontal="left" vertical="top"/>
    </xf>
    <xf numFmtId="0" fontId="4" fillId="0" borderId="20" xfId="0" applyFont="1" applyBorder="1"/>
    <xf numFmtId="8" fontId="6" fillId="0" borderId="20" xfId="7" applyNumberFormat="1" applyFont="1" applyFill="1" applyBorder="1"/>
    <xf numFmtId="0" fontId="9" fillId="0" borderId="41" xfId="0" applyFont="1" applyBorder="1"/>
    <xf numFmtId="168" fontId="10" fillId="0" borderId="41" xfId="1" applyNumberFormat="1" applyFont="1" applyFill="1" applyBorder="1"/>
    <xf numFmtId="6" fontId="0" fillId="0" borderId="0" xfId="0" applyNumberFormat="1"/>
    <xf numFmtId="165" fontId="6" fillId="3" borderId="20" xfId="2" applyNumberFormat="1" applyFont="1" applyFill="1" applyBorder="1" applyAlignment="1">
      <alignment horizontal="right"/>
    </xf>
    <xf numFmtId="3" fontId="23" fillId="0" borderId="20" xfId="0" applyNumberFormat="1" applyFont="1" applyBorder="1" applyAlignment="1">
      <alignment horizontal="right"/>
    </xf>
    <xf numFmtId="165" fontId="6" fillId="3" borderId="13" xfId="2" applyNumberFormat="1" applyFont="1" applyFill="1" applyBorder="1" applyAlignment="1">
      <alignment horizontal="right"/>
    </xf>
    <xf numFmtId="165" fontId="10" fillId="0" borderId="20" xfId="2" applyNumberFormat="1" applyFont="1" applyFill="1" applyBorder="1" applyAlignment="1">
      <alignment horizontal="right"/>
    </xf>
    <xf numFmtId="0" fontId="25" fillId="19" borderId="20" xfId="0" applyFont="1" applyFill="1" applyBorder="1" applyAlignment="1">
      <alignment vertical="center"/>
    </xf>
    <xf numFmtId="0" fontId="38" fillId="20" borderId="20" xfId="0" applyFont="1" applyFill="1" applyBorder="1" applyAlignment="1">
      <alignment vertical="center"/>
    </xf>
    <xf numFmtId="6" fontId="38" fillId="0" borderId="20" xfId="0" applyNumberFormat="1" applyFont="1" applyBorder="1" applyAlignment="1">
      <alignment horizontal="right" vertical="center"/>
    </xf>
    <xf numFmtId="8" fontId="0" fillId="0" borderId="20" xfId="0" applyNumberFormat="1" applyBorder="1"/>
    <xf numFmtId="180" fontId="0" fillId="0" borderId="0" xfId="0" applyNumberFormat="1" applyAlignment="1">
      <alignment horizontal="right"/>
    </xf>
    <xf numFmtId="181" fontId="4" fillId="0" borderId="14" xfId="0" applyNumberFormat="1" applyFont="1" applyBorder="1"/>
    <xf numFmtId="0" fontId="26" fillId="0" borderId="40" xfId="0" applyFont="1" applyBorder="1" applyAlignment="1">
      <alignment horizontal="center" vertical="center"/>
    </xf>
    <xf numFmtId="0" fontId="26" fillId="7" borderId="16" xfId="0" applyFont="1" applyFill="1" applyBorder="1" applyAlignment="1">
      <alignment horizontal="center" vertical="center"/>
    </xf>
    <xf numFmtId="0" fontId="25" fillId="0" borderId="40" xfId="0" applyFont="1" applyBorder="1" applyAlignment="1">
      <alignment horizontal="center" vertical="center" wrapText="1"/>
    </xf>
    <xf numFmtId="0" fontId="25" fillId="7" borderId="67" xfId="0" applyFont="1" applyFill="1" applyBorder="1" applyAlignment="1">
      <alignment horizontal="center" vertical="center" wrapText="1"/>
    </xf>
    <xf numFmtId="0" fontId="21" fillId="0" borderId="0" xfId="0" applyFont="1"/>
    <xf numFmtId="8" fontId="10" fillId="0" borderId="0" xfId="2" applyNumberFormat="1" applyFont="1" applyFill="1" applyBorder="1"/>
    <xf numFmtId="8" fontId="10" fillId="0" borderId="41" xfId="2" applyNumberFormat="1" applyFont="1" applyFill="1" applyBorder="1"/>
    <xf numFmtId="1" fontId="10" fillId="0" borderId="0" xfId="0" applyNumberFormat="1" applyFont="1"/>
    <xf numFmtId="10" fontId="6" fillId="3" borderId="0" xfId="7" applyNumberFormat="1" applyFont="1" applyFill="1" applyBorder="1"/>
    <xf numFmtId="170" fontId="4" fillId="0" borderId="0" xfId="0" applyNumberFormat="1" applyFont="1"/>
    <xf numFmtId="9" fontId="20" fillId="0" borderId="0" xfId="7" applyFont="1"/>
    <xf numFmtId="43" fontId="4" fillId="0" borderId="0" xfId="1" applyFont="1" applyFill="1"/>
    <xf numFmtId="44" fontId="4" fillId="0" borderId="0" xfId="2" applyFont="1" applyFill="1"/>
    <xf numFmtId="165" fontId="4" fillId="0" borderId="0" xfId="2" applyNumberFormat="1" applyFont="1" applyFill="1"/>
    <xf numFmtId="0" fontId="5" fillId="0" borderId="0" xfId="0" quotePrefix="1" applyFont="1"/>
    <xf numFmtId="0" fontId="19" fillId="0" borderId="0" xfId="0" quotePrefix="1" applyFont="1"/>
    <xf numFmtId="2" fontId="10" fillId="0" borderId="0" xfId="0" applyNumberFormat="1" applyFont="1"/>
    <xf numFmtId="0" fontId="6" fillId="6" borderId="5" xfId="0" applyFont="1" applyFill="1" applyBorder="1"/>
    <xf numFmtId="168" fontId="6" fillId="3" borderId="0" xfId="1" applyNumberFormat="1" applyFont="1" applyFill="1" applyBorder="1"/>
    <xf numFmtId="44" fontId="4" fillId="0" borderId="22" xfId="2" applyFont="1" applyFill="1" applyBorder="1"/>
    <xf numFmtId="0" fontId="20" fillId="0" borderId="0" xfId="0" applyFont="1" applyAlignment="1">
      <alignment horizontal="right"/>
    </xf>
    <xf numFmtId="2" fontId="20" fillId="0" borderId="0" xfId="0" applyNumberFormat="1" applyFont="1" applyAlignment="1">
      <alignment horizontal="left"/>
    </xf>
    <xf numFmtId="175" fontId="0" fillId="0" borderId="0" xfId="0" applyNumberFormat="1"/>
    <xf numFmtId="0" fontId="6" fillId="0" borderId="39" xfId="0" applyFont="1" applyBorder="1"/>
    <xf numFmtId="0" fontId="6" fillId="0" borderId="0" xfId="0" applyFont="1"/>
    <xf numFmtId="0" fontId="57" fillId="0" borderId="0" xfId="0" applyFont="1"/>
    <xf numFmtId="9" fontId="10" fillId="0" borderId="0" xfId="0" applyNumberFormat="1" applyFont="1"/>
    <xf numFmtId="0" fontId="6" fillId="0" borderId="40" xfId="0" applyFont="1" applyBorder="1"/>
    <xf numFmtId="0" fontId="23" fillId="0" borderId="0" xfId="0" applyFont="1" applyAlignment="1">
      <alignment horizontal="left" vertical="center"/>
    </xf>
    <xf numFmtId="0" fontId="1" fillId="0" borderId="4" xfId="0" applyFont="1" applyBorder="1"/>
    <xf numFmtId="0" fontId="1" fillId="0" borderId="40" xfId="0" applyFont="1" applyBorder="1"/>
    <xf numFmtId="0" fontId="73" fillId="0" borderId="0" xfId="0" applyFont="1"/>
    <xf numFmtId="170" fontId="73" fillId="0" borderId="0" xfId="7" applyNumberFormat="1" applyFont="1" applyAlignment="1">
      <alignment horizontal="left"/>
    </xf>
    <xf numFmtId="2" fontId="73" fillId="0" borderId="0" xfId="0" applyNumberFormat="1" applyFont="1" applyAlignment="1">
      <alignment horizontal="left"/>
    </xf>
    <xf numFmtId="0" fontId="8" fillId="0" borderId="26" xfId="3" applyFont="1" applyBorder="1" applyAlignment="1">
      <alignment horizontal="center"/>
    </xf>
    <xf numFmtId="0" fontId="8" fillId="0" borderId="17" xfId="3" applyFont="1" applyBorder="1" applyAlignment="1">
      <alignment horizontal="center"/>
    </xf>
    <xf numFmtId="0" fontId="14" fillId="0" borderId="20" xfId="0" applyFont="1" applyBorder="1" applyAlignment="1">
      <alignment horizontal="left" vertical="center"/>
    </xf>
    <xf numFmtId="0" fontId="54" fillId="15" borderId="20" xfId="9" applyFont="1" applyFill="1" applyBorder="1" applyAlignment="1">
      <alignment horizontal="center" vertical="center" wrapText="1"/>
    </xf>
    <xf numFmtId="170" fontId="14" fillId="0" borderId="13" xfId="0" applyNumberFormat="1" applyFont="1" applyBorder="1" applyAlignment="1">
      <alignment horizontal="center"/>
    </xf>
    <xf numFmtId="170" fontId="14" fillId="0" borderId="61" xfId="0" applyNumberFormat="1" applyFont="1" applyBorder="1" applyAlignment="1">
      <alignment horizontal="center"/>
    </xf>
    <xf numFmtId="170" fontId="14" fillId="0" borderId="15" xfId="0" applyNumberFormat="1" applyFont="1" applyBorder="1" applyAlignment="1">
      <alignment horizontal="center"/>
    </xf>
    <xf numFmtId="0" fontId="55" fillId="0" borderId="20" xfId="0" applyFont="1" applyBorder="1" applyAlignment="1">
      <alignment horizontal="left" vertical="center" wrapText="1"/>
    </xf>
    <xf numFmtId="0" fontId="54" fillId="15" borderId="21" xfId="9" applyFont="1" applyFill="1" applyBorder="1" applyAlignment="1">
      <alignment horizontal="center" vertical="center" wrapText="1"/>
    </xf>
    <xf numFmtId="0" fontId="54" fillId="15" borderId="34" xfId="9" applyFont="1" applyFill="1" applyBorder="1" applyAlignment="1">
      <alignment horizontal="center" vertical="center" wrapText="1"/>
    </xf>
    <xf numFmtId="0" fontId="59" fillId="0" borderId="20" xfId="0" applyFont="1" applyBorder="1" applyAlignment="1">
      <alignment horizontal="left" vertical="center" wrapText="1"/>
    </xf>
    <xf numFmtId="0" fontId="0" fillId="0" borderId="20" xfId="0" applyBorder="1" applyAlignment="1">
      <alignment horizontal="center" vertical="center"/>
    </xf>
    <xf numFmtId="0" fontId="0" fillId="0" borderId="13" xfId="0" applyBorder="1" applyAlignment="1">
      <alignment horizontal="left"/>
    </xf>
    <xf numFmtId="0" fontId="0" fillId="0" borderId="15" xfId="0" applyBorder="1" applyAlignment="1">
      <alignment horizontal="left"/>
    </xf>
    <xf numFmtId="0" fontId="54" fillId="16" borderId="20" xfId="0" applyFont="1" applyFill="1" applyBorder="1" applyAlignment="1">
      <alignment vertical="center" wrapText="1"/>
    </xf>
    <xf numFmtId="0" fontId="61" fillId="0" borderId="39" xfId="0" applyFont="1" applyBorder="1" applyAlignment="1">
      <alignment horizontal="left" vertical="top" wrapText="1"/>
    </xf>
    <xf numFmtId="0" fontId="61" fillId="0" borderId="40" xfId="0" applyFont="1" applyBorder="1" applyAlignment="1">
      <alignment horizontal="left" vertical="top" wrapText="1"/>
    </xf>
    <xf numFmtId="0" fontId="61" fillId="0" borderId="63" xfId="0" applyFont="1" applyBorder="1" applyAlignment="1">
      <alignment horizontal="left" vertical="top" wrapText="1"/>
    </xf>
    <xf numFmtId="0" fontId="61" fillId="0" borderId="45" xfId="0" applyFont="1" applyBorder="1" applyAlignment="1">
      <alignment horizontal="left" vertical="top" wrapText="1"/>
    </xf>
    <xf numFmtId="0" fontId="61" fillId="0" borderId="39" xfId="0" applyFont="1" applyBorder="1" applyAlignment="1">
      <alignment vertical="top" wrapText="1"/>
    </xf>
    <xf numFmtId="0" fontId="61" fillId="0" borderId="40" xfId="0" applyFont="1" applyBorder="1" applyAlignment="1">
      <alignment vertical="top" wrapText="1"/>
    </xf>
    <xf numFmtId="0" fontId="61" fillId="0" borderId="5" xfId="0" applyFont="1" applyBorder="1" applyAlignment="1">
      <alignment vertical="top" wrapText="1"/>
    </xf>
    <xf numFmtId="0" fontId="61" fillId="0" borderId="11" xfId="0" applyFont="1" applyBorder="1" applyAlignment="1">
      <alignment vertical="top" wrapText="1"/>
    </xf>
    <xf numFmtId="0" fontId="61" fillId="0" borderId="5" xfId="0" applyFont="1" applyBorder="1" applyAlignment="1">
      <alignment horizontal="left" vertical="top" wrapText="1"/>
    </xf>
    <xf numFmtId="0" fontId="61" fillId="0" borderId="11" xfId="0" applyFont="1" applyBorder="1" applyAlignment="1">
      <alignment horizontal="left" vertical="top" wrapText="1"/>
    </xf>
    <xf numFmtId="0" fontId="61" fillId="0" borderId="39" xfId="0" applyFont="1" applyBorder="1" applyAlignment="1">
      <alignment horizontal="left" vertical="top"/>
    </xf>
    <xf numFmtId="0" fontId="61" fillId="0" borderId="0" xfId="0" applyFont="1" applyAlignment="1">
      <alignment horizontal="left" vertical="top"/>
    </xf>
    <xf numFmtId="0" fontId="61" fillId="0" borderId="40" xfId="0" applyFont="1" applyBorder="1" applyAlignment="1">
      <alignment horizontal="left" vertical="top"/>
    </xf>
    <xf numFmtId="0" fontId="61" fillId="0" borderId="5" xfId="0" applyFont="1" applyBorder="1" applyAlignment="1">
      <alignment horizontal="left" vertical="top"/>
    </xf>
    <xf numFmtId="0" fontId="61" fillId="0" borderId="41" xfId="0" applyFont="1" applyBorder="1" applyAlignment="1">
      <alignment horizontal="left" vertical="top"/>
    </xf>
    <xf numFmtId="0" fontId="61" fillId="0" borderId="11" xfId="0" applyFont="1" applyBorder="1" applyAlignment="1">
      <alignment horizontal="left" vertical="top"/>
    </xf>
    <xf numFmtId="0" fontId="61" fillId="0" borderId="41" xfId="0" applyFont="1" applyBorder="1" applyAlignment="1">
      <alignment horizontal="left" vertical="center" wrapText="1"/>
    </xf>
    <xf numFmtId="0" fontId="61" fillId="0" borderId="11" xfId="0" applyFont="1" applyBorder="1" applyAlignment="1">
      <alignment horizontal="left" vertical="center" wrapText="1"/>
    </xf>
    <xf numFmtId="0" fontId="69" fillId="16" borderId="13" xfId="0" applyFont="1" applyFill="1" applyBorder="1" applyAlignment="1">
      <alignment horizontal="center" vertical="center"/>
    </xf>
    <xf numFmtId="0" fontId="69" fillId="16" borderId="61" xfId="0" applyFont="1" applyFill="1" applyBorder="1" applyAlignment="1">
      <alignment horizontal="center" vertical="center"/>
    </xf>
    <xf numFmtId="0" fontId="69" fillId="16" borderId="15" xfId="0" applyFont="1" applyFill="1" applyBorder="1" applyAlignment="1">
      <alignment horizontal="center" vertical="center"/>
    </xf>
    <xf numFmtId="0" fontId="61" fillId="0" borderId="37" xfId="0" applyFont="1" applyBorder="1" applyAlignment="1">
      <alignment horizontal="left" vertical="center" wrapText="1"/>
    </xf>
    <xf numFmtId="0" fontId="61" fillId="0" borderId="38" xfId="0" applyFont="1" applyBorder="1" applyAlignment="1">
      <alignment horizontal="left" vertical="center" wrapText="1"/>
    </xf>
    <xf numFmtId="0" fontId="69" fillId="16" borderId="5" xfId="0" applyFont="1" applyFill="1" applyBorder="1" applyAlignment="1">
      <alignment horizontal="center" vertical="center" wrapText="1"/>
    </xf>
    <xf numFmtId="0" fontId="69" fillId="16" borderId="41" xfId="0" applyFont="1" applyFill="1" applyBorder="1" applyAlignment="1">
      <alignment horizontal="center" vertical="center" wrapText="1"/>
    </xf>
    <xf numFmtId="0" fontId="69" fillId="16" borderId="11" xfId="0" applyFont="1" applyFill="1" applyBorder="1" applyAlignment="1">
      <alignment horizontal="center" vertical="center" wrapText="1"/>
    </xf>
    <xf numFmtId="0" fontId="61" fillId="0" borderId="0" xfId="0" applyFont="1" applyAlignment="1">
      <alignment horizontal="left" vertical="top" wrapText="1"/>
    </xf>
    <xf numFmtId="0" fontId="61" fillId="0" borderId="41" xfId="0" applyFont="1" applyBorder="1" applyAlignment="1">
      <alignment horizontal="left" vertical="top" wrapText="1"/>
    </xf>
    <xf numFmtId="0" fontId="69" fillId="16" borderId="20" xfId="0" applyFont="1" applyFill="1" applyBorder="1" applyAlignment="1">
      <alignment vertical="center" wrapText="1"/>
    </xf>
    <xf numFmtId="0" fontId="69" fillId="16" borderId="20" xfId="0" applyFont="1" applyFill="1" applyBorder="1" applyAlignment="1">
      <alignment horizontal="center" vertical="center" wrapText="1"/>
    </xf>
    <xf numFmtId="0" fontId="61" fillId="0" borderId="29" xfId="0" applyFont="1" applyBorder="1" applyAlignment="1">
      <alignment horizontal="left" vertical="top" wrapText="1"/>
    </xf>
    <xf numFmtId="0" fontId="25" fillId="7" borderId="25"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17" fillId="9" borderId="33" xfId="10" applyFont="1" applyFill="1" applyBorder="1" applyAlignment="1">
      <alignment horizontal="center" vertical="center"/>
    </xf>
    <xf numFmtId="0" fontId="17" fillId="9" borderId="21" xfId="10" applyFont="1" applyFill="1" applyBorder="1" applyAlignment="1">
      <alignment horizontal="center" vertical="center"/>
    </xf>
    <xf numFmtId="0" fontId="17" fillId="9" borderId="7" xfId="10" applyFont="1" applyFill="1" applyBorder="1" applyAlignment="1">
      <alignment horizontal="center" vertical="center" wrapText="1"/>
    </xf>
    <xf numFmtId="0" fontId="17" fillId="9" borderId="22" xfId="10" applyFont="1" applyFill="1" applyBorder="1" applyAlignment="1">
      <alignment horizontal="center" vertical="center" wrapText="1"/>
    </xf>
    <xf numFmtId="0" fontId="34" fillId="10" borderId="0" xfId="0" applyFont="1" applyFill="1" applyAlignment="1">
      <alignment horizontal="center"/>
    </xf>
    <xf numFmtId="171" fontId="0" fillId="6" borderId="0" xfId="7" applyNumberFormat="1" applyFont="1" applyFill="1" applyAlignment="1">
      <alignment horizontal="center"/>
    </xf>
    <xf numFmtId="0" fontId="2" fillId="0" borderId="0" xfId="10" applyAlignment="1">
      <alignment horizontal="left" vertical="center"/>
    </xf>
    <xf numFmtId="0" fontId="2" fillId="0" borderId="35" xfId="10" applyBorder="1" applyAlignment="1">
      <alignment horizontal="left"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44" xfId="0" applyFont="1" applyBorder="1" applyAlignment="1">
      <alignment horizontal="center" vertical="center"/>
    </xf>
    <xf numFmtId="0" fontId="23" fillId="0" borderId="2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44" xfId="0" applyFont="1" applyBorder="1" applyAlignment="1">
      <alignment horizontal="center" vertical="center" wrapText="1"/>
    </xf>
    <xf numFmtId="0" fontId="35" fillId="0" borderId="0" xfId="0" applyFont="1" applyAlignment="1">
      <alignment horizontal="center"/>
    </xf>
    <xf numFmtId="0" fontId="0" fillId="0" borderId="0" xfId="0"/>
    <xf numFmtId="0" fontId="0" fillId="0" borderId="0" xfId="0" applyAlignment="1">
      <alignment horizontal="left" wrapText="1"/>
    </xf>
  </cellXfs>
  <cellStyles count="23">
    <cellStyle name="20% - Accent1" xfId="4" builtinId="30"/>
    <cellStyle name="Body: normal cell" xfId="18" xr:uid="{1DE18A7E-8BCA-4F30-911A-698CD5195569}"/>
    <cellStyle name="Comma" xfId="1" builtinId="3"/>
    <cellStyle name="Currency" xfId="2" builtinId="4"/>
    <cellStyle name="Font: Calibri, 9pt regular" xfId="14" xr:uid="{5A248D6A-B755-4176-B01A-1EF902AF2EAD}"/>
    <cellStyle name="Footnotes: top row" xfId="19" xr:uid="{95ABF0D6-2796-4ADA-AF65-68F5549C331B}"/>
    <cellStyle name="Header: bottom row" xfId="15" xr:uid="{45A12CA9-7F47-4320-9240-C562C135E97E}"/>
    <cellStyle name="Heading 1" xfId="3" builtinId="16"/>
    <cellStyle name="Heading 2" xfId="9" builtinId="17"/>
    <cellStyle name="Hyperlink" xfId="5" builtinId="8"/>
    <cellStyle name="Hyperlink 2" xfId="22" xr:uid="{FDF29817-6CC5-4B81-9FBF-DD19B30E5C17}"/>
    <cellStyle name="Normal" xfId="0" builtinId="0"/>
    <cellStyle name="Normal 2" xfId="6" xr:uid="{632B60C4-5029-4154-B209-926F418E5AAF}"/>
    <cellStyle name="Normal 2 2" xfId="10" xr:uid="{6FF10FA4-F494-4C14-A7E7-F38B6BA4B192}"/>
    <cellStyle name="Normal 3" xfId="8" xr:uid="{AAC2C69E-7F3B-4D27-9342-260C94829821}"/>
    <cellStyle name="Normal 4" xfId="13" xr:uid="{28C6262E-C61A-4496-9D08-0CEBAE4B4785}"/>
    <cellStyle name="Normal 7" xfId="21" xr:uid="{89AA7564-B29B-4F50-B279-517D1F9A0E35}"/>
    <cellStyle name="Note" xfId="20" builtinId="10"/>
    <cellStyle name="Parent row" xfId="17" xr:uid="{931BCA16-3485-4371-B1D3-34E2D5F13DDC}"/>
    <cellStyle name="Percent" xfId="7" builtinId="5"/>
    <cellStyle name="Percent 2" xfId="12" xr:uid="{F104A161-110C-47EF-B37B-10791B225543}"/>
    <cellStyle name="Percent 3" xfId="11" xr:uid="{98F028A2-0B9B-4ED1-AC38-189E65E51586}"/>
    <cellStyle name="Table title" xfId="16" xr:uid="{70299FAC-0AC4-475E-8A49-F77206B33DA5}"/>
  </cellStyles>
  <dxfs count="16">
    <dxf>
      <font>
        <b/>
        <i val="0"/>
        <color rgb="FFFF0000"/>
      </font>
      <numFmt numFmtId="30" formatCode="@"/>
      <fill>
        <patternFill>
          <bgColor rgb="FFFFFF00"/>
        </patternFill>
      </fill>
    </dxf>
    <dxf>
      <font>
        <b/>
        <i val="0"/>
        <color rgb="FFFF0000"/>
      </font>
      <numFmt numFmtId="30" formatCode="@"/>
      <fill>
        <patternFill>
          <bgColor rgb="FFFFFF00"/>
        </patternFill>
      </fill>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9" formatCode="&quot;$&quot;#,##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9" formatCode="&quot;$&quot;#,##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Present Value of Benefits &amp; Costs (3.1% disc. rate*)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10"/>
          <c:order val="0"/>
          <c:tx>
            <c:strRef>
              <c:f>Summary!$B$89</c:f>
              <c:strCache>
                <c:ptCount val="1"/>
                <c:pt idx="0">
                  <c:v>Residual Value</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Summary!$F$89:$AR$89</c:f>
              <c:numCache>
                <c:formatCode>_(* #,##0.00_);_(* \(#,##0.00\);_(* "-"??_);_(@_)</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1.6368831430861859</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A-2257-4F6B-AB63-3DBAF1870A6A}"/>
            </c:ext>
          </c:extLst>
        </c:ser>
        <c:ser>
          <c:idx val="9"/>
          <c:order val="1"/>
          <c:tx>
            <c:strRef>
              <c:f>Summary!$B$87</c:f>
              <c:strCache>
                <c:ptCount val="1"/>
                <c:pt idx="0">
                  <c:v>Reduced Bridge Hits</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Summary!$F$87:$AR$87</c:f>
              <c:numCache>
                <c:formatCode>_(* #,##0.00_);_(* \(#,##0.00\);_(* "-"??_);_(@_)</c:formatCode>
                <c:ptCount val="39"/>
                <c:pt idx="0">
                  <c:v>0</c:v>
                </c:pt>
                <c:pt idx="1">
                  <c:v>0</c:v>
                </c:pt>
                <c:pt idx="2">
                  <c:v>0</c:v>
                </c:pt>
                <c:pt idx="3">
                  <c:v>0</c:v>
                </c:pt>
                <c:pt idx="4">
                  <c:v>0</c:v>
                </c:pt>
                <c:pt idx="5">
                  <c:v>0</c:v>
                </c:pt>
                <c:pt idx="6">
                  <c:v>0</c:v>
                </c:pt>
                <c:pt idx="7">
                  <c:v>0</c:v>
                </c:pt>
                <c:pt idx="8">
                  <c:v>0</c:v>
                </c:pt>
                <c:pt idx="9">
                  <c:v>1.41078834330182E-3</c:v>
                </c:pt>
                <c:pt idx="10">
                  <c:v>1.3683689071792634E-3</c:v>
                </c:pt>
                <c:pt idx="11">
                  <c:v>1.32722493421849E-3</c:v>
                </c:pt>
                <c:pt idx="12">
                  <c:v>1.2873180739267607E-3</c:v>
                </c:pt>
                <c:pt idx="13">
                  <c:v>1.2486111289299327E-3</c:v>
                </c:pt>
                <c:pt idx="14">
                  <c:v>1.2110680203006139E-3</c:v>
                </c:pt>
                <c:pt idx="15">
                  <c:v>1.1746537539288203E-3</c:v>
                </c:pt>
                <c:pt idx="16">
                  <c:v>1.1393343879038025E-3</c:v>
                </c:pt>
                <c:pt idx="17">
                  <c:v>1.1050770008766274E-3</c:v>
                </c:pt>
                <c:pt idx="18">
                  <c:v>1.0718496613740323E-3</c:v>
                </c:pt>
                <c:pt idx="19">
                  <c:v>1.0396213980349489E-3</c:v>
                </c:pt>
                <c:pt idx="20">
                  <c:v>1.0083621707419484E-3</c:v>
                </c:pt>
                <c:pt idx="21">
                  <c:v>9.7804284262070665E-4</c:v>
                </c:pt>
                <c:pt idx="22">
                  <c:v>9.4863515288138385E-4</c:v>
                </c:pt>
                <c:pt idx="23">
                  <c:v>9.2011169047660909E-4</c:v>
                </c:pt>
                <c:pt idx="24">
                  <c:v>8.9244586855151214E-4</c:v>
                </c:pt>
                <c:pt idx="25">
                  <c:v>8.6561189966199059E-4</c:v>
                </c:pt>
                <c:pt idx="26">
                  <c:v>8.3958477173810906E-4</c:v>
                </c:pt>
                <c:pt idx="27">
                  <c:v>8.1434022477023214E-4</c:v>
                </c:pt>
                <c:pt idx="28">
                  <c:v>7.8985472819615148E-4</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9-2257-4F6B-AB63-3DBAF1870A6A}"/>
            </c:ext>
          </c:extLst>
        </c:ser>
        <c:ser>
          <c:idx val="5"/>
          <c:order val="2"/>
          <c:tx>
            <c:strRef>
              <c:f>Summary!$B$86</c:f>
              <c:strCache>
                <c:ptCount val="1"/>
                <c:pt idx="0">
                  <c:v>Induced Pedestrian Demand</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Summary!$F$86:$AR$86</c:f>
              <c:numCache>
                <c:formatCode>_(* #,##0.00_);_(* \(#,##0.00\);_(* "-"??_);_(@_)</c:formatCode>
                <c:ptCount val="39"/>
                <c:pt idx="0">
                  <c:v>0</c:v>
                </c:pt>
                <c:pt idx="1">
                  <c:v>0</c:v>
                </c:pt>
                <c:pt idx="2">
                  <c:v>0</c:v>
                </c:pt>
                <c:pt idx="3">
                  <c:v>0</c:v>
                </c:pt>
                <c:pt idx="4">
                  <c:v>0</c:v>
                </c:pt>
                <c:pt idx="5">
                  <c:v>0</c:v>
                </c:pt>
                <c:pt idx="6">
                  <c:v>0</c:v>
                </c:pt>
                <c:pt idx="7">
                  <c:v>0</c:v>
                </c:pt>
                <c:pt idx="8">
                  <c:v>0</c:v>
                </c:pt>
                <c:pt idx="9">
                  <c:v>5.2267646680684732E-2</c:v>
                </c:pt>
                <c:pt idx="10">
                  <c:v>7.7309957804764531E-2</c:v>
                </c:pt>
                <c:pt idx="11">
                  <c:v>0.10164485562445873</c:v>
                </c:pt>
                <c:pt idx="12">
                  <c:v>0.10022974693319837</c:v>
                </c:pt>
                <c:pt idx="13">
                  <c:v>9.8834339510593255E-2</c:v>
                </c:pt>
                <c:pt idx="14">
                  <c:v>9.7458359073834572E-2</c:v>
                </c:pt>
                <c:pt idx="15">
                  <c:v>9.6101535158703039E-2</c:v>
                </c:pt>
                <c:pt idx="16">
                  <c:v>9.4763601066406342E-2</c:v>
                </c:pt>
                <c:pt idx="17">
                  <c:v>9.3444293811156195E-2</c:v>
                </c:pt>
                <c:pt idx="18">
                  <c:v>9.2143354068475986E-2</c:v>
                </c:pt>
                <c:pt idx="19">
                  <c:v>9.086052612422725E-2</c:v>
                </c:pt>
                <c:pt idx="20">
                  <c:v>8.9595557824346639E-2</c:v>
                </c:pt>
                <c:pt idx="21">
                  <c:v>8.8348200525281875E-2</c:v>
                </c:pt>
                <c:pt idx="22">
                  <c:v>8.7118209045118328E-2</c:v>
                </c:pt>
                <c:pt idx="23">
                  <c:v>8.5905341615385697E-2</c:v>
                </c:pt>
                <c:pt idx="24">
                  <c:v>8.4709359833535725E-2</c:v>
                </c:pt>
                <c:pt idx="25">
                  <c:v>8.3530028616081664E-2</c:v>
                </c:pt>
                <c:pt idx="26">
                  <c:v>8.2367116152389785E-2</c:v>
                </c:pt>
                <c:pt idx="27">
                  <c:v>8.1220393859114684E-2</c:v>
                </c:pt>
                <c:pt idx="28">
                  <c:v>8.0089636335268444E-2</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9808-471E-A9B1-CBCAA795C490}"/>
            </c:ext>
          </c:extLst>
        </c:ser>
        <c:ser>
          <c:idx val="4"/>
          <c:order val="3"/>
          <c:tx>
            <c:strRef>
              <c:f>Summary!$B$85</c:f>
              <c:strCache>
                <c:ptCount val="1"/>
                <c:pt idx="0">
                  <c:v>Pedestrian / Cycling Improvments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Summary!$F$85:$AR$85</c:f>
              <c:numCache>
                <c:formatCode>_(* #,##0.00_);_(* \(#,##0.00\);_(* "-"??_);_(@_)</c:formatCode>
                <c:ptCount val="39"/>
                <c:pt idx="0">
                  <c:v>0</c:v>
                </c:pt>
                <c:pt idx="1">
                  <c:v>0</c:v>
                </c:pt>
                <c:pt idx="2">
                  <c:v>0</c:v>
                </c:pt>
                <c:pt idx="3">
                  <c:v>0</c:v>
                </c:pt>
                <c:pt idx="4">
                  <c:v>0</c:v>
                </c:pt>
                <c:pt idx="5">
                  <c:v>0</c:v>
                </c:pt>
                <c:pt idx="6">
                  <c:v>0</c:v>
                </c:pt>
                <c:pt idx="7">
                  <c:v>0</c:v>
                </c:pt>
                <c:pt idx="8">
                  <c:v>0</c:v>
                </c:pt>
                <c:pt idx="9">
                  <c:v>0.14387150727801137</c:v>
                </c:pt>
                <c:pt idx="10">
                  <c:v>0.16713804493471135</c:v>
                </c:pt>
                <c:pt idx="11">
                  <c:v>0.18973964259172155</c:v>
                </c:pt>
                <c:pt idx="12">
                  <c:v>0.18615805304742969</c:v>
                </c:pt>
                <c:pt idx="13">
                  <c:v>0.18264966826923767</c:v>
                </c:pt>
                <c:pt idx="14">
                  <c:v>0.17921288949998929</c:v>
                </c:pt>
                <c:pt idx="15">
                  <c:v>0.17584615463245531</c:v>
                </c:pt>
                <c:pt idx="16">
                  <c:v>0.17254793734172505</c:v>
                </c:pt>
                <c:pt idx="17">
                  <c:v>0.16931674623855078</c:v>
                </c:pt>
                <c:pt idx="18">
                  <c:v>0.16615112404313279</c:v>
                </c:pt>
                <c:pt idx="19">
                  <c:v>0.16304964677884523</c:v>
                </c:pt>
                <c:pt idx="20">
                  <c:v>0.16001092298541647</c:v>
                </c:pt>
                <c:pt idx="21">
                  <c:v>0.15703359295108762</c:v>
                </c:pt>
                <c:pt idx="22">
                  <c:v>0.15411632796328711</c:v>
                </c:pt>
                <c:pt idx="23">
                  <c:v>0.1512578295773678</c:v>
                </c:pt>
                <c:pt idx="24">
                  <c:v>0.14845682890296685</c:v>
                </c:pt>
                <c:pt idx="25">
                  <c:v>0.14571208590755769</c:v>
                </c:pt>
                <c:pt idx="26">
                  <c:v>0.14302238873677423</c:v>
                </c:pt>
                <c:pt idx="27">
                  <c:v>0.14038655305109923</c:v>
                </c:pt>
                <c:pt idx="28">
                  <c:v>0.13780342137851581</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2257-4F6B-AB63-3DBAF1870A6A}"/>
            </c:ext>
          </c:extLst>
        </c:ser>
        <c:ser>
          <c:idx val="3"/>
          <c:order val="4"/>
          <c:tx>
            <c:strRef>
              <c:f>Summary!$B$84</c:f>
              <c:strCache>
                <c:ptCount val="1"/>
                <c:pt idx="0">
                  <c:v>Emmisions Reduction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Summary!$F$84:$AR$84</c:f>
              <c:numCache>
                <c:formatCode>_(* #,##0.00_);_(* \(#,##0.00\);_(* "-"??_);_(@_)</c:formatCode>
                <c:ptCount val="39"/>
                <c:pt idx="0">
                  <c:v>0</c:v>
                </c:pt>
                <c:pt idx="1">
                  <c:v>0</c:v>
                </c:pt>
                <c:pt idx="2">
                  <c:v>0</c:v>
                </c:pt>
                <c:pt idx="3">
                  <c:v>0</c:v>
                </c:pt>
                <c:pt idx="4">
                  <c:v>0</c:v>
                </c:pt>
                <c:pt idx="5">
                  <c:v>0</c:v>
                </c:pt>
                <c:pt idx="6">
                  <c:v>0</c:v>
                </c:pt>
                <c:pt idx="7">
                  <c:v>0</c:v>
                </c:pt>
                <c:pt idx="8">
                  <c:v>0</c:v>
                </c:pt>
                <c:pt idx="9">
                  <c:v>7.6843077121651285E-3</c:v>
                </c:pt>
                <c:pt idx="10">
                  <c:v>8.3295355141039425E-3</c:v>
                </c:pt>
                <c:pt idx="11">
                  <c:v>8.9878625250612212E-3</c:v>
                </c:pt>
                <c:pt idx="12">
                  <c:v>9.5884751005887187E-3</c:v>
                </c:pt>
                <c:pt idx="13">
                  <c:v>1.003791819219902E-2</c:v>
                </c:pt>
                <c:pt idx="14">
                  <c:v>1.0451568691320461E-2</c:v>
                </c:pt>
                <c:pt idx="15">
                  <c:v>1.083660651182938E-2</c:v>
                </c:pt>
                <c:pt idx="16">
                  <c:v>1.1191785421274686E-2</c:v>
                </c:pt>
                <c:pt idx="17">
                  <c:v>1.1515279828561981E-2</c:v>
                </c:pt>
                <c:pt idx="18">
                  <c:v>1.1814860102951128E-2</c:v>
                </c:pt>
                <c:pt idx="19">
                  <c:v>1.2088704231823807E-2</c:v>
                </c:pt>
                <c:pt idx="20">
                  <c:v>1.2334489876432517E-2</c:v>
                </c:pt>
                <c:pt idx="21">
                  <c:v>1.2560490280941394E-2</c:v>
                </c:pt>
                <c:pt idx="22">
                  <c:v>1.2764382484854108E-2</c:v>
                </c:pt>
                <c:pt idx="23">
                  <c:v>1.2947273902060911E-2</c:v>
                </c:pt>
                <c:pt idx="24">
                  <c:v>1.3110225166496259E-2</c:v>
                </c:pt>
                <c:pt idx="25">
                  <c:v>1.3254251954861159E-2</c:v>
                </c:pt>
                <c:pt idx="26">
                  <c:v>1.3380326741726829E-2</c:v>
                </c:pt>
                <c:pt idx="27">
                  <c:v>1.348938048944482E-2</c:v>
                </c:pt>
                <c:pt idx="28">
                  <c:v>1.3582304275203853E-2</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2257-4F6B-AB63-3DBAF1870A6A}"/>
            </c:ext>
          </c:extLst>
        </c:ser>
        <c:ser>
          <c:idx val="2"/>
          <c:order val="5"/>
          <c:tx>
            <c:strRef>
              <c:f>Summary!$B$83</c:f>
              <c:strCache>
                <c:ptCount val="1"/>
                <c:pt idx="0">
                  <c:v>Reduced Vehicle Operating Costs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Summary!$F$83:$AR$83</c:f>
              <c:numCache>
                <c:formatCode>_(* #,##0.00_);_(* \(#,##0.00\);_(* "-"??_);_(@_)</c:formatCode>
                <c:ptCount val="39"/>
                <c:pt idx="0">
                  <c:v>0</c:v>
                </c:pt>
                <c:pt idx="1">
                  <c:v>0</c:v>
                </c:pt>
                <c:pt idx="2">
                  <c:v>0</c:v>
                </c:pt>
                <c:pt idx="3">
                  <c:v>0</c:v>
                </c:pt>
                <c:pt idx="4">
                  <c:v>0</c:v>
                </c:pt>
                <c:pt idx="5">
                  <c:v>0</c:v>
                </c:pt>
                <c:pt idx="6">
                  <c:v>0</c:v>
                </c:pt>
                <c:pt idx="7">
                  <c:v>0</c:v>
                </c:pt>
                <c:pt idx="8">
                  <c:v>0</c:v>
                </c:pt>
                <c:pt idx="9">
                  <c:v>0.4025498563980503</c:v>
                </c:pt>
                <c:pt idx="10">
                  <c:v>0.40965441099524563</c:v>
                </c:pt>
                <c:pt idx="11">
                  <c:v>0.41693804382742722</c:v>
                </c:pt>
                <c:pt idx="12">
                  <c:v>0.42413580888829228</c:v>
                </c:pt>
                <c:pt idx="13">
                  <c:v>0.428688431880902</c:v>
                </c:pt>
                <c:pt idx="14">
                  <c:v>0.43531336815919569</c:v>
                </c:pt>
                <c:pt idx="15">
                  <c:v>0.44013523972051105</c:v>
                </c:pt>
                <c:pt idx="16">
                  <c:v>0.44473850865011344</c:v>
                </c:pt>
                <c:pt idx="17">
                  <c:v>0.44833910373763403</c:v>
                </c:pt>
                <c:pt idx="18">
                  <c:v>0.45501652166907375</c:v>
                </c:pt>
                <c:pt idx="19">
                  <c:v>0.4572197688104358</c:v>
                </c:pt>
                <c:pt idx="20">
                  <c:v>0.45960846967813057</c:v>
                </c:pt>
                <c:pt idx="21">
                  <c:v>0.46207912665889628</c:v>
                </c:pt>
                <c:pt idx="22">
                  <c:v>0.46275771061215876</c:v>
                </c:pt>
                <c:pt idx="23">
                  <c:v>0.4625098197370085</c:v>
                </c:pt>
                <c:pt idx="24">
                  <c:v>0.46290904519065035</c:v>
                </c:pt>
                <c:pt idx="25">
                  <c:v>0.46004974215948813</c:v>
                </c:pt>
                <c:pt idx="26">
                  <c:v>0.4614151287379431</c:v>
                </c:pt>
                <c:pt idx="27">
                  <c:v>0.45979526467237231</c:v>
                </c:pt>
                <c:pt idx="28">
                  <c:v>0.47027715169933321</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2257-4F6B-AB63-3DBAF1870A6A}"/>
            </c:ext>
          </c:extLst>
        </c:ser>
        <c:ser>
          <c:idx val="1"/>
          <c:order val="6"/>
          <c:tx>
            <c:strRef>
              <c:f>Summary!$B$82</c:f>
              <c:strCache>
                <c:ptCount val="1"/>
                <c:pt idx="0">
                  <c:v>Travel Time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Summary!$F$82:$AR$82</c:f>
              <c:numCache>
                <c:formatCode>_(* #,##0.00_);_(* \(#,##0.00\);_(* "-"??_);_(@_)</c:formatCode>
                <c:ptCount val="39"/>
                <c:pt idx="0">
                  <c:v>0</c:v>
                </c:pt>
                <c:pt idx="1">
                  <c:v>0</c:v>
                </c:pt>
                <c:pt idx="2">
                  <c:v>0</c:v>
                </c:pt>
                <c:pt idx="3">
                  <c:v>0</c:v>
                </c:pt>
                <c:pt idx="4">
                  <c:v>0</c:v>
                </c:pt>
                <c:pt idx="5">
                  <c:v>0</c:v>
                </c:pt>
                <c:pt idx="6">
                  <c:v>0</c:v>
                </c:pt>
                <c:pt idx="7">
                  <c:v>0</c:v>
                </c:pt>
                <c:pt idx="8">
                  <c:v>0</c:v>
                </c:pt>
                <c:pt idx="9">
                  <c:v>0.91452608064465202</c:v>
                </c:pt>
                <c:pt idx="10">
                  <c:v>0.99207877396024624</c:v>
                </c:pt>
                <c:pt idx="11">
                  <c:v>1.0641409715515202</c:v>
                </c:pt>
                <c:pt idx="12">
                  <c:v>1.1309727350100229</c:v>
                </c:pt>
                <c:pt idx="13">
                  <c:v>1.1928234507560931</c:v>
                </c:pt>
                <c:pt idx="14">
                  <c:v>1.2499322368826715</c:v>
                </c:pt>
                <c:pt idx="15">
                  <c:v>1.3025283351844283</c:v>
                </c:pt>
                <c:pt idx="16">
                  <c:v>1.3508314888952828</c:v>
                </c:pt>
                <c:pt idx="17">
                  <c:v>1.395052306639327</c:v>
                </c:pt>
                <c:pt idx="18">
                  <c:v>1.435392613082709</c:v>
                </c:pt>
                <c:pt idx="19">
                  <c:v>1.4720457867571994</c:v>
                </c:pt>
                <c:pt idx="20">
                  <c:v>1.5051970855098495</c:v>
                </c:pt>
                <c:pt idx="21">
                  <c:v>1.5350239600174518</c:v>
                </c:pt>
                <c:pt idx="22">
                  <c:v>1.5616963557892867</c:v>
                </c:pt>
                <c:pt idx="23">
                  <c:v>1.5853770040669966</c:v>
                </c:pt>
                <c:pt idx="24">
                  <c:v>1.6062217020162155</c:v>
                </c:pt>
                <c:pt idx="25">
                  <c:v>1.6243795825909331</c:v>
                </c:pt>
                <c:pt idx="26">
                  <c:v>1.6399933744382784</c:v>
                </c:pt>
                <c:pt idx="27">
                  <c:v>1.6531996521987162</c:v>
                </c:pt>
                <c:pt idx="28">
                  <c:v>1.6641290775442119</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2257-4F6B-AB63-3DBAF1870A6A}"/>
            </c:ext>
          </c:extLst>
        </c:ser>
        <c:ser>
          <c:idx val="0"/>
          <c:order val="7"/>
          <c:tx>
            <c:strRef>
              <c:f>Summary!$B$81</c:f>
              <c:strCache>
                <c:ptCount val="1"/>
                <c:pt idx="0">
                  <c:v>Safety Benefits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Summary!$F$81:$AR$81</c:f>
              <c:numCache>
                <c:formatCode>_(* #,##0.00_);_(* \(#,##0.00\);_(* "-"??_);_(@_)</c:formatCode>
                <c:ptCount val="39"/>
                <c:pt idx="0">
                  <c:v>0</c:v>
                </c:pt>
                <c:pt idx="1">
                  <c:v>0</c:v>
                </c:pt>
                <c:pt idx="2">
                  <c:v>0</c:v>
                </c:pt>
                <c:pt idx="3">
                  <c:v>0</c:v>
                </c:pt>
                <c:pt idx="4">
                  <c:v>0</c:v>
                </c:pt>
                <c:pt idx="5">
                  <c:v>0</c:v>
                </c:pt>
                <c:pt idx="6">
                  <c:v>0</c:v>
                </c:pt>
                <c:pt idx="7">
                  <c:v>0</c:v>
                </c:pt>
                <c:pt idx="8">
                  <c:v>0</c:v>
                </c:pt>
                <c:pt idx="9">
                  <c:v>0.19144439719308007</c:v>
                </c:pt>
                <c:pt idx="10">
                  <c:v>0.18877909132298318</c:v>
                </c:pt>
                <c:pt idx="11">
                  <c:v>0.18615089207750063</c:v>
                </c:pt>
                <c:pt idx="12">
                  <c:v>0.18355928285491496</c:v>
                </c:pt>
                <c:pt idx="13">
                  <c:v>0.18100375424568346</c:v>
                </c:pt>
                <c:pt idx="14">
                  <c:v>0.17848380393230839</c:v>
                </c:pt>
                <c:pt idx="15">
                  <c:v>0.17599893659060059</c:v>
                </c:pt>
                <c:pt idx="16">
                  <c:v>0.17354866379231826</c:v>
                </c:pt>
                <c:pt idx="17">
                  <c:v>0.17113250390916113</c:v>
                </c:pt>
                <c:pt idx="18">
                  <c:v>0.16874998201810021</c:v>
                </c:pt>
                <c:pt idx="19">
                  <c:v>0.16640062980802744</c:v>
                </c:pt>
                <c:pt idx="20">
                  <c:v>0.16408398548770367</c:v>
                </c:pt>
                <c:pt idx="21">
                  <c:v>0.16179959369498792</c:v>
                </c:pt>
                <c:pt idx="22">
                  <c:v>0.15954700540733166</c:v>
                </c:pt>
                <c:pt idx="23">
                  <c:v>0.15732577785351787</c:v>
                </c:pt>
                <c:pt idx="24">
                  <c:v>0.1551354744266297</c:v>
                </c:pt>
                <c:pt idx="25">
                  <c:v>0.15297566459823045</c:v>
                </c:pt>
                <c:pt idx="26">
                  <c:v>0.15084592383373874</c:v>
                </c:pt>
                <c:pt idx="27">
                  <c:v>0.14874583350898105</c:v>
                </c:pt>
                <c:pt idx="28">
                  <c:v>0.14667498082790667</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2257-4F6B-AB63-3DBAF1870A6A}"/>
            </c:ext>
          </c:extLst>
        </c:ser>
        <c:ser>
          <c:idx val="12"/>
          <c:order val="8"/>
          <c:tx>
            <c:strRef>
              <c:f>Summary!$B$88</c:f>
              <c:strCache>
                <c:ptCount val="1"/>
                <c:pt idx="0">
                  <c:v>Reduced Maintenance</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Summary!$F$88:$AR$88</c:f>
              <c:numCache>
                <c:formatCode>_(* #,##0.00_);_(* \(#,##0.00\);_(* "-"??_);_(@_)</c:formatCode>
                <c:ptCount val="39"/>
                <c:pt idx="0">
                  <c:v>0</c:v>
                </c:pt>
                <c:pt idx="1">
                  <c:v>0</c:v>
                </c:pt>
                <c:pt idx="2">
                  <c:v>0</c:v>
                </c:pt>
                <c:pt idx="3">
                  <c:v>0</c:v>
                </c:pt>
                <c:pt idx="4">
                  <c:v>0</c:v>
                </c:pt>
                <c:pt idx="5">
                  <c:v>0</c:v>
                </c:pt>
                <c:pt idx="6">
                  <c:v>0</c:v>
                </c:pt>
                <c:pt idx="7">
                  <c:v>0</c:v>
                </c:pt>
                <c:pt idx="8">
                  <c:v>0</c:v>
                </c:pt>
                <c:pt idx="9">
                  <c:v>-0.27202333436750414</c:v>
                </c:pt>
                <c:pt idx="10">
                  <c:v>0</c:v>
                </c:pt>
                <c:pt idx="11">
                  <c:v>0</c:v>
                </c:pt>
                <c:pt idx="12">
                  <c:v>1.1432130069408488</c:v>
                </c:pt>
                <c:pt idx="13">
                  <c:v>0</c:v>
                </c:pt>
                <c:pt idx="14">
                  <c:v>0</c:v>
                </c:pt>
                <c:pt idx="15">
                  <c:v>0</c:v>
                </c:pt>
                <c:pt idx="16">
                  <c:v>0</c:v>
                </c:pt>
                <c:pt idx="17">
                  <c:v>0.6087917985481166</c:v>
                </c:pt>
                <c:pt idx="18">
                  <c:v>0</c:v>
                </c:pt>
                <c:pt idx="19">
                  <c:v>0</c:v>
                </c:pt>
                <c:pt idx="20">
                  <c:v>0</c:v>
                </c:pt>
                <c:pt idx="21">
                  <c:v>0</c:v>
                </c:pt>
                <c:pt idx="22">
                  <c:v>0</c:v>
                </c:pt>
                <c:pt idx="23">
                  <c:v>0</c:v>
                </c:pt>
                <c:pt idx="24">
                  <c:v>0</c:v>
                </c:pt>
                <c:pt idx="25">
                  <c:v>0</c:v>
                </c:pt>
                <c:pt idx="26">
                  <c:v>0</c:v>
                </c:pt>
                <c:pt idx="27">
                  <c:v>0.72318128354455868</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C-2257-4F6B-AB63-3DBAF1870A6A}"/>
            </c:ext>
          </c:extLst>
        </c:ser>
        <c:ser>
          <c:idx val="11"/>
          <c:order val="9"/>
          <c:tx>
            <c:strRef>
              <c:f>Summary!$B$93</c:f>
              <c:strCache>
                <c:ptCount val="1"/>
                <c:pt idx="0">
                  <c:v>Capital Cost</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Summary!$F$93:$AR$93</c:f>
              <c:numCache>
                <c:formatCode>_(* #,##0.00_);_(* \(#,##0.00\);_(* "-"??_);_(@_)</c:formatCode>
                <c:ptCount val="39"/>
                <c:pt idx="0">
                  <c:v>0</c:v>
                </c:pt>
                <c:pt idx="1">
                  <c:v>0</c:v>
                </c:pt>
                <c:pt idx="2">
                  <c:v>0</c:v>
                </c:pt>
                <c:pt idx="3">
                  <c:v>0</c:v>
                </c:pt>
                <c:pt idx="4">
                  <c:v>0</c:v>
                </c:pt>
                <c:pt idx="5">
                  <c:v>0</c:v>
                </c:pt>
                <c:pt idx="6">
                  <c:v>-2.3237086109699892</c:v>
                </c:pt>
                <c:pt idx="7">
                  <c:v>-10.9696582615832</c:v>
                </c:pt>
                <c:pt idx="8">
                  <c:v>-10.63982372607488</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B-2257-4F6B-AB63-3DBAF1870A6A}"/>
            </c:ext>
          </c:extLst>
        </c:ser>
        <c:dLbls>
          <c:showLegendKey val="0"/>
          <c:showVal val="0"/>
          <c:showCatName val="0"/>
          <c:showSerName val="0"/>
          <c:showPercent val="0"/>
          <c:showBubbleSize val="0"/>
        </c:dLbls>
        <c:gapWidth val="28"/>
        <c:overlap val="100"/>
        <c:axId val="1165317983"/>
        <c:axId val="1165329631"/>
      </c:barChart>
      <c:dateAx>
        <c:axId val="1165317983"/>
        <c:scaling>
          <c:orientation val="minMax"/>
          <c:min val="2023"/>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*3.1% discount factor includes 2% discount for CO2</a:t>
                </a:r>
              </a:p>
            </c:rich>
          </c:tx>
          <c:layout>
            <c:manualLayout>
              <c:xMode val="edge"/>
              <c:yMode val="edge"/>
              <c:x val="0.33038306381915028"/>
              <c:y val="0.9307065616797898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29631"/>
        <c:crosses val="autoZero"/>
        <c:auto val="0"/>
        <c:lblOffset val="100"/>
        <c:baseTimeUnit val="days"/>
      </c:dateAx>
      <c:valAx>
        <c:axId val="1165329631"/>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 millions ($2022)</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17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Breakdown of Present Value of Benefits</a:t>
            </a:r>
          </a:p>
          <a:p>
            <a:pPr>
              <a:defRPr/>
            </a:pPr>
            <a:r>
              <a:rPr lang="en-US"/>
              <a:t>Discounted at 3.1% (CO2 discounted @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A1-4420-96AC-F717026DEA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A1-4420-96AC-F717026DEA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BA1-4420-96AC-F717026DEA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BA1-4420-96AC-F717026DEA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A1-4420-96AC-F717026DEA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BA1-4420-96AC-F717026DEA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A1-4420-96AC-F717026DEA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A1-4420-96AC-F717026DEA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A1-4420-96AC-F717026DEA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Summary!$B$13:$B$21</c:f>
              <c:strCache>
                <c:ptCount val="9"/>
                <c:pt idx="0">
                  <c:v>Safety Benefits</c:v>
                </c:pt>
                <c:pt idx="1">
                  <c:v>Travel Time </c:v>
                </c:pt>
                <c:pt idx="2">
                  <c:v>Reduced Vehicle Operating Costs</c:v>
                </c:pt>
                <c:pt idx="3">
                  <c:v>Emissions Reduction*</c:v>
                </c:pt>
                <c:pt idx="4">
                  <c:v>Pedestrian / Cycling Improvements</c:v>
                </c:pt>
                <c:pt idx="5">
                  <c:v>Induced Pedestrian Demand</c:v>
                </c:pt>
                <c:pt idx="6">
                  <c:v>Reduced Bridge Hits</c:v>
                </c:pt>
                <c:pt idx="7">
                  <c:v>Reduced Maintenance Costs</c:v>
                </c:pt>
                <c:pt idx="8">
                  <c:v>Residual Value</c:v>
                </c:pt>
              </c:strCache>
            </c:strRef>
          </c:cat>
          <c:val>
            <c:numRef>
              <c:f>Summary!$F$13:$F$21</c:f>
              <c:numCache>
                <c:formatCode>0.0%</c:formatCode>
                <c:ptCount val="9"/>
                <c:pt idx="0">
                  <c:v>6.8278843979335813E-2</c:v>
                </c:pt>
                <c:pt idx="1">
                  <c:v>0.5660592572679386</c:v>
                </c:pt>
                <c:pt idx="2">
                  <c:v>0.18121931372826175</c:v>
                </c:pt>
                <c:pt idx="3">
                  <c:v>4.6695178141667104E-3</c:v>
                </c:pt>
                <c:pt idx="4">
                  <c:v>6.566121737940743E-2</c:v>
                </c:pt>
                <c:pt idx="5">
                  <c:v>3.5697937501587118E-2</c:v>
                </c:pt>
                <c:pt idx="6">
                  <c:v>4.3539323780243211E-4</c:v>
                </c:pt>
                <c:pt idx="7">
                  <c:v>4.4738884247964336E-2</c:v>
                </c:pt>
                <c:pt idx="8">
                  <c:v>3.323963484353578E-2</c:v>
                </c:pt>
              </c:numCache>
            </c:numRef>
          </c:val>
          <c:extLst>
            <c:ext xmlns:c16="http://schemas.microsoft.com/office/drawing/2014/chart" uri="{C3380CC4-5D6E-409C-BE32-E72D297353CC}">
              <c16:uniqueId val="{00000000-96F8-47ED-A323-3A9AFC849DD2}"/>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6</xdr:col>
      <xdr:colOff>142874</xdr:colOff>
      <xdr:row>10</xdr:row>
      <xdr:rowOff>28574</xdr:rowOff>
    </xdr:from>
    <xdr:to>
      <xdr:col>16</xdr:col>
      <xdr:colOff>400049</xdr:colOff>
      <xdr:row>35</xdr:row>
      <xdr:rowOff>47624</xdr:rowOff>
    </xdr:to>
    <xdr:graphicFrame macro="">
      <xdr:nvGraphicFramePr>
        <xdr:cNvPr id="5" name="Chart 1">
          <a:extLst>
            <a:ext uri="{FF2B5EF4-FFF2-40B4-BE49-F238E27FC236}">
              <a16:creationId xmlns:a16="http://schemas.microsoft.com/office/drawing/2014/main" id="{8F9B3F7D-EE47-40D9-BEBC-30B7EEE6F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519112</xdr:colOff>
      <xdr:row>10</xdr:row>
      <xdr:rowOff>42861</xdr:rowOff>
    </xdr:from>
    <xdr:to>
      <xdr:col>22</xdr:col>
      <xdr:colOff>876300</xdr:colOff>
      <xdr:row>35</xdr:row>
      <xdr:rowOff>28574</xdr:rowOff>
    </xdr:to>
    <xdr:graphicFrame macro="">
      <xdr:nvGraphicFramePr>
        <xdr:cNvPr id="2" name="Chart 1">
          <a:extLst>
            <a:ext uri="{FF2B5EF4-FFF2-40B4-BE49-F238E27FC236}">
              <a16:creationId xmlns:a16="http://schemas.microsoft.com/office/drawing/2014/main" id="{6606F5BC-C543-7260-B76A-D437ADDFC4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390525</xdr:colOff>
      <xdr:row>147</xdr:row>
      <xdr:rowOff>114300</xdr:rowOff>
    </xdr:from>
    <xdr:to>
      <xdr:col>3</xdr:col>
      <xdr:colOff>800100</xdr:colOff>
      <xdr:row>147</xdr:row>
      <xdr:rowOff>123825</xdr:rowOff>
    </xdr:to>
    <xdr:cxnSp macro="">
      <xdr:nvCxnSpPr>
        <xdr:cNvPr id="3" name="Straight Arrow Connector 2">
          <a:extLst>
            <a:ext uri="{FF2B5EF4-FFF2-40B4-BE49-F238E27FC236}">
              <a16:creationId xmlns:a16="http://schemas.microsoft.com/office/drawing/2014/main" id="{389F3AA6-BF08-3824-0A72-4E5CB0EFBAE4}"/>
            </a:ext>
          </a:extLst>
        </xdr:cNvPr>
        <xdr:cNvCxnSpPr/>
      </xdr:nvCxnSpPr>
      <xdr:spPr>
        <a:xfrm>
          <a:off x="17945100" y="52892325"/>
          <a:ext cx="19431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41</xdr:row>
      <xdr:rowOff>0</xdr:rowOff>
    </xdr:from>
    <xdr:to>
      <xdr:col>7</xdr:col>
      <xdr:colOff>117555</xdr:colOff>
      <xdr:row>75</xdr:row>
      <xdr:rowOff>41094</xdr:rowOff>
    </xdr:to>
    <xdr:pic>
      <xdr:nvPicPr>
        <xdr:cNvPr id="2" name="Picture 1">
          <a:extLst>
            <a:ext uri="{FF2B5EF4-FFF2-40B4-BE49-F238E27FC236}">
              <a16:creationId xmlns:a16="http://schemas.microsoft.com/office/drawing/2014/main" id="{8392E03B-5952-1A19-06B4-FF55F8DEFC8B}"/>
            </a:ext>
          </a:extLst>
        </xdr:cNvPr>
        <xdr:cNvPicPr>
          <a:picLocks noChangeAspect="1"/>
        </xdr:cNvPicPr>
      </xdr:nvPicPr>
      <xdr:blipFill>
        <a:blip xmlns:r="http://schemas.openxmlformats.org/officeDocument/2006/relationships" r:embed="rId1"/>
        <a:stretch>
          <a:fillRect/>
        </a:stretch>
      </xdr:blipFill>
      <xdr:spPr>
        <a:xfrm>
          <a:off x="3286125" y="8620125"/>
          <a:ext cx="4438095" cy="6523809"/>
        </a:xfrm>
        <a:prstGeom prst="rect">
          <a:avLst/>
        </a:prstGeom>
      </xdr:spPr>
    </xdr:pic>
    <xdr:clientData/>
  </xdr:twoCellAnchor>
  <xdr:twoCellAnchor editAs="oneCell">
    <xdr:from>
      <xdr:col>3</xdr:col>
      <xdr:colOff>0</xdr:colOff>
      <xdr:row>77</xdr:row>
      <xdr:rowOff>0</xdr:rowOff>
    </xdr:from>
    <xdr:to>
      <xdr:col>7</xdr:col>
      <xdr:colOff>79460</xdr:colOff>
      <xdr:row>98</xdr:row>
      <xdr:rowOff>148073</xdr:rowOff>
    </xdr:to>
    <xdr:pic>
      <xdr:nvPicPr>
        <xdr:cNvPr id="4" name="Picture 3">
          <a:extLst>
            <a:ext uri="{FF2B5EF4-FFF2-40B4-BE49-F238E27FC236}">
              <a16:creationId xmlns:a16="http://schemas.microsoft.com/office/drawing/2014/main" id="{F4AEBBFE-BD36-081F-5063-7CB2FF68EE58}"/>
            </a:ext>
          </a:extLst>
        </xdr:cNvPr>
        <xdr:cNvPicPr>
          <a:picLocks noChangeAspect="1"/>
        </xdr:cNvPicPr>
      </xdr:nvPicPr>
      <xdr:blipFill>
        <a:blip xmlns:r="http://schemas.openxmlformats.org/officeDocument/2006/relationships" r:embed="rId2"/>
        <a:stretch>
          <a:fillRect/>
        </a:stretch>
      </xdr:blipFill>
      <xdr:spPr>
        <a:xfrm>
          <a:off x="3286125" y="15478125"/>
          <a:ext cx="4400000" cy="4133333"/>
        </a:xfrm>
        <a:prstGeom prst="rect">
          <a:avLst/>
        </a:prstGeom>
      </xdr:spPr>
    </xdr:pic>
    <xdr:clientData/>
  </xdr:twoCellAnchor>
  <xdr:twoCellAnchor editAs="oneCell">
    <xdr:from>
      <xdr:col>8</xdr:col>
      <xdr:colOff>0</xdr:colOff>
      <xdr:row>41</xdr:row>
      <xdr:rowOff>0</xdr:rowOff>
    </xdr:from>
    <xdr:to>
      <xdr:col>10</xdr:col>
      <xdr:colOff>1756812</xdr:colOff>
      <xdr:row>76</xdr:row>
      <xdr:rowOff>2975</xdr:rowOff>
    </xdr:to>
    <xdr:pic>
      <xdr:nvPicPr>
        <xdr:cNvPr id="5" name="Picture 4">
          <a:extLst>
            <a:ext uri="{FF2B5EF4-FFF2-40B4-BE49-F238E27FC236}">
              <a16:creationId xmlns:a16="http://schemas.microsoft.com/office/drawing/2014/main" id="{87314FB7-2DD1-582B-C273-E4F2A717F974}"/>
            </a:ext>
          </a:extLst>
        </xdr:cNvPr>
        <xdr:cNvPicPr>
          <a:picLocks noChangeAspect="1"/>
        </xdr:cNvPicPr>
      </xdr:nvPicPr>
      <xdr:blipFill>
        <a:blip xmlns:r="http://schemas.openxmlformats.org/officeDocument/2006/relationships" r:embed="rId3"/>
        <a:stretch>
          <a:fillRect/>
        </a:stretch>
      </xdr:blipFill>
      <xdr:spPr>
        <a:xfrm>
          <a:off x="8620125" y="8620125"/>
          <a:ext cx="4400000" cy="6676190"/>
        </a:xfrm>
        <a:prstGeom prst="rect">
          <a:avLst/>
        </a:prstGeom>
      </xdr:spPr>
    </xdr:pic>
    <xdr:clientData/>
  </xdr:twoCellAnchor>
  <xdr:twoCellAnchor editAs="oneCell">
    <xdr:from>
      <xdr:col>8</xdr:col>
      <xdr:colOff>0</xdr:colOff>
      <xdr:row>79</xdr:row>
      <xdr:rowOff>0</xdr:rowOff>
    </xdr:from>
    <xdr:to>
      <xdr:col>10</xdr:col>
      <xdr:colOff>1718716</xdr:colOff>
      <xdr:row>94</xdr:row>
      <xdr:rowOff>3452</xdr:rowOff>
    </xdr:to>
    <xdr:pic>
      <xdr:nvPicPr>
        <xdr:cNvPr id="6" name="Picture 5">
          <a:extLst>
            <a:ext uri="{FF2B5EF4-FFF2-40B4-BE49-F238E27FC236}">
              <a16:creationId xmlns:a16="http://schemas.microsoft.com/office/drawing/2014/main" id="{458E14CF-422D-8F46-9C1D-CFDF28AD41B4}"/>
            </a:ext>
          </a:extLst>
        </xdr:cNvPr>
        <xdr:cNvPicPr>
          <a:picLocks noChangeAspect="1"/>
        </xdr:cNvPicPr>
      </xdr:nvPicPr>
      <xdr:blipFill>
        <a:blip xmlns:r="http://schemas.openxmlformats.org/officeDocument/2006/relationships" r:embed="rId4"/>
        <a:stretch>
          <a:fillRect/>
        </a:stretch>
      </xdr:blipFill>
      <xdr:spPr>
        <a:xfrm>
          <a:off x="8620125" y="15859125"/>
          <a:ext cx="4371429" cy="2866667"/>
        </a:xfrm>
        <a:prstGeom prst="rect">
          <a:avLst/>
        </a:prstGeom>
      </xdr:spPr>
    </xdr:pic>
    <xdr:clientData/>
  </xdr:twoCellAnchor>
  <xdr:twoCellAnchor editAs="oneCell">
    <xdr:from>
      <xdr:col>8</xdr:col>
      <xdr:colOff>0</xdr:colOff>
      <xdr:row>96</xdr:row>
      <xdr:rowOff>0</xdr:rowOff>
    </xdr:from>
    <xdr:to>
      <xdr:col>10</xdr:col>
      <xdr:colOff>1794907</xdr:colOff>
      <xdr:row>124</xdr:row>
      <xdr:rowOff>33620</xdr:rowOff>
    </xdr:to>
    <xdr:pic>
      <xdr:nvPicPr>
        <xdr:cNvPr id="7" name="Picture 6">
          <a:extLst>
            <a:ext uri="{FF2B5EF4-FFF2-40B4-BE49-F238E27FC236}">
              <a16:creationId xmlns:a16="http://schemas.microsoft.com/office/drawing/2014/main" id="{6AA16203-E63C-5A76-A0B3-AB2F78AB37AE}"/>
            </a:ext>
          </a:extLst>
        </xdr:cNvPr>
        <xdr:cNvPicPr>
          <a:picLocks noChangeAspect="1"/>
        </xdr:cNvPicPr>
      </xdr:nvPicPr>
      <xdr:blipFill>
        <a:blip xmlns:r="http://schemas.openxmlformats.org/officeDocument/2006/relationships" r:embed="rId5"/>
        <a:stretch>
          <a:fillRect/>
        </a:stretch>
      </xdr:blipFill>
      <xdr:spPr>
        <a:xfrm>
          <a:off x="8620125" y="19097625"/>
          <a:ext cx="4438095" cy="5361905"/>
        </a:xfrm>
        <a:prstGeom prst="rect">
          <a:avLst/>
        </a:prstGeom>
      </xdr:spPr>
    </xdr:pic>
    <xdr:clientData/>
  </xdr:twoCellAnchor>
  <xdr:twoCellAnchor>
    <xdr:from>
      <xdr:col>10</xdr:col>
      <xdr:colOff>1670538</xdr:colOff>
      <xdr:row>123</xdr:row>
      <xdr:rowOff>117231</xdr:rowOff>
    </xdr:from>
    <xdr:to>
      <xdr:col>11</xdr:col>
      <xdr:colOff>205153</xdr:colOff>
      <xdr:row>123</xdr:row>
      <xdr:rowOff>124558</xdr:rowOff>
    </xdr:to>
    <xdr:cxnSp macro="">
      <xdr:nvCxnSpPr>
        <xdr:cNvPr id="9" name="Straight Arrow Connector 8">
          <a:extLst>
            <a:ext uri="{FF2B5EF4-FFF2-40B4-BE49-F238E27FC236}">
              <a16:creationId xmlns:a16="http://schemas.microsoft.com/office/drawing/2014/main" id="{E7B57EB6-1889-6DF0-236B-30AC845D331A}"/>
            </a:ext>
          </a:extLst>
        </xdr:cNvPr>
        <xdr:cNvCxnSpPr/>
      </xdr:nvCxnSpPr>
      <xdr:spPr>
        <a:xfrm flipV="1">
          <a:off x="12954000" y="24596481"/>
          <a:ext cx="1582615" cy="73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1589599</xdr:colOff>
      <xdr:row>102</xdr:row>
      <xdr:rowOff>76200</xdr:rowOff>
    </xdr:from>
    <xdr:to>
      <xdr:col>11</xdr:col>
      <xdr:colOff>15240</xdr:colOff>
      <xdr:row>103</xdr:row>
      <xdr:rowOff>73588</xdr:rowOff>
    </xdr:to>
    <xdr:cxnSp macro="">
      <xdr:nvCxnSpPr>
        <xdr:cNvPr id="12" name="Straight Arrow Connector 11">
          <a:extLst>
            <a:ext uri="{FF2B5EF4-FFF2-40B4-BE49-F238E27FC236}">
              <a16:creationId xmlns:a16="http://schemas.microsoft.com/office/drawing/2014/main" id="{A10C5F58-F777-4585-AFAA-0E32A23BAD0C}"/>
            </a:ext>
          </a:extLst>
        </xdr:cNvPr>
        <xdr:cNvCxnSpPr/>
      </xdr:nvCxnSpPr>
      <xdr:spPr>
        <a:xfrm flipV="1">
          <a:off x="12783379" y="20551140"/>
          <a:ext cx="1587941" cy="1878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1143000</xdr:colOff>
      <xdr:row>100</xdr:row>
      <xdr:rowOff>7620</xdr:rowOff>
    </xdr:from>
    <xdr:to>
      <xdr:col>10</xdr:col>
      <xdr:colOff>1554480</xdr:colOff>
      <xdr:row>101</xdr:row>
      <xdr:rowOff>91440</xdr:rowOff>
    </xdr:to>
    <xdr:sp macro="" textlink="">
      <xdr:nvSpPr>
        <xdr:cNvPr id="3" name="Rectangle 2">
          <a:extLst>
            <a:ext uri="{FF2B5EF4-FFF2-40B4-BE49-F238E27FC236}">
              <a16:creationId xmlns:a16="http://schemas.microsoft.com/office/drawing/2014/main" id="{9F228670-67B1-F6FD-4F5F-CD64F1874521}"/>
            </a:ext>
          </a:extLst>
        </xdr:cNvPr>
        <xdr:cNvSpPr/>
      </xdr:nvSpPr>
      <xdr:spPr>
        <a:xfrm>
          <a:off x="12336780" y="20101560"/>
          <a:ext cx="411480" cy="2743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1607820</xdr:colOff>
      <xdr:row>99</xdr:row>
      <xdr:rowOff>114300</xdr:rowOff>
    </xdr:from>
    <xdr:to>
      <xdr:col>11</xdr:col>
      <xdr:colOff>19050</xdr:colOff>
      <xdr:row>100</xdr:row>
      <xdr:rowOff>45720</xdr:rowOff>
    </xdr:to>
    <xdr:cxnSp macro="">
      <xdr:nvCxnSpPr>
        <xdr:cNvPr id="8" name="Straight Arrow Connector 7">
          <a:extLst>
            <a:ext uri="{FF2B5EF4-FFF2-40B4-BE49-F238E27FC236}">
              <a16:creationId xmlns:a16="http://schemas.microsoft.com/office/drawing/2014/main" id="{9B5824C9-A17F-421C-9028-D5FD33863042}"/>
            </a:ext>
          </a:extLst>
        </xdr:cNvPr>
        <xdr:cNvCxnSpPr/>
      </xdr:nvCxnSpPr>
      <xdr:spPr>
        <a:xfrm flipV="1">
          <a:off x="12801600" y="20017740"/>
          <a:ext cx="1573530" cy="1219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1638300</xdr:colOff>
      <xdr:row>100</xdr:row>
      <xdr:rowOff>114300</xdr:rowOff>
    </xdr:from>
    <xdr:to>
      <xdr:col>11</xdr:col>
      <xdr:colOff>19050</xdr:colOff>
      <xdr:row>100</xdr:row>
      <xdr:rowOff>144780</xdr:rowOff>
    </xdr:to>
    <xdr:cxnSp macro="">
      <xdr:nvCxnSpPr>
        <xdr:cNvPr id="20" name="Straight Arrow Connector 19">
          <a:extLst>
            <a:ext uri="{FF2B5EF4-FFF2-40B4-BE49-F238E27FC236}">
              <a16:creationId xmlns:a16="http://schemas.microsoft.com/office/drawing/2014/main" id="{5D83DD2E-F271-46D9-A267-C24A39790911}"/>
            </a:ext>
          </a:extLst>
        </xdr:cNvPr>
        <xdr:cNvCxnSpPr/>
      </xdr:nvCxnSpPr>
      <xdr:spPr>
        <a:xfrm flipV="1">
          <a:off x="12832080" y="20208240"/>
          <a:ext cx="1543050" cy="304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1630680</xdr:colOff>
      <xdr:row>101</xdr:row>
      <xdr:rowOff>68580</xdr:rowOff>
    </xdr:from>
    <xdr:to>
      <xdr:col>11</xdr:col>
      <xdr:colOff>19050</xdr:colOff>
      <xdr:row>101</xdr:row>
      <xdr:rowOff>114300</xdr:rowOff>
    </xdr:to>
    <xdr:cxnSp macro="">
      <xdr:nvCxnSpPr>
        <xdr:cNvPr id="21" name="Straight Arrow Connector 20">
          <a:extLst>
            <a:ext uri="{FF2B5EF4-FFF2-40B4-BE49-F238E27FC236}">
              <a16:creationId xmlns:a16="http://schemas.microsoft.com/office/drawing/2014/main" id="{D1A3D42A-3385-487B-8006-A196FAE3E1EE}"/>
            </a:ext>
          </a:extLst>
        </xdr:cNvPr>
        <xdr:cNvCxnSpPr/>
      </xdr:nvCxnSpPr>
      <xdr:spPr>
        <a:xfrm>
          <a:off x="12824460" y="20353020"/>
          <a:ext cx="1550670" cy="45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57</xdr:row>
      <xdr:rowOff>0</xdr:rowOff>
    </xdr:from>
    <xdr:to>
      <xdr:col>25</xdr:col>
      <xdr:colOff>415214</xdr:colOff>
      <xdr:row>96</xdr:row>
      <xdr:rowOff>33426</xdr:rowOff>
    </xdr:to>
    <xdr:pic>
      <xdr:nvPicPr>
        <xdr:cNvPr id="2" name="Picture 1">
          <a:extLst>
            <a:ext uri="{FF2B5EF4-FFF2-40B4-BE49-F238E27FC236}">
              <a16:creationId xmlns:a16="http://schemas.microsoft.com/office/drawing/2014/main" id="{5B665E5A-1206-2199-4FD7-A2F7B68BB480}"/>
            </a:ext>
          </a:extLst>
        </xdr:cNvPr>
        <xdr:cNvPicPr>
          <a:picLocks noChangeAspect="1"/>
        </xdr:cNvPicPr>
      </xdr:nvPicPr>
      <xdr:blipFill>
        <a:blip xmlns:r="http://schemas.openxmlformats.org/officeDocument/2006/relationships" r:embed="rId1"/>
        <a:stretch>
          <a:fillRect/>
        </a:stretch>
      </xdr:blipFill>
      <xdr:spPr>
        <a:xfrm>
          <a:off x="3914775" y="8372475"/>
          <a:ext cx="13108229" cy="7459116"/>
        </a:xfrm>
        <a:prstGeom prst="rect">
          <a:avLst/>
        </a:prstGeom>
      </xdr:spPr>
    </xdr:pic>
    <xdr:clientData/>
  </xdr:twoCellAnchor>
  <xdr:twoCellAnchor>
    <xdr:from>
      <xdr:col>9</xdr:col>
      <xdr:colOff>65943</xdr:colOff>
      <xdr:row>87</xdr:row>
      <xdr:rowOff>175846</xdr:rowOff>
    </xdr:from>
    <xdr:to>
      <xdr:col>10</xdr:col>
      <xdr:colOff>234462</xdr:colOff>
      <xdr:row>97</xdr:row>
      <xdr:rowOff>29307</xdr:rowOff>
    </xdr:to>
    <xdr:sp macro="" textlink="">
      <xdr:nvSpPr>
        <xdr:cNvPr id="3" name="Rectangle: Rounded Corners 2">
          <a:extLst>
            <a:ext uri="{FF2B5EF4-FFF2-40B4-BE49-F238E27FC236}">
              <a16:creationId xmlns:a16="http://schemas.microsoft.com/office/drawing/2014/main" id="{EE08866E-B2EC-50BF-8215-DEE9D98DFCB4}"/>
            </a:ext>
          </a:extLst>
        </xdr:cNvPr>
        <xdr:cNvSpPr/>
      </xdr:nvSpPr>
      <xdr:spPr>
        <a:xfrm>
          <a:off x="6411058" y="14221558"/>
          <a:ext cx="776654"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0</xdr:colOff>
      <xdr:row>106</xdr:row>
      <xdr:rowOff>0</xdr:rowOff>
    </xdr:from>
    <xdr:to>
      <xdr:col>25</xdr:col>
      <xdr:colOff>148754</xdr:colOff>
      <xdr:row>144</xdr:row>
      <xdr:rowOff>2917</xdr:rowOff>
    </xdr:to>
    <xdr:pic>
      <xdr:nvPicPr>
        <xdr:cNvPr id="4" name="Picture 3">
          <a:extLst>
            <a:ext uri="{FF2B5EF4-FFF2-40B4-BE49-F238E27FC236}">
              <a16:creationId xmlns:a16="http://schemas.microsoft.com/office/drawing/2014/main" id="{E3978922-7371-68AE-40A4-CDE55BDD5208}"/>
            </a:ext>
          </a:extLst>
        </xdr:cNvPr>
        <xdr:cNvPicPr>
          <a:picLocks noChangeAspect="1"/>
        </xdr:cNvPicPr>
      </xdr:nvPicPr>
      <xdr:blipFill>
        <a:blip xmlns:r="http://schemas.openxmlformats.org/officeDocument/2006/relationships" r:embed="rId2"/>
        <a:stretch>
          <a:fillRect/>
        </a:stretch>
      </xdr:blipFill>
      <xdr:spPr>
        <a:xfrm>
          <a:off x="3932464" y="16832036"/>
          <a:ext cx="12879597" cy="7249537"/>
        </a:xfrm>
        <a:prstGeom prst="rect">
          <a:avLst/>
        </a:prstGeom>
      </xdr:spPr>
    </xdr:pic>
    <xdr:clientData/>
  </xdr:twoCellAnchor>
  <xdr:twoCellAnchor>
    <xdr:from>
      <xdr:col>9</xdr:col>
      <xdr:colOff>0</xdr:colOff>
      <xdr:row>136</xdr:row>
      <xdr:rowOff>136071</xdr:rowOff>
    </xdr:from>
    <xdr:to>
      <xdr:col>10</xdr:col>
      <xdr:colOff>168519</xdr:colOff>
      <xdr:row>145</xdr:row>
      <xdr:rowOff>180032</xdr:rowOff>
    </xdr:to>
    <xdr:sp macro="" textlink="">
      <xdr:nvSpPr>
        <xdr:cNvPr id="5" name="Rectangle: Rounded Corners 4">
          <a:extLst>
            <a:ext uri="{FF2B5EF4-FFF2-40B4-BE49-F238E27FC236}">
              <a16:creationId xmlns:a16="http://schemas.microsoft.com/office/drawing/2014/main" id="{70BE4513-BB4F-470D-A51F-A831357D58F9}"/>
            </a:ext>
          </a:extLst>
        </xdr:cNvPr>
        <xdr:cNvSpPr/>
      </xdr:nvSpPr>
      <xdr:spPr>
        <a:xfrm>
          <a:off x="6381750" y="22683107"/>
          <a:ext cx="780840"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71</xdr:row>
      <xdr:rowOff>0</xdr:rowOff>
    </xdr:from>
    <xdr:to>
      <xdr:col>8</xdr:col>
      <xdr:colOff>590550</xdr:colOff>
      <xdr:row>92</xdr:row>
      <xdr:rowOff>85725</xdr:rowOff>
    </xdr:to>
    <xdr:cxnSp macro="">
      <xdr:nvCxnSpPr>
        <xdr:cNvPr id="7" name="Straight Arrow Connector 6">
          <a:extLst>
            <a:ext uri="{FF2B5EF4-FFF2-40B4-BE49-F238E27FC236}">
              <a16:creationId xmlns:a16="http://schemas.microsoft.com/office/drawing/2014/main" id="{B11986EF-B481-03DF-7E01-511EE1797884}"/>
            </a:ext>
          </a:extLst>
        </xdr:cNvPr>
        <xdr:cNvCxnSpPr/>
      </xdr:nvCxnSpPr>
      <xdr:spPr>
        <a:xfrm flipH="1" flipV="1">
          <a:off x="3419475" y="13935075"/>
          <a:ext cx="2914650" cy="4086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xdr:colOff>
      <xdr:row>53</xdr:row>
      <xdr:rowOff>104775</xdr:rowOff>
    </xdr:from>
    <xdr:to>
      <xdr:col>14</xdr:col>
      <xdr:colOff>66675</xdr:colOff>
      <xdr:row>60</xdr:row>
      <xdr:rowOff>142875</xdr:rowOff>
    </xdr:to>
    <xdr:cxnSp macro="">
      <xdr:nvCxnSpPr>
        <xdr:cNvPr id="8" name="Straight Arrow Connector 7">
          <a:extLst>
            <a:ext uri="{FF2B5EF4-FFF2-40B4-BE49-F238E27FC236}">
              <a16:creationId xmlns:a16="http://schemas.microsoft.com/office/drawing/2014/main" id="{89D44FD7-C714-4573-BE2C-CF1C48895499}"/>
            </a:ext>
          </a:extLst>
        </xdr:cNvPr>
        <xdr:cNvCxnSpPr/>
      </xdr:nvCxnSpPr>
      <xdr:spPr>
        <a:xfrm flipH="1" flipV="1">
          <a:off x="8810625" y="10610850"/>
          <a:ext cx="657225" cy="1371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180975</xdr:colOff>
      <xdr:row>115</xdr:row>
      <xdr:rowOff>171450</xdr:rowOff>
    </xdr:from>
    <xdr:to>
      <xdr:col>9</xdr:col>
      <xdr:colOff>47625</xdr:colOff>
      <xdr:row>137</xdr:row>
      <xdr:rowOff>66675</xdr:rowOff>
    </xdr:to>
    <xdr:cxnSp macro="">
      <xdr:nvCxnSpPr>
        <xdr:cNvPr id="10" name="Straight Arrow Connector 9">
          <a:extLst>
            <a:ext uri="{FF2B5EF4-FFF2-40B4-BE49-F238E27FC236}">
              <a16:creationId xmlns:a16="http://schemas.microsoft.com/office/drawing/2014/main" id="{DA5C7381-A19D-401C-864A-48078656D0DA}"/>
            </a:ext>
          </a:extLst>
        </xdr:cNvPr>
        <xdr:cNvCxnSpPr/>
      </xdr:nvCxnSpPr>
      <xdr:spPr>
        <a:xfrm flipH="1" flipV="1">
          <a:off x="3486150" y="21536025"/>
          <a:ext cx="2914650" cy="4086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400050</xdr:colOff>
      <xdr:row>102</xdr:row>
      <xdr:rowOff>19050</xdr:rowOff>
    </xdr:from>
    <xdr:to>
      <xdr:col>13</xdr:col>
      <xdr:colOff>447675</xdr:colOff>
      <xdr:row>109</xdr:row>
      <xdr:rowOff>57150</xdr:rowOff>
    </xdr:to>
    <xdr:cxnSp macro="">
      <xdr:nvCxnSpPr>
        <xdr:cNvPr id="11" name="Straight Arrow Connector 10">
          <a:extLst>
            <a:ext uri="{FF2B5EF4-FFF2-40B4-BE49-F238E27FC236}">
              <a16:creationId xmlns:a16="http://schemas.microsoft.com/office/drawing/2014/main" id="{80E25F38-ADC1-4E06-A15F-D94EF0DC85CE}"/>
            </a:ext>
          </a:extLst>
        </xdr:cNvPr>
        <xdr:cNvCxnSpPr/>
      </xdr:nvCxnSpPr>
      <xdr:spPr>
        <a:xfrm flipH="1" flipV="1">
          <a:off x="8582025" y="19859625"/>
          <a:ext cx="657225" cy="1371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238858</xdr:colOff>
      <xdr:row>107</xdr:row>
      <xdr:rowOff>153133</xdr:rowOff>
    </xdr:from>
    <xdr:to>
      <xdr:col>14</xdr:col>
      <xdr:colOff>407377</xdr:colOff>
      <xdr:row>117</xdr:row>
      <xdr:rowOff>6594</xdr:rowOff>
    </xdr:to>
    <xdr:sp macro="" textlink="">
      <xdr:nvSpPr>
        <xdr:cNvPr id="12" name="Rectangle: Rounded Corners 11">
          <a:extLst>
            <a:ext uri="{FF2B5EF4-FFF2-40B4-BE49-F238E27FC236}">
              <a16:creationId xmlns:a16="http://schemas.microsoft.com/office/drawing/2014/main" id="{172914BC-BAE7-452C-9823-1703B1C3E3CA}"/>
            </a:ext>
          </a:extLst>
        </xdr:cNvPr>
        <xdr:cNvSpPr/>
      </xdr:nvSpPr>
      <xdr:spPr>
        <a:xfrm>
          <a:off x="9030433" y="20946208"/>
          <a:ext cx="778119"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352425</xdr:colOff>
      <xdr:row>58</xdr:row>
      <xdr:rowOff>57150</xdr:rowOff>
    </xdr:from>
    <xdr:to>
      <xdr:col>14</xdr:col>
      <xdr:colOff>520944</xdr:colOff>
      <xdr:row>67</xdr:row>
      <xdr:rowOff>101111</xdr:rowOff>
    </xdr:to>
    <xdr:sp macro="" textlink="">
      <xdr:nvSpPr>
        <xdr:cNvPr id="13" name="Rectangle: Rounded Corners 12">
          <a:extLst>
            <a:ext uri="{FF2B5EF4-FFF2-40B4-BE49-F238E27FC236}">
              <a16:creationId xmlns:a16="http://schemas.microsoft.com/office/drawing/2014/main" id="{2FA31894-2665-4796-A336-B42A2224D8D0}"/>
            </a:ext>
          </a:extLst>
        </xdr:cNvPr>
        <xdr:cNvSpPr/>
      </xdr:nvSpPr>
      <xdr:spPr>
        <a:xfrm>
          <a:off x="9144000" y="11515725"/>
          <a:ext cx="778119"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292918</xdr:colOff>
      <xdr:row>12</xdr:row>
      <xdr:rowOff>133350</xdr:rowOff>
    </xdr:from>
    <xdr:to>
      <xdr:col>24</xdr:col>
      <xdr:colOff>11621</xdr:colOff>
      <xdr:row>33</xdr:row>
      <xdr:rowOff>115181</xdr:rowOff>
    </xdr:to>
    <xdr:pic>
      <xdr:nvPicPr>
        <xdr:cNvPr id="2" name="Picture 1">
          <a:extLst>
            <a:ext uri="{FF2B5EF4-FFF2-40B4-BE49-F238E27FC236}">
              <a16:creationId xmlns:a16="http://schemas.microsoft.com/office/drawing/2014/main" id="{50FBB664-9CFB-D149-9A19-301FA326C78F}"/>
            </a:ext>
          </a:extLst>
        </xdr:cNvPr>
        <xdr:cNvPicPr>
          <a:picLocks noChangeAspect="1"/>
        </xdr:cNvPicPr>
      </xdr:nvPicPr>
      <xdr:blipFill>
        <a:blip xmlns:r="http://schemas.openxmlformats.org/officeDocument/2006/relationships" r:embed="rId1"/>
        <a:stretch>
          <a:fillRect/>
        </a:stretch>
      </xdr:blipFill>
      <xdr:spPr>
        <a:xfrm>
          <a:off x="5169718" y="3209925"/>
          <a:ext cx="9472303" cy="3982331"/>
        </a:xfrm>
        <a:prstGeom prst="rect">
          <a:avLst/>
        </a:prstGeom>
        <a:ln>
          <a:solidFill>
            <a:sysClr val="windowText" lastClr="000000"/>
          </a:solidFill>
        </a:ln>
      </xdr:spPr>
    </xdr:pic>
    <xdr:clientData/>
  </xdr:twoCellAnchor>
  <xdr:twoCellAnchor>
    <xdr:from>
      <xdr:col>13</xdr:col>
      <xdr:colOff>200025</xdr:colOff>
      <xdr:row>31</xdr:row>
      <xdr:rowOff>161925</xdr:rowOff>
    </xdr:from>
    <xdr:to>
      <xdr:col>22</xdr:col>
      <xdr:colOff>19050</xdr:colOff>
      <xdr:row>34</xdr:row>
      <xdr:rowOff>47625</xdr:rowOff>
    </xdr:to>
    <xdr:sp macro="" textlink="">
      <xdr:nvSpPr>
        <xdr:cNvPr id="3" name="Rectangle: Rounded Corners 2">
          <a:extLst>
            <a:ext uri="{FF2B5EF4-FFF2-40B4-BE49-F238E27FC236}">
              <a16:creationId xmlns:a16="http://schemas.microsoft.com/office/drawing/2014/main" id="{CC6EDC26-DDEC-3EFF-6B7C-8A8612370904}"/>
            </a:ext>
          </a:extLst>
        </xdr:cNvPr>
        <xdr:cNvSpPr/>
      </xdr:nvSpPr>
      <xdr:spPr>
        <a:xfrm>
          <a:off x="8124825" y="6858000"/>
          <a:ext cx="5305425" cy="457200"/>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xdr:col>
      <xdr:colOff>304800</xdr:colOff>
      <xdr:row>18</xdr:row>
      <xdr:rowOff>121920</xdr:rowOff>
    </xdr:to>
    <xdr:sp macro="" textlink="">
      <xdr:nvSpPr>
        <xdr:cNvPr id="7169" name="AutoShape 1">
          <a:extLst>
            <a:ext uri="{FF2B5EF4-FFF2-40B4-BE49-F238E27FC236}">
              <a16:creationId xmlns:a16="http://schemas.microsoft.com/office/drawing/2014/main" id="{12FE9615-8C28-36FC-9A08-A71F3D1C7CC4}"/>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121920</xdr:rowOff>
    </xdr:to>
    <xdr:sp macro="" textlink="">
      <xdr:nvSpPr>
        <xdr:cNvPr id="7170" name="AutoShape 2">
          <a:extLst>
            <a:ext uri="{FF2B5EF4-FFF2-40B4-BE49-F238E27FC236}">
              <a16:creationId xmlns:a16="http://schemas.microsoft.com/office/drawing/2014/main" id="{FC2C03B3-6466-8400-27F5-7808ABF3145D}"/>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121920</xdr:rowOff>
    </xdr:to>
    <xdr:sp macro="" textlink="">
      <xdr:nvSpPr>
        <xdr:cNvPr id="7171" name="AutoShape 3">
          <a:extLst>
            <a:ext uri="{FF2B5EF4-FFF2-40B4-BE49-F238E27FC236}">
              <a16:creationId xmlns:a16="http://schemas.microsoft.com/office/drawing/2014/main" id="{0AA2C330-6B3F-C2FB-8D1A-A9EBE26D2F59}"/>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15240</xdr:colOff>
      <xdr:row>16</xdr:row>
      <xdr:rowOff>156194</xdr:rowOff>
    </xdr:from>
    <xdr:to>
      <xdr:col>6</xdr:col>
      <xdr:colOff>315647</xdr:colOff>
      <xdr:row>63</xdr:row>
      <xdr:rowOff>10566</xdr:rowOff>
    </xdr:to>
    <xdr:pic>
      <xdr:nvPicPr>
        <xdr:cNvPr id="6" name="Picture 5">
          <a:extLst>
            <a:ext uri="{FF2B5EF4-FFF2-40B4-BE49-F238E27FC236}">
              <a16:creationId xmlns:a16="http://schemas.microsoft.com/office/drawing/2014/main" id="{540D4BC9-9F66-3DE9-4475-F80F08C590C0}"/>
            </a:ext>
          </a:extLst>
        </xdr:cNvPr>
        <xdr:cNvPicPr>
          <a:picLocks noChangeAspect="1"/>
        </xdr:cNvPicPr>
      </xdr:nvPicPr>
      <xdr:blipFill>
        <a:blip xmlns:r="http://schemas.openxmlformats.org/officeDocument/2006/relationships" r:embed="rId1"/>
        <a:stretch>
          <a:fillRect/>
        </a:stretch>
      </xdr:blipFill>
      <xdr:spPr>
        <a:xfrm>
          <a:off x="624840" y="3082274"/>
          <a:ext cx="5702987" cy="8449732"/>
        </a:xfrm>
        <a:prstGeom prst="rect">
          <a:avLst/>
        </a:prstGeom>
      </xdr:spPr>
    </xdr:pic>
    <xdr:clientData/>
  </xdr:twoCellAnchor>
  <xdr:twoCellAnchor>
    <xdr:from>
      <xdr:col>3</xdr:col>
      <xdr:colOff>655320</xdr:colOff>
      <xdr:row>12</xdr:row>
      <xdr:rowOff>142240</xdr:rowOff>
    </xdr:from>
    <xdr:to>
      <xdr:col>5</xdr:col>
      <xdr:colOff>350520</xdr:colOff>
      <xdr:row>40</xdr:row>
      <xdr:rowOff>99060</xdr:rowOff>
    </xdr:to>
    <xdr:cxnSp macro="">
      <xdr:nvCxnSpPr>
        <xdr:cNvPr id="7" name="Straight Arrow Connector 6">
          <a:extLst>
            <a:ext uri="{FF2B5EF4-FFF2-40B4-BE49-F238E27FC236}">
              <a16:creationId xmlns:a16="http://schemas.microsoft.com/office/drawing/2014/main" id="{A7CDC343-63E5-4883-9C37-4E6AFE1987C2}"/>
            </a:ext>
          </a:extLst>
        </xdr:cNvPr>
        <xdr:cNvCxnSpPr/>
      </xdr:nvCxnSpPr>
      <xdr:spPr>
        <a:xfrm flipH="1" flipV="1">
          <a:off x="4724400" y="2336800"/>
          <a:ext cx="1028700" cy="50774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600075</xdr:colOff>
      <xdr:row>2</xdr:row>
      <xdr:rowOff>95250</xdr:rowOff>
    </xdr:from>
    <xdr:to>
      <xdr:col>26</xdr:col>
      <xdr:colOff>521711</xdr:colOff>
      <xdr:row>31</xdr:row>
      <xdr:rowOff>161226</xdr:rowOff>
    </xdr:to>
    <xdr:pic>
      <xdr:nvPicPr>
        <xdr:cNvPr id="2" name="Picture 1">
          <a:extLst>
            <a:ext uri="{FF2B5EF4-FFF2-40B4-BE49-F238E27FC236}">
              <a16:creationId xmlns:a16="http://schemas.microsoft.com/office/drawing/2014/main" id="{8619BAA0-C833-3102-F48F-39C3BE34BBF5}"/>
            </a:ext>
          </a:extLst>
        </xdr:cNvPr>
        <xdr:cNvPicPr>
          <a:picLocks noChangeAspect="1"/>
        </xdr:cNvPicPr>
      </xdr:nvPicPr>
      <xdr:blipFill>
        <a:blip xmlns:r="http://schemas.openxmlformats.org/officeDocument/2006/relationships" r:embed="rId1"/>
        <a:stretch>
          <a:fillRect/>
        </a:stretch>
      </xdr:blipFill>
      <xdr:spPr>
        <a:xfrm>
          <a:off x="600075" y="476250"/>
          <a:ext cx="17314286" cy="5590476"/>
        </a:xfrm>
        <a:prstGeom prst="rect">
          <a:avLst/>
        </a:prstGeom>
      </xdr:spPr>
    </xdr:pic>
    <xdr:clientData/>
  </xdr:twoCellAnchor>
  <xdr:twoCellAnchor>
    <xdr:from>
      <xdr:col>3</xdr:col>
      <xdr:colOff>2114550</xdr:colOff>
      <xdr:row>31</xdr:row>
      <xdr:rowOff>104775</xdr:rowOff>
    </xdr:from>
    <xdr:to>
      <xdr:col>15</xdr:col>
      <xdr:colOff>495300</xdr:colOff>
      <xdr:row>55</xdr:row>
      <xdr:rowOff>19050</xdr:rowOff>
    </xdr:to>
    <xdr:cxnSp macro="">
      <xdr:nvCxnSpPr>
        <xdr:cNvPr id="6" name="Straight Arrow Connector 5">
          <a:extLst>
            <a:ext uri="{FF2B5EF4-FFF2-40B4-BE49-F238E27FC236}">
              <a16:creationId xmlns:a16="http://schemas.microsoft.com/office/drawing/2014/main" id="{810D337B-D20A-83BB-6DC9-E08E8628DA8B}"/>
            </a:ext>
          </a:extLst>
        </xdr:cNvPr>
        <xdr:cNvCxnSpPr/>
      </xdr:nvCxnSpPr>
      <xdr:spPr>
        <a:xfrm flipH="1">
          <a:off x="3943350" y="6010275"/>
          <a:ext cx="7239000" cy="4486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2076450</xdr:colOff>
      <xdr:row>31</xdr:row>
      <xdr:rowOff>161925</xdr:rowOff>
    </xdr:from>
    <xdr:to>
      <xdr:col>11</xdr:col>
      <xdr:colOff>66675</xdr:colOff>
      <xdr:row>54</xdr:row>
      <xdr:rowOff>28575</xdr:rowOff>
    </xdr:to>
    <xdr:cxnSp macro="">
      <xdr:nvCxnSpPr>
        <xdr:cNvPr id="7" name="Straight Arrow Connector 6">
          <a:extLst>
            <a:ext uri="{FF2B5EF4-FFF2-40B4-BE49-F238E27FC236}">
              <a16:creationId xmlns:a16="http://schemas.microsoft.com/office/drawing/2014/main" id="{0F268040-60AA-4C99-A6F3-73EE7E96AFDC}"/>
            </a:ext>
          </a:extLst>
        </xdr:cNvPr>
        <xdr:cNvCxnSpPr/>
      </xdr:nvCxnSpPr>
      <xdr:spPr>
        <a:xfrm flipH="1">
          <a:off x="3905250" y="6067425"/>
          <a:ext cx="4410075" cy="424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arverinc.local\gdata\Projects\2020\20T14065%20-%20ODOT%20CI-2250A%20TO5%20I-44%20US-75%20RAISE%202022\Planning\Funding%20Assistance\BCA\Final\BCA%20RAISE%202022_ODOT_51st%20Street%20Project_FINAL.xlsm" TargetMode="External"/><Relationship Id="rId1" Type="http://schemas.openxmlformats.org/officeDocument/2006/relationships/externalLinkPath" Target="https://garverengineers.sharepoint.com/Projects/2020/20T14065%20-%20ODOT%20CI-2250A%20TO5%20I-44%20US-75%20RAISE%202022/Planning/Funding%20Assistance/BCA/Final/BCA%20RAISE%202022_ODOT_51st%20Street%20Project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rverengineers.sharepoint.com/Users/mrbezanson/AppData/Local/Microsoft/Windows/INetCache/Content.Outlook/M7IZQ3LK/I-40%20Douglas%20Blvd%20Interchange_BCA_%202021%20INFRA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Results"/>
      <sheetName val="Report Tables _Main"/>
      <sheetName val="Additional Tables"/>
      <sheetName val="Inputs"/>
      <sheetName val="PROJECT"/>
      <sheetName val="Vehicle Traffic"/>
      <sheetName val="Pedestrian Traffic"/>
      <sheetName val="Accident Data"/>
      <sheetName val="Traffic"/>
      <sheetName val="Calc-1"/>
      <sheetName val="Calc-2"/>
      <sheetName val="Calc-3"/>
      <sheetName val="Calc-4"/>
      <sheetName val="Calc-5"/>
      <sheetName val="Calc-6"/>
      <sheetName val="Calc-Costs"/>
      <sheetName val="Project Costs"/>
      <sheetName val="MOVES"/>
      <sheetName val="Fuel Prices"/>
      <sheetName val="US DOT BCA Guidance"/>
      <sheetName val="GDP Def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Results"/>
      <sheetName val="Report Tables"/>
      <sheetName val="Inputs"/>
      <sheetName val="Accident Cost Saving"/>
      <sheetName val="Travel Time Savings"/>
      <sheetName val="Travel Time Saving-Interchanges"/>
      <sheetName val="Emissions"/>
      <sheetName val="Residual Value"/>
      <sheetName val="Project Data"/>
      <sheetName val="Project Costs"/>
      <sheetName val="Traffic Projection"/>
      <sheetName val="Emissions.Calc"/>
      <sheetName val="Costs for Emission"/>
      <sheetName val="Deflation Factors"/>
      <sheetName val="Emissions.Raw.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33E9F6-EC4E-40B2-AAB4-1860F3DEF6FE}" name="Table1" displayName="Table1" ref="A1:K29" totalsRowShown="0" headerRowBorderDxfId="15" tableBorderDxfId="14" totalsRowBorderDxfId="13">
  <autoFilter ref="A1:K29" xr:uid="{D633E9F6-EC4E-40B2-AAB4-1860F3DEF6FE}">
    <filterColumn colId="8">
      <filters>
        <filter val="8"/>
      </filters>
    </filterColumn>
  </autoFilter>
  <tableColumns count="11">
    <tableColumn id="1" xr3:uid="{58BC8429-80C1-4746-9376-95AE02E303DF}" name="GC#" dataDxfId="12" dataCellStyle="Normal 4"/>
    <tableColumn id="2" xr3:uid="{8FD07BF7-038B-4DF5-8EE1-1017D078CB9B}" name="DATE INCIDENT" dataDxfId="11" dataCellStyle="Normal 4"/>
    <tableColumn id="3" xr3:uid="{78DC0AD9-124D-4A6A-BC04-3179BDFF77B7}" name="DEFENDANT" dataDxfId="10" dataCellStyle="Normal 4"/>
    <tableColumn id="4" xr3:uid="{D050ED91-C2A9-49FB-9E8A-AF5980CB5851}" name="STRUCTURE/CONTRACT" dataDxfId="9" dataCellStyle="Normal 4"/>
    <tableColumn id="5" xr3:uid="{E9A818C1-1AAE-45DE-9205-81606AA424A7}" name="DAMAGE LOSS" dataDxfId="8" dataCellStyle="Normal 4"/>
    <tableColumn id="6" xr3:uid="{C7BF3473-D5BF-4A3D-8BA2-87F01081ED13}" name="AMOUNT CLAIMED" dataDxfId="7" dataCellStyle="Normal 4"/>
    <tableColumn id="7" xr3:uid="{4AB89CFB-02BF-4931-99AC-CA193912B66E}" name="AMOUNT RECEIVED" dataDxfId="6" dataCellStyle="Normal 4"/>
    <tableColumn id="8" xr3:uid="{D9A15BFB-4518-4254-ACE2-99557F278CCD}" name="DATE CLOSED" dataDxfId="5" dataCellStyle="Normal 4"/>
    <tableColumn id="9" xr3:uid="{121490A0-1CA5-492C-94FD-DD25DD1C12CA}" name="DIST #" dataDxfId="4" dataCellStyle="Normal 4"/>
    <tableColumn id="10" xr3:uid="{85CBF820-342B-414F-9C56-02C50C536A8D}" name="Project #" dataDxfId="3" dataCellStyle="Normal 4"/>
    <tableColumn id="11" xr3:uid="{CF566D9C-87EE-4A17-83FC-860097B3ED1A}" name="Posted Clearance" dataDxfId="2" dataCellStyle="Normal 4"/>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ransportation.gov/mission/office-secretary/office-policy/transportation-policy/benefit-cost-analysis-guidanc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hyperlink" Target="https://www.eia.gov/outlooks/aeo/tables_ref.php"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ensus.gov/quickfacts/tulsacityoklaho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apps.bea.gov/iTable/?reqid=19&amp;step=3&amp;isuri=1&amp;1921=survey&amp;1903=11%23reqid%3D19&amp;step=3&amp;isuri=1&amp;1921=survey&amp;1903=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2EBB-1101-4E97-B029-0B50EAFE1EE0}">
  <sheetPr>
    <tabColor rgb="FFFFFF00"/>
  </sheetPr>
  <dimension ref="A1:AV96"/>
  <sheetViews>
    <sheetView tabSelected="1" zoomScaleNormal="100" workbookViewId="0">
      <pane xSplit="5" ySplit="9" topLeftCell="F10" activePane="bottomRight" state="frozen"/>
      <selection pane="topRight" activeCell="F1" sqref="F1"/>
      <selection pane="bottomLeft" activeCell="A10" sqref="A10"/>
      <selection pane="bottomRight" activeCell="G48" sqref="G48"/>
    </sheetView>
  </sheetViews>
  <sheetFormatPr defaultColWidth="0" defaultRowHeight="14.25" x14ac:dyDescent="0.2"/>
  <cols>
    <col min="1" max="1" width="13.140625" style="1" customWidth="1"/>
    <col min="2" max="2" width="37.42578125" style="1" bestFit="1" customWidth="1"/>
    <col min="3" max="5" width="13.28515625" style="1" customWidth="1"/>
    <col min="6" max="6" width="12.7109375" style="1" bestFit="1" customWidth="1"/>
    <col min="7" max="44" width="13.7109375" style="1" customWidth="1"/>
    <col min="45" max="45" width="9.140625" style="1" customWidth="1"/>
    <col min="46" max="48" width="0" style="1" hidden="1" customWidth="1"/>
    <col min="49" max="16384" width="9.140625" style="1" hidden="1"/>
  </cols>
  <sheetData>
    <row r="1" spans="1:10" ht="19.5" x14ac:dyDescent="0.3">
      <c r="A1" s="11" t="s">
        <v>0</v>
      </c>
    </row>
    <row r="2" spans="1:10" ht="19.5" x14ac:dyDescent="0.3">
      <c r="A2" s="11" t="s">
        <v>1</v>
      </c>
    </row>
    <row r="3" spans="1:10" x14ac:dyDescent="0.2">
      <c r="A3" s="45">
        <f ca="1">TODAY()</f>
        <v>45345</v>
      </c>
    </row>
    <row r="4" spans="1:10" x14ac:dyDescent="0.2">
      <c r="A4" s="46" t="s">
        <v>827</v>
      </c>
    </row>
    <row r="5" spans="1:10" x14ac:dyDescent="0.2">
      <c r="A5" s="59" t="s">
        <v>2</v>
      </c>
    </row>
    <row r="6" spans="1:10" x14ac:dyDescent="0.2">
      <c r="A6" s="60" t="s">
        <v>3</v>
      </c>
      <c r="B6" s="19"/>
    </row>
    <row r="7" spans="1:10" x14ac:dyDescent="0.2">
      <c r="A7" s="61" t="s">
        <v>4</v>
      </c>
      <c r="B7" s="19"/>
    </row>
    <row r="8" spans="1:10" ht="15" thickBot="1" x14ac:dyDescent="0.25">
      <c r="A8" s="228" t="s">
        <v>5</v>
      </c>
      <c r="B8" s="302" t="s">
        <v>6</v>
      </c>
      <c r="C8" s="1" t="str">
        <f>IF(Inputs!$B$170=0,"NO","YES")</f>
        <v>NO</v>
      </c>
    </row>
    <row r="9" spans="1:10" ht="20.25" thickBot="1" x14ac:dyDescent="0.35">
      <c r="B9" s="463" t="s">
        <v>831</v>
      </c>
      <c r="C9" s="464"/>
      <c r="D9" s="464"/>
      <c r="E9" s="194">
        <f>$E$35</f>
        <v>2.0575994382092198</v>
      </c>
      <c r="G9" s="193"/>
      <c r="H9" s="193"/>
      <c r="I9" s="193"/>
      <c r="J9" s="195"/>
    </row>
    <row r="10" spans="1:10" ht="9" customHeight="1" x14ac:dyDescent="0.3">
      <c r="G10" s="193"/>
      <c r="H10" s="193"/>
      <c r="I10" s="193"/>
      <c r="J10" s="195"/>
    </row>
    <row r="11" spans="1:10" ht="15.75" thickBot="1" x14ac:dyDescent="0.3">
      <c r="A11" s="2"/>
      <c r="C11" s="143" t="s">
        <v>7</v>
      </c>
      <c r="D11" s="143"/>
      <c r="E11" s="143"/>
    </row>
    <row r="12" spans="1:10" ht="18" thickBot="1" x14ac:dyDescent="0.35">
      <c r="B12" s="42" t="s">
        <v>8</v>
      </c>
      <c r="C12" s="43">
        <f>Inputs!$E$29</f>
        <v>0</v>
      </c>
      <c r="D12" s="43">
        <f>Inputs!$E$30</f>
        <v>0.02</v>
      </c>
      <c r="E12" s="392">
        <f>Inputs!$E$31</f>
        <v>3.1E-2</v>
      </c>
      <c r="F12" s="233" t="s">
        <v>9</v>
      </c>
    </row>
    <row r="13" spans="1:10" x14ac:dyDescent="0.2">
      <c r="B13" s="39" t="s">
        <v>10</v>
      </c>
      <c r="C13" s="394">
        <f t="shared" ref="C13:C17" si="0">D41</f>
        <v>5.4038684577687981</v>
      </c>
      <c r="D13" s="394">
        <f t="shared" ref="D13:D18" si="1">D61</f>
        <v>3.9583510086513001</v>
      </c>
      <c r="E13" s="395">
        <f t="shared" ref="E13:E17" si="2">D81</f>
        <v>3.3623861773837058</v>
      </c>
      <c r="F13" s="232">
        <f t="shared" ref="F13:F22" si="3">E13/$E$22</f>
        <v>6.8278843979335813E-2</v>
      </c>
    </row>
    <row r="14" spans="1:10" x14ac:dyDescent="0.2">
      <c r="B14" s="40" t="s">
        <v>11</v>
      </c>
      <c r="C14" s="327">
        <f t="shared" si="0"/>
        <v>46.682487378913088</v>
      </c>
      <c r="D14" s="327">
        <f t="shared" si="1"/>
        <v>33.303221868294443</v>
      </c>
      <c r="E14" s="328">
        <f t="shared" si="2"/>
        <v>27.875542573536094</v>
      </c>
      <c r="F14" s="232">
        <f t="shared" si="3"/>
        <v>0.5660592572679386</v>
      </c>
    </row>
    <row r="15" spans="1:10" x14ac:dyDescent="0.2">
      <c r="B15" s="40" t="s">
        <v>12</v>
      </c>
      <c r="C15" s="327">
        <f t="shared" si="0"/>
        <v>14.647445846315867</v>
      </c>
      <c r="D15" s="327">
        <f t="shared" si="1"/>
        <v>10.584707696225788</v>
      </c>
      <c r="E15" s="328">
        <f t="shared" si="2"/>
        <v>8.9241305218828622</v>
      </c>
      <c r="F15" s="232">
        <f t="shared" si="3"/>
        <v>0.18121931372826175</v>
      </c>
    </row>
    <row r="16" spans="1:10" x14ac:dyDescent="0.2">
      <c r="B16" s="40" t="s">
        <v>13</v>
      </c>
      <c r="C16" s="327">
        <f t="shared" si="0"/>
        <v>0.37925307140232301</v>
      </c>
      <c r="D16" s="327">
        <f t="shared" si="1"/>
        <v>0.27104248757165067</v>
      </c>
      <c r="E16" s="328">
        <f t="shared" si="2"/>
        <v>0.22995002900390132</v>
      </c>
      <c r="F16" s="232">
        <f t="shared" si="3"/>
        <v>4.6695178141667104E-3</v>
      </c>
    </row>
    <row r="17" spans="2:6" x14ac:dyDescent="0.2">
      <c r="B17" s="40" t="s">
        <v>14</v>
      </c>
      <c r="C17" s="327">
        <f t="shared" si="0"/>
        <v>5.202041917627132</v>
      </c>
      <c r="D17" s="327">
        <f t="shared" si="1"/>
        <v>3.8084108283380558</v>
      </c>
      <c r="E17" s="448">
        <f t="shared" si="2"/>
        <v>3.2334813661098827</v>
      </c>
      <c r="F17" s="232">
        <f t="shared" si="3"/>
        <v>6.566121737940743E-2</v>
      </c>
    </row>
    <row r="18" spans="2:6" x14ac:dyDescent="0.2">
      <c r="B18" s="40" t="s">
        <v>1010</v>
      </c>
      <c r="C18" s="327">
        <f t="shared" ref="C18" si="4">D46</f>
        <v>2.856015358909413</v>
      </c>
      <c r="D18" s="327">
        <f t="shared" si="1"/>
        <v>2.077875575077857</v>
      </c>
      <c r="E18" s="448">
        <f t="shared" ref="E18" si="5">D86</f>
        <v>1.7579420596630255</v>
      </c>
      <c r="F18" s="232">
        <f t="shared" si="3"/>
        <v>3.5697937501587118E-2</v>
      </c>
    </row>
    <row r="19" spans="2:6" x14ac:dyDescent="0.2">
      <c r="B19" s="40" t="s">
        <v>15</v>
      </c>
      <c r="C19" s="407">
        <f>D47</f>
        <v>3.3887837040307976E-2</v>
      </c>
      <c r="D19" s="407">
        <f>D67</f>
        <v>2.5093938186007452E-2</v>
      </c>
      <c r="E19" s="408">
        <f>D87</f>
        <v>2.144090495961375E-2</v>
      </c>
      <c r="F19" s="232">
        <f t="shared" si="3"/>
        <v>4.3539323780243211E-4</v>
      </c>
    </row>
    <row r="20" spans="2:6" x14ac:dyDescent="0.2">
      <c r="B20" s="458" t="s">
        <v>1025</v>
      </c>
      <c r="C20" s="405">
        <f>D48</f>
        <v>3.6161773652176512</v>
      </c>
      <c r="D20" s="405">
        <f>D68</f>
        <v>2.6119269830089764</v>
      </c>
      <c r="E20" s="406">
        <f>D88</f>
        <v>2.2031627546660202</v>
      </c>
      <c r="F20" s="232">
        <f t="shared" si="3"/>
        <v>4.4738884247964336E-2</v>
      </c>
    </row>
    <row r="21" spans="2:6" x14ac:dyDescent="0.2">
      <c r="B21" s="83" t="s">
        <v>16</v>
      </c>
      <c r="C21" s="327">
        <f t="shared" ref="C21" si="6">D49</f>
        <v>3.5114323702039263</v>
      </c>
      <c r="D21" s="327">
        <f t="shared" ref="D21" si="7">D69</f>
        <v>2.1403264294115782</v>
      </c>
      <c r="E21" s="328">
        <f t="shared" ref="E21" si="8">D89</f>
        <v>1.6368831430861859</v>
      </c>
      <c r="F21" s="232">
        <f t="shared" si="3"/>
        <v>3.323963484353578E-2</v>
      </c>
    </row>
    <row r="22" spans="2:6" ht="15.75" thickBot="1" x14ac:dyDescent="0.3">
      <c r="B22" s="41" t="s">
        <v>17</v>
      </c>
      <c r="C22" s="329">
        <f>SUM(C13:C21)</f>
        <v>82.332609603398495</v>
      </c>
      <c r="D22" s="329">
        <f>SUM(D13:D21)</f>
        <v>58.780956814765652</v>
      </c>
      <c r="E22" s="330">
        <f>SUM(E13:E21)</f>
        <v>49.244919530291291</v>
      </c>
      <c r="F22" s="393">
        <f t="shared" si="3"/>
        <v>1</v>
      </c>
    </row>
    <row r="23" spans="2:6" x14ac:dyDescent="0.2">
      <c r="B23" s="60" t="s">
        <v>832</v>
      </c>
    </row>
    <row r="24" spans="2:6" x14ac:dyDescent="0.2">
      <c r="B24" s="60"/>
    </row>
    <row r="25" spans="2:6" ht="15" thickBot="1" x14ac:dyDescent="0.25">
      <c r="C25" s="143" t="s">
        <v>7</v>
      </c>
      <c r="D25" s="143"/>
      <c r="E25" s="143"/>
    </row>
    <row r="26" spans="2:6" ht="18" thickBot="1" x14ac:dyDescent="0.35">
      <c r="B26" s="42" t="s">
        <v>18</v>
      </c>
      <c r="C26" s="43">
        <f>Inputs!$E$29</f>
        <v>0</v>
      </c>
      <c r="D26" s="43">
        <f>Inputs!$E$30</f>
        <v>0.02</v>
      </c>
      <c r="E26" s="392">
        <f>Inputs!$E$31</f>
        <v>3.1E-2</v>
      </c>
    </row>
    <row r="27" spans="2:6" x14ac:dyDescent="0.2">
      <c r="B27" s="44" t="s">
        <v>19</v>
      </c>
      <c r="C27" s="390">
        <f>D53</f>
        <v>-27.335510498564162</v>
      </c>
      <c r="D27" s="390">
        <f>D73</f>
        <v>-25.07631834171999</v>
      </c>
      <c r="E27" s="391">
        <f>D93</f>
        <v>-23.93319059862807</v>
      </c>
    </row>
    <row r="28" spans="2:6" ht="15.75" thickBot="1" x14ac:dyDescent="0.3">
      <c r="B28" s="41" t="s">
        <v>17</v>
      </c>
      <c r="C28" s="171">
        <f>SUM(C27:C27)</f>
        <v>-27.335510498564162</v>
      </c>
      <c r="D28" s="171">
        <f>SUM(D27:D27)</f>
        <v>-25.07631834171999</v>
      </c>
      <c r="E28" s="172">
        <f>SUM(E27:E27)</f>
        <v>-23.93319059862807</v>
      </c>
    </row>
    <row r="30" spans="2:6" ht="15" thickBot="1" x14ac:dyDescent="0.25">
      <c r="C30" s="143" t="s">
        <v>7</v>
      </c>
      <c r="D30" s="143"/>
      <c r="E30" s="143"/>
    </row>
    <row r="31" spans="2:6" ht="18" thickBot="1" x14ac:dyDescent="0.35">
      <c r="B31" s="42" t="s">
        <v>21</v>
      </c>
      <c r="C31" s="43">
        <f>Inputs!$E$29</f>
        <v>0</v>
      </c>
      <c r="D31" s="43">
        <f>Inputs!$E$30</f>
        <v>0.02</v>
      </c>
      <c r="E31" s="392">
        <f>Inputs!$E$31</f>
        <v>3.1E-2</v>
      </c>
    </row>
    <row r="32" spans="2:6" x14ac:dyDescent="0.2">
      <c r="B32" s="39" t="s">
        <v>22</v>
      </c>
      <c r="C32" s="173">
        <f>C22</f>
        <v>82.332609603398495</v>
      </c>
      <c r="D32" s="173">
        <f>D22</f>
        <v>58.780956814765652</v>
      </c>
      <c r="E32" s="174">
        <f>E22</f>
        <v>49.244919530291291</v>
      </c>
    </row>
    <row r="33" spans="1:44" x14ac:dyDescent="0.2">
      <c r="B33" s="40" t="s">
        <v>23</v>
      </c>
      <c r="C33" s="175">
        <f>C28</f>
        <v>-27.335510498564162</v>
      </c>
      <c r="D33" s="175">
        <f>D28</f>
        <v>-25.07631834171999</v>
      </c>
      <c r="E33" s="176">
        <f>E28</f>
        <v>-23.93319059862807</v>
      </c>
    </row>
    <row r="34" spans="1:44" x14ac:dyDescent="0.2">
      <c r="B34" s="40" t="s">
        <v>24</v>
      </c>
      <c r="C34" s="175">
        <f>C32+C33</f>
        <v>54.997099104834334</v>
      </c>
      <c r="D34" s="175">
        <f>D32+D33</f>
        <v>33.704638473045662</v>
      </c>
      <c r="E34" s="428">
        <f>E32+E33</f>
        <v>25.311728931663222</v>
      </c>
    </row>
    <row r="35" spans="1:44" x14ac:dyDescent="0.2">
      <c r="B35" s="40" t="s">
        <v>25</v>
      </c>
      <c r="C35" s="191">
        <f>C32/-C33</f>
        <v>3.0119287367149457</v>
      </c>
      <c r="D35" s="191">
        <f>D32/-D33</f>
        <v>2.3440824132851494</v>
      </c>
      <c r="E35" s="192">
        <f>E32/-E33</f>
        <v>2.0575994382092198</v>
      </c>
      <c r="F35" s="93"/>
    </row>
    <row r="36" spans="1:44" ht="15" thickBot="1" x14ac:dyDescent="0.25">
      <c r="B36" s="40" t="s">
        <v>26</v>
      </c>
      <c r="C36" s="99">
        <f>-C34/C27</f>
        <v>2.0119287367149457</v>
      </c>
      <c r="D36" s="197">
        <f>-D34/D27</f>
        <v>1.3440824132851494</v>
      </c>
      <c r="E36" s="198">
        <f>-E34/E27</f>
        <v>1.0575994382092195</v>
      </c>
    </row>
    <row r="37" spans="1:44" ht="15" thickBot="1" x14ac:dyDescent="0.25">
      <c r="B37" s="167" t="s">
        <v>27</v>
      </c>
      <c r="C37" s="196">
        <f>IRR(F56:AR56)</f>
        <v>0.10166936967797668</v>
      </c>
      <c r="D37" s="169"/>
    </row>
    <row r="38" spans="1:44" x14ac:dyDescent="0.2">
      <c r="B38" s="170"/>
      <c r="C38" s="170"/>
    </row>
    <row r="39" spans="1:44" ht="15.75" thickBot="1" x14ac:dyDescent="0.3">
      <c r="A39" s="2" t="s">
        <v>28</v>
      </c>
    </row>
    <row r="40" spans="1:44" ht="18" thickBot="1" x14ac:dyDescent="0.35">
      <c r="B40" s="42" t="s">
        <v>29</v>
      </c>
      <c r="C40" s="43"/>
      <c r="D40" s="43" t="s">
        <v>30</v>
      </c>
      <c r="E40" s="43"/>
      <c r="F40" s="82">
        <f>Inputs!E12</f>
        <v>2018</v>
      </c>
      <c r="G40" s="82">
        <f>F40+1</f>
        <v>2019</v>
      </c>
      <c r="H40" s="82">
        <f t="shared" ref="H40:AN40" si="9">G40+1</f>
        <v>2020</v>
      </c>
      <c r="I40" s="82">
        <f t="shared" si="9"/>
        <v>2021</v>
      </c>
      <c r="J40" s="82">
        <f t="shared" si="9"/>
        <v>2022</v>
      </c>
      <c r="K40" s="82">
        <f t="shared" si="9"/>
        <v>2023</v>
      </c>
      <c r="L40" s="82">
        <f t="shared" si="9"/>
        <v>2024</v>
      </c>
      <c r="M40" s="82">
        <f t="shared" si="9"/>
        <v>2025</v>
      </c>
      <c r="N40" s="82">
        <f t="shared" si="9"/>
        <v>2026</v>
      </c>
      <c r="O40" s="82">
        <f t="shared" si="9"/>
        <v>2027</v>
      </c>
      <c r="P40" s="82">
        <f t="shared" si="9"/>
        <v>2028</v>
      </c>
      <c r="Q40" s="82">
        <f t="shared" si="9"/>
        <v>2029</v>
      </c>
      <c r="R40" s="82">
        <f t="shared" si="9"/>
        <v>2030</v>
      </c>
      <c r="S40" s="82">
        <f t="shared" si="9"/>
        <v>2031</v>
      </c>
      <c r="T40" s="82">
        <f t="shared" si="9"/>
        <v>2032</v>
      </c>
      <c r="U40" s="82">
        <f t="shared" si="9"/>
        <v>2033</v>
      </c>
      <c r="V40" s="82">
        <f t="shared" si="9"/>
        <v>2034</v>
      </c>
      <c r="W40" s="82">
        <f t="shared" si="9"/>
        <v>2035</v>
      </c>
      <c r="X40" s="82">
        <f t="shared" si="9"/>
        <v>2036</v>
      </c>
      <c r="Y40" s="82">
        <f t="shared" si="9"/>
        <v>2037</v>
      </c>
      <c r="Z40" s="82">
        <f t="shared" si="9"/>
        <v>2038</v>
      </c>
      <c r="AA40" s="82">
        <f t="shared" si="9"/>
        <v>2039</v>
      </c>
      <c r="AB40" s="82">
        <f t="shared" si="9"/>
        <v>2040</v>
      </c>
      <c r="AC40" s="82">
        <f t="shared" si="9"/>
        <v>2041</v>
      </c>
      <c r="AD40" s="82">
        <f t="shared" si="9"/>
        <v>2042</v>
      </c>
      <c r="AE40" s="82">
        <f t="shared" si="9"/>
        <v>2043</v>
      </c>
      <c r="AF40" s="82">
        <f t="shared" si="9"/>
        <v>2044</v>
      </c>
      <c r="AG40" s="82">
        <f t="shared" si="9"/>
        <v>2045</v>
      </c>
      <c r="AH40" s="82">
        <f t="shared" si="9"/>
        <v>2046</v>
      </c>
      <c r="AI40" s="82">
        <f t="shared" si="9"/>
        <v>2047</v>
      </c>
      <c r="AJ40" s="82">
        <f t="shared" si="9"/>
        <v>2048</v>
      </c>
      <c r="AK40" s="82">
        <f t="shared" si="9"/>
        <v>2049</v>
      </c>
      <c r="AL40" s="82">
        <f t="shared" si="9"/>
        <v>2050</v>
      </c>
      <c r="AM40" s="82">
        <f t="shared" si="9"/>
        <v>2051</v>
      </c>
      <c r="AN40" s="82">
        <f t="shared" si="9"/>
        <v>2052</v>
      </c>
      <c r="AO40" s="82">
        <f t="shared" ref="AO40" si="10">AN40+1</f>
        <v>2053</v>
      </c>
      <c r="AP40" s="82">
        <f t="shared" ref="AP40" si="11">AO40+1</f>
        <v>2054</v>
      </c>
      <c r="AQ40" s="82">
        <f t="shared" ref="AQ40" si="12">AP40+1</f>
        <v>2055</v>
      </c>
      <c r="AR40" s="162">
        <f t="shared" ref="AR40" si="13">AQ40+1</f>
        <v>2056</v>
      </c>
    </row>
    <row r="41" spans="1:44" x14ac:dyDescent="0.2">
      <c r="B41" s="44" t="s">
        <v>10</v>
      </c>
      <c r="D41" s="177">
        <f>SUM(F41:AR41)</f>
        <v>5.4038684577687981</v>
      </c>
      <c r="E41" s="177"/>
      <c r="F41" s="177">
        <f>Safety!F$79/1000000</f>
        <v>0</v>
      </c>
      <c r="G41" s="177">
        <f>Safety!G$79/1000000</f>
        <v>0</v>
      </c>
      <c r="H41" s="177">
        <f>Safety!H$79/1000000</f>
        <v>0</v>
      </c>
      <c r="I41" s="177">
        <f>Safety!I$79/1000000</f>
        <v>0</v>
      </c>
      <c r="J41" s="177">
        <f>Safety!J$79/1000000</f>
        <v>0</v>
      </c>
      <c r="K41" s="177">
        <f>Safety!K$79/1000000</f>
        <v>0</v>
      </c>
      <c r="L41" s="177">
        <f>Safety!L$79/1000000</f>
        <v>0</v>
      </c>
      <c r="M41" s="177">
        <f>Safety!M$79/1000000</f>
        <v>0</v>
      </c>
      <c r="N41" s="177">
        <f>Safety!N$79/1000000</f>
        <v>0</v>
      </c>
      <c r="O41" s="177">
        <f>Safety!O$79/1000000</f>
        <v>0.22992947755633478</v>
      </c>
      <c r="P41" s="177">
        <f>Safety!P$79/1000000</f>
        <v>0.23375695873410368</v>
      </c>
      <c r="Q41" s="177">
        <f>Safety!Q$79/1000000</f>
        <v>0.23764815341360304</v>
      </c>
      <c r="R41" s="177">
        <f>Safety!R$79/1000000</f>
        <v>0.24160412219059135</v>
      </c>
      <c r="S41" s="177">
        <f>Safety!S$79/1000000</f>
        <v>0.24562594331585044</v>
      </c>
      <c r="T41" s="177">
        <f>Safety!T$79/1000000</f>
        <v>0.24971471298907691</v>
      </c>
      <c r="U41" s="177">
        <f>Safety!U$79/1000000</f>
        <v>0.25387154565766529</v>
      </c>
      <c r="V41" s="177">
        <f>Safety!V$79/1000000</f>
        <v>0.25809757432046565</v>
      </c>
      <c r="W41" s="177">
        <f>Safety!W$79/1000000</f>
        <v>0.26239395083659717</v>
      </c>
      <c r="X41" s="177">
        <f>Safety!X$79/1000000</f>
        <v>0.26676184623940136</v>
      </c>
      <c r="Y41" s="177">
        <f>Safety!Y$79/1000000</f>
        <v>0.27120245105562385</v>
      </c>
      <c r="Z41" s="177">
        <f>Safety!Z$79/1000000</f>
        <v>0.27571697562990716</v>
      </c>
      <c r="AA41" s="177">
        <f>Safety!AA$79/1000000</f>
        <v>0.28030665045468572</v>
      </c>
      <c r="AB41" s="177">
        <f>Safety!AB$79/1000000</f>
        <v>0.28497272650557354</v>
      </c>
      <c r="AC41" s="177">
        <f>Safety!AC$79/1000000</f>
        <v>0.28971647558233271</v>
      </c>
      <c r="AD41" s="177">
        <f>Safety!AD$79/1000000</f>
        <v>0.29453919065551959</v>
      </c>
      <c r="AE41" s="177">
        <f>Safety!AE$79/1000000</f>
        <v>0.29944218621890073</v>
      </c>
      <c r="AF41" s="177">
        <f>Safety!AF$79/1000000</f>
        <v>0.30442679864773564</v>
      </c>
      <c r="AG41" s="177">
        <f>Safety!AG$79/1000000</f>
        <v>0.30949438656302214</v>
      </c>
      <c r="AH41" s="177">
        <f>Safety!AH$79/1000000</f>
        <v>0.31464633120180746</v>
      </c>
      <c r="AI41" s="177">
        <f>Safety!AI$79/1000000</f>
        <v>0</v>
      </c>
      <c r="AJ41" s="177">
        <f>Safety!AJ$79/1000000</f>
        <v>0</v>
      </c>
      <c r="AK41" s="177">
        <f>Safety!AK$79/1000000</f>
        <v>0</v>
      </c>
      <c r="AL41" s="177">
        <f>Safety!AL$79/1000000</f>
        <v>0</v>
      </c>
      <c r="AM41" s="177">
        <f>Safety!AM$79/1000000</f>
        <v>0</v>
      </c>
      <c r="AN41" s="177">
        <f>Safety!AN$79/1000000</f>
        <v>0</v>
      </c>
      <c r="AO41" s="177">
        <f>Safety!AO$79/1000000</f>
        <v>0</v>
      </c>
      <c r="AP41" s="177">
        <f>Safety!AP$79/1000000</f>
        <v>0</v>
      </c>
      <c r="AQ41" s="177">
        <f>Safety!AQ$79/1000000</f>
        <v>0</v>
      </c>
      <c r="AR41" s="177">
        <f>Safety!AR$79/1000000</f>
        <v>0</v>
      </c>
    </row>
    <row r="42" spans="1:44" x14ac:dyDescent="0.2">
      <c r="B42" s="40" t="s">
        <v>11</v>
      </c>
      <c r="D42" s="177">
        <f>SUM(F42:AR42)</f>
        <v>46.682487378913088</v>
      </c>
      <c r="E42" s="177"/>
      <c r="F42" s="177">
        <f>'Time Savings'!F$105/1000000</f>
        <v>0</v>
      </c>
      <c r="G42" s="177">
        <f>'Time Savings'!G$105/1000000</f>
        <v>0</v>
      </c>
      <c r="H42" s="177">
        <f>'Time Savings'!H$105/1000000</f>
        <v>0</v>
      </c>
      <c r="I42" s="177">
        <f>'Time Savings'!I$105/1000000</f>
        <v>0</v>
      </c>
      <c r="J42" s="177">
        <f>'Time Savings'!J$105/1000000</f>
        <v>0</v>
      </c>
      <c r="K42" s="177">
        <f>'Time Savings'!K$105/1000000</f>
        <v>0</v>
      </c>
      <c r="L42" s="177">
        <f>'Time Savings'!L$105/1000000</f>
        <v>0</v>
      </c>
      <c r="M42" s="177">
        <f>'Time Savings'!M$105/1000000</f>
        <v>0</v>
      </c>
      <c r="N42" s="177">
        <f>'Time Savings'!N$105/1000000</f>
        <v>0</v>
      </c>
      <c r="O42" s="177">
        <f>'Time Savings'!O$105/1000000</f>
        <v>1.0983685446913041</v>
      </c>
      <c r="P42" s="177">
        <f>'Time Savings'!P$105/1000000</f>
        <v>1.2284481051391301</v>
      </c>
      <c r="Q42" s="177">
        <f>'Time Savings'!Q$105/1000000</f>
        <v>1.3585276655869558</v>
      </c>
      <c r="R42" s="177">
        <f>'Time Savings'!R$105/1000000</f>
        <v>1.4886072260347825</v>
      </c>
      <c r="S42" s="177">
        <f>'Time Savings'!S$105/1000000</f>
        <v>1.6186867864826089</v>
      </c>
      <c r="T42" s="177">
        <f>'Time Savings'!T$105/1000000</f>
        <v>1.7487663469304364</v>
      </c>
      <c r="U42" s="177">
        <f>'Time Savings'!U$105/1000000</f>
        <v>1.8788459073782633</v>
      </c>
      <c r="V42" s="177">
        <f>'Time Savings'!V$105/1000000</f>
        <v>2.0089254678260891</v>
      </c>
      <c r="W42" s="177">
        <f>'Time Savings'!W$105/1000000</f>
        <v>2.1390050282739148</v>
      </c>
      <c r="X42" s="177">
        <f>'Time Savings'!X$105/1000000</f>
        <v>2.2690845887217415</v>
      </c>
      <c r="Y42" s="177">
        <f>'Time Savings'!Y$105/1000000</f>
        <v>2.399164149169569</v>
      </c>
      <c r="Z42" s="177">
        <f>'Time Savings'!Z$105/1000000</f>
        <v>2.5292437096173948</v>
      </c>
      <c r="AA42" s="177">
        <f>'Time Savings'!AA$105/1000000</f>
        <v>2.6593232700652205</v>
      </c>
      <c r="AB42" s="177">
        <f>'Time Savings'!AB$105/1000000</f>
        <v>2.7894028305130467</v>
      </c>
      <c r="AC42" s="177">
        <f>'Time Savings'!AC$105/1000000</f>
        <v>2.9194823909608747</v>
      </c>
      <c r="AD42" s="177">
        <f>'Time Savings'!AD$105/1000000</f>
        <v>3.0495619514087</v>
      </c>
      <c r="AE42" s="177">
        <f>'Time Savings'!AE$105/1000000</f>
        <v>3.1796415118565262</v>
      </c>
      <c r="AF42" s="177">
        <f>'Time Savings'!AF$105/1000000</f>
        <v>3.3097210723043506</v>
      </c>
      <c r="AG42" s="177">
        <f>'Time Savings'!AG$105/1000000</f>
        <v>3.4398006327521791</v>
      </c>
      <c r="AH42" s="177">
        <f>'Time Savings'!AH$105/1000000</f>
        <v>3.5698801932000053</v>
      </c>
      <c r="AI42" s="177">
        <f>'Time Savings'!AI$105/1000000</f>
        <v>0</v>
      </c>
      <c r="AJ42" s="177">
        <f>'Time Savings'!AJ$105/1000000</f>
        <v>0</v>
      </c>
      <c r="AK42" s="177">
        <f>'Time Savings'!AK$105/1000000</f>
        <v>0</v>
      </c>
      <c r="AL42" s="177">
        <f>'Time Savings'!AL$105/1000000</f>
        <v>0</v>
      </c>
      <c r="AM42" s="177">
        <f>'Time Savings'!AM$105/1000000</f>
        <v>0</v>
      </c>
      <c r="AN42" s="177">
        <f>'Time Savings'!AN$105/1000000</f>
        <v>0</v>
      </c>
      <c r="AO42" s="177">
        <f>'Time Savings'!AO$105/1000000</f>
        <v>0</v>
      </c>
      <c r="AP42" s="177">
        <f>'Time Savings'!AP$105/1000000</f>
        <v>0</v>
      </c>
      <c r="AQ42" s="177">
        <f>'Time Savings'!AQ$105/1000000</f>
        <v>0</v>
      </c>
      <c r="AR42" s="177">
        <f>'Time Savings'!AR$105/1000000</f>
        <v>0</v>
      </c>
    </row>
    <row r="43" spans="1:44" x14ac:dyDescent="0.2">
      <c r="B43" s="40" t="s">
        <v>12</v>
      </c>
      <c r="D43" s="177">
        <f t="shared" ref="D43:D50" si="14">SUM(F43:AR43)</f>
        <v>14.647445846315867</v>
      </c>
      <c r="E43" s="177"/>
      <c r="F43" s="177">
        <f>'Veh Op Costs'!F$76/1000000</f>
        <v>0</v>
      </c>
      <c r="G43" s="177">
        <f>'Veh Op Costs'!G$76/1000000</f>
        <v>0</v>
      </c>
      <c r="H43" s="177">
        <f>'Veh Op Costs'!H$76/1000000</f>
        <v>0</v>
      </c>
      <c r="I43" s="177">
        <f>'Veh Op Costs'!I$76/1000000</f>
        <v>0</v>
      </c>
      <c r="J43" s="177">
        <f>'Veh Op Costs'!J$76/1000000</f>
        <v>0</v>
      </c>
      <c r="K43" s="177">
        <f>'Veh Op Costs'!K$76/1000000</f>
        <v>0</v>
      </c>
      <c r="L43" s="177">
        <f>'Veh Op Costs'!L$76/1000000</f>
        <v>0</v>
      </c>
      <c r="M43" s="177">
        <f>'Veh Op Costs'!M$76/1000000</f>
        <v>0</v>
      </c>
      <c r="N43" s="177">
        <f>'Veh Op Costs'!N$76/1000000</f>
        <v>0</v>
      </c>
      <c r="O43" s="177">
        <f>'Veh Op Costs'!O$76/1000000</f>
        <v>0.48347237907742174</v>
      </c>
      <c r="P43" s="177">
        <f>'Veh Op Costs'!P$76/1000000</f>
        <v>0.50725728456030983</v>
      </c>
      <c r="Q43" s="177">
        <f>'Veh Op Costs'!Q$76/1000000</f>
        <v>0.53228085612512599</v>
      </c>
      <c r="R43" s="177">
        <f>'Veh Op Costs'!R$76/1000000</f>
        <v>0.55825539412815639</v>
      </c>
      <c r="S43" s="177">
        <f>'Veh Op Costs'!S$76/1000000</f>
        <v>0.58173931755258246</v>
      </c>
      <c r="T43" s="177">
        <f>'Veh Op Costs'!T$76/1000000</f>
        <v>0.60904211135823261</v>
      </c>
      <c r="U43" s="177">
        <f>'Veh Op Costs'!U$76/1000000</f>
        <v>0.6348777769389129</v>
      </c>
      <c r="V43" s="177">
        <f>'Veh Op Costs'!V$76/1000000</f>
        <v>0.66140486351918804</v>
      </c>
      <c r="W43" s="177">
        <f>'Veh Op Costs'!W$76/1000000</f>
        <v>0.68742913273040218</v>
      </c>
      <c r="X43" s="177">
        <f>'Veh Op Costs'!X$76/1000000</f>
        <v>0.71929517229135653</v>
      </c>
      <c r="Y43" s="177">
        <f>'Veh Op Costs'!Y$76/1000000</f>
        <v>0.74518421063388252</v>
      </c>
      <c r="Z43" s="177">
        <f>'Veh Op Costs'!Z$76/1000000</f>
        <v>0.77229875211094556</v>
      </c>
      <c r="AA43" s="177">
        <f>'Veh Op Costs'!AA$76/1000000</f>
        <v>0.80052025645348679</v>
      </c>
      <c r="AB43" s="177">
        <f>'Veh Op Costs'!AB$76/1000000</f>
        <v>0.82654842795666839</v>
      </c>
      <c r="AC43" s="177">
        <f>'Veh Op Costs'!AC$76/1000000</f>
        <v>0.85171493651337371</v>
      </c>
      <c r="AD43" s="177">
        <f>'Veh Op Costs'!AD$76/1000000</f>
        <v>0.8788760663638987</v>
      </c>
      <c r="AE43" s="177">
        <f>'Veh Op Costs'!AE$76/1000000</f>
        <v>0.90052428223457592</v>
      </c>
      <c r="AF43" s="177">
        <f>'Veh Op Costs'!AF$76/1000000</f>
        <v>0.93119606363474972</v>
      </c>
      <c r="AG43" s="177">
        <f>'Veh Op Costs'!AG$76/1000000</f>
        <v>0.95669270209014756</v>
      </c>
      <c r="AH43" s="177">
        <f>'Veh Op Costs'!AH$76/1000000</f>
        <v>1.0088358600424499</v>
      </c>
      <c r="AI43" s="177">
        <f>'Veh Op Costs'!AI$76/1000000</f>
        <v>0</v>
      </c>
      <c r="AJ43" s="177">
        <f>'Veh Op Costs'!AJ$76/1000000</f>
        <v>0</v>
      </c>
      <c r="AK43" s="177">
        <f>'Veh Op Costs'!AK$76/1000000</f>
        <v>0</v>
      </c>
      <c r="AL43" s="177">
        <f>'Veh Op Costs'!AL$76/1000000</f>
        <v>0</v>
      </c>
      <c r="AM43" s="177">
        <f>'Veh Op Costs'!AM$76/1000000</f>
        <v>0</v>
      </c>
      <c r="AN43" s="177">
        <f>'Veh Op Costs'!AN$76/1000000</f>
        <v>0</v>
      </c>
      <c r="AO43" s="177">
        <f>'Veh Op Costs'!AO$76/1000000</f>
        <v>0</v>
      </c>
      <c r="AP43" s="177">
        <f>'Veh Op Costs'!AP$76/1000000</f>
        <v>0</v>
      </c>
      <c r="AQ43" s="177">
        <f>'Veh Op Costs'!AQ$76/1000000</f>
        <v>0</v>
      </c>
      <c r="AR43" s="177">
        <f>'Veh Op Costs'!AR$76/1000000</f>
        <v>0</v>
      </c>
    </row>
    <row r="44" spans="1:44" x14ac:dyDescent="0.2">
      <c r="B44" s="40" t="s">
        <v>31</v>
      </c>
      <c r="D44" s="177">
        <f t="shared" si="14"/>
        <v>0.37925307140232301</v>
      </c>
      <c r="E44" s="177"/>
      <c r="F44" s="177">
        <f>Emissions!F$98/1000000</f>
        <v>0</v>
      </c>
      <c r="G44" s="177">
        <f>Emissions!G$98/1000000</f>
        <v>0</v>
      </c>
      <c r="H44" s="177">
        <f>Emissions!H$98/1000000</f>
        <v>0</v>
      </c>
      <c r="I44" s="177">
        <f>Emissions!I$98/1000000</f>
        <v>0</v>
      </c>
      <c r="J44" s="177">
        <f>Emissions!J$98/1000000</f>
        <v>0</v>
      </c>
      <c r="K44" s="177">
        <f>Emissions!K$98/1000000</f>
        <v>0</v>
      </c>
      <c r="L44" s="177">
        <f>Emissions!L$98/1000000</f>
        <v>0</v>
      </c>
      <c r="M44" s="177">
        <f>Emissions!M$98/1000000</f>
        <v>0</v>
      </c>
      <c r="N44" s="177">
        <f>Emissions!N$98/1000000</f>
        <v>0</v>
      </c>
      <c r="O44" s="177">
        <f>Emissions!O$98/1000000</f>
        <v>9.1943921645226585E-3</v>
      </c>
      <c r="P44" s="177">
        <f>Emissions!P$98/1000000</f>
        <v>1.026854650430171E-2</v>
      </c>
      <c r="Q44" s="177">
        <f>Emissions!Q$98/1000000</f>
        <v>1.1416384642276935E-2</v>
      </c>
      <c r="R44" s="177">
        <f>Emissions!R$98/1000000</f>
        <v>1.2548287455253384E-2</v>
      </c>
      <c r="S44" s="177">
        <f>Emissions!S$98/1000000</f>
        <v>1.3533210649587301E-2</v>
      </c>
      <c r="T44" s="177">
        <f>Emissions!T$98/1000000</f>
        <v>1.4516472295303989E-2</v>
      </c>
      <c r="U44" s="177">
        <f>Emissions!U$98/1000000</f>
        <v>1.5504989071530981E-2</v>
      </c>
      <c r="V44" s="177">
        <f>Emissions!V$98/1000000</f>
        <v>1.6495422424767609E-2</v>
      </c>
      <c r="W44" s="177">
        <f>Emissions!W$98/1000000</f>
        <v>1.7483475513008381E-2</v>
      </c>
      <c r="X44" s="177">
        <f>Emissions!X$98/1000000</f>
        <v>1.8477502448138061E-2</v>
      </c>
      <c r="Y44" s="177">
        <f>Emissions!Y$98/1000000</f>
        <v>1.9473445960277357E-2</v>
      </c>
      <c r="Z44" s="177">
        <f>Emissions!Z$98/1000000</f>
        <v>2.0466290491042229E-2</v>
      </c>
      <c r="AA44" s="177">
        <f>Emissions!AA$98/1000000</f>
        <v>2.14658275850746E-2</v>
      </c>
      <c r="AB44" s="177">
        <f>Emissions!AB$98/1000000</f>
        <v>2.2467281256116599E-2</v>
      </c>
      <c r="AC44" s="177">
        <f>Emissions!AC$98/1000000</f>
        <v>2.3470651504168258E-2</v>
      </c>
      <c r="AD44" s="177">
        <f>Emissions!AD$98/1000000</f>
        <v>2.4475938329229511E-2</v>
      </c>
      <c r="AE44" s="177">
        <f>Emissions!AE$98/1000000</f>
        <v>2.548314173130042E-2</v>
      </c>
      <c r="AF44" s="177">
        <f>Emissions!AF$98/1000000</f>
        <v>2.6492261710381004E-2</v>
      </c>
      <c r="AG44" s="177">
        <f>Emissions!AG$98/1000000</f>
        <v>2.7503298266471146E-2</v>
      </c>
      <c r="AH44" s="177">
        <f>Emissions!AH$98/1000000</f>
        <v>2.8516251399570945E-2</v>
      </c>
      <c r="AI44" s="177">
        <f>Emissions!AI$98/1000000</f>
        <v>0</v>
      </c>
      <c r="AJ44" s="177">
        <f>Emissions!AJ$98/1000000</f>
        <v>0</v>
      </c>
      <c r="AK44" s="177">
        <f>Emissions!AK$98/1000000</f>
        <v>0</v>
      </c>
      <c r="AL44" s="177">
        <f>Emissions!AL$98/1000000</f>
        <v>0</v>
      </c>
      <c r="AM44" s="177">
        <f>Emissions!AM$98/1000000</f>
        <v>0</v>
      </c>
      <c r="AN44" s="177">
        <f>Emissions!AN$98/1000000</f>
        <v>0</v>
      </c>
      <c r="AO44" s="177">
        <f>Emissions!AO$98/1000000</f>
        <v>0</v>
      </c>
      <c r="AP44" s="177">
        <f>Emissions!AP$98/1000000</f>
        <v>0</v>
      </c>
      <c r="AQ44" s="177">
        <f>Emissions!AQ$98/1000000</f>
        <v>0</v>
      </c>
      <c r="AR44" s="177">
        <f>Emissions!AR$98/1000000</f>
        <v>0</v>
      </c>
    </row>
    <row r="45" spans="1:44" x14ac:dyDescent="0.2">
      <c r="B45" s="40" t="s">
        <v>32</v>
      </c>
      <c r="D45" s="177">
        <f t="shared" si="14"/>
        <v>5.202041917627132</v>
      </c>
      <c r="E45" s="177"/>
      <c r="F45" s="177">
        <f>Pedestrian!F$58/1000000</f>
        <v>0</v>
      </c>
      <c r="G45" s="177">
        <f>Pedestrian!G$58/1000000</f>
        <v>0</v>
      </c>
      <c r="H45" s="177">
        <f>Pedestrian!H$58/1000000</f>
        <v>0</v>
      </c>
      <c r="I45" s="177">
        <f>Pedestrian!I$58/1000000</f>
        <v>0</v>
      </c>
      <c r="J45" s="177">
        <f>Pedestrian!J$58/1000000</f>
        <v>0</v>
      </c>
      <c r="K45" s="177">
        <f>Pedestrian!K$58/1000000</f>
        <v>0</v>
      </c>
      <c r="L45" s="177">
        <f>Pedestrian!L$58/1000000</f>
        <v>0</v>
      </c>
      <c r="M45" s="177">
        <f>Pedestrian!M$58/1000000</f>
        <v>0</v>
      </c>
      <c r="N45" s="177">
        <f>Pedestrian!N$58/1000000</f>
        <v>0</v>
      </c>
      <c r="O45" s="177">
        <f>Pedestrian!O$58/1000000</f>
        <v>0.17279325479717558</v>
      </c>
      <c r="P45" s="177">
        <f>Pedestrian!P$58/1000000</f>
        <v>0.20695978987343233</v>
      </c>
      <c r="Q45" s="177">
        <f>Pedestrian!Q$58/1000000</f>
        <v>0.24222970509594283</v>
      </c>
      <c r="R45" s="177">
        <f>Pedestrian!R$58/1000000</f>
        <v>0.24502467157045502</v>
      </c>
      <c r="S45" s="177">
        <f>Pedestrian!S$58/1000000</f>
        <v>0.24785948364398944</v>
      </c>
      <c r="T45" s="177">
        <f>Pedestrian!T$58/1000000</f>
        <v>0.25073476853062598</v>
      </c>
      <c r="U45" s="177">
        <f>Pedestrian!U$58/1000000</f>
        <v>0.25365116369051077</v>
      </c>
      <c r="V45" s="177">
        <f>Pedestrian!V$58/1000000</f>
        <v>0.25660931699936335</v>
      </c>
      <c r="W45" s="177">
        <f>Pedestrian!W$58/1000000</f>
        <v>0.25960988692080122</v>
      </c>
      <c r="X45" s="177">
        <f>Pedestrian!X$58/1000000</f>
        <v>0.26265354268152641</v>
      </c>
      <c r="Y45" s="177">
        <f>Pedestrian!Y$58/1000000</f>
        <v>0.26574096444942241</v>
      </c>
      <c r="Z45" s="177">
        <f>Pedestrian!Z$58/1000000</f>
        <v>0.26887284351461077</v>
      </c>
      <c r="AA45" s="177">
        <f>Pedestrian!AA$58/1000000</f>
        <v>0.27204988247351486</v>
      </c>
      <c r="AB45" s="177">
        <f>Pedestrian!AB$58/1000000</f>
        <v>0.27527279541598271</v>
      </c>
      <c r="AC45" s="177">
        <f>Pedestrian!AC$58/1000000</f>
        <v>0.27854230811551806</v>
      </c>
      <c r="AD45" s="177">
        <f>Pedestrian!AD$58/1000000</f>
        <v>0.28185915822267271</v>
      </c>
      <c r="AE45" s="177">
        <f>Pedestrian!AE$58/1000000</f>
        <v>0.28522409546165201</v>
      </c>
      <c r="AF45" s="177">
        <f>Pedestrian!AF$58/1000000</f>
        <v>0.2886378818301874</v>
      </c>
      <c r="AG45" s="177">
        <f>Pedestrian!AG$58/1000000</f>
        <v>0.2921012918027297</v>
      </c>
      <c r="AH45" s="177">
        <f>Pedestrian!AH$58/1000000</f>
        <v>0.29561511253701894</v>
      </c>
      <c r="AI45" s="177">
        <f>Pedestrian!AI$58/1000000</f>
        <v>0</v>
      </c>
      <c r="AJ45" s="177">
        <f>Pedestrian!AJ$58/1000000</f>
        <v>0</v>
      </c>
      <c r="AK45" s="177">
        <f>Pedestrian!AK$58/1000000</f>
        <v>0</v>
      </c>
      <c r="AL45" s="177">
        <f>Pedestrian!AL$58/1000000</f>
        <v>0</v>
      </c>
      <c r="AM45" s="177">
        <f>Pedestrian!AM$58/1000000</f>
        <v>0</v>
      </c>
      <c r="AN45" s="177">
        <f>Pedestrian!AN$58/1000000</f>
        <v>0</v>
      </c>
      <c r="AO45" s="177">
        <f>Pedestrian!AO$58/1000000</f>
        <v>0</v>
      </c>
      <c r="AP45" s="177">
        <f>Pedestrian!AP$58/1000000</f>
        <v>0</v>
      </c>
      <c r="AQ45" s="177">
        <f>Pedestrian!AQ$58/1000000</f>
        <v>0</v>
      </c>
      <c r="AR45" s="177">
        <f>Pedestrian!AR$58/1000000</f>
        <v>0</v>
      </c>
    </row>
    <row r="46" spans="1:44" x14ac:dyDescent="0.2">
      <c r="B46" s="40" t="s">
        <v>1010</v>
      </c>
      <c r="D46" s="177">
        <f t="shared" ref="D46" si="15">SUM(F46:AR46)</f>
        <v>2.856015358909413</v>
      </c>
      <c r="E46" s="177"/>
      <c r="F46" s="177">
        <f>'Induced Peds'!F$41/1000000</f>
        <v>0</v>
      </c>
      <c r="G46" s="177">
        <f>'Induced Peds'!G$41/1000000</f>
        <v>0</v>
      </c>
      <c r="H46" s="177">
        <f>'Induced Peds'!H$41/1000000</f>
        <v>0</v>
      </c>
      <c r="I46" s="177">
        <f>'Induced Peds'!I$41/1000000</f>
        <v>0</v>
      </c>
      <c r="J46" s="177">
        <f>'Induced Peds'!J$41/1000000</f>
        <v>0</v>
      </c>
      <c r="K46" s="177">
        <f>'Induced Peds'!K$41/1000000</f>
        <v>0</v>
      </c>
      <c r="L46" s="177">
        <f>'Induced Peds'!L$41/1000000</f>
        <v>0</v>
      </c>
      <c r="M46" s="177">
        <f>'Induced Peds'!M$41/1000000</f>
        <v>0</v>
      </c>
      <c r="N46" s="177">
        <f>'Induced Peds'!N$41/1000000</f>
        <v>0</v>
      </c>
      <c r="O46" s="177">
        <f>'Induced Peds'!O$41/1000000</f>
        <v>6.2774742278137202E-2</v>
      </c>
      <c r="P46" s="177">
        <f>'Induced Peds'!P$41/1000000</f>
        <v>9.5729566710248654E-2</v>
      </c>
      <c r="Q46" s="177">
        <f>'Induced Peds'!Q$41/1000000</f>
        <v>0.12976414979031151</v>
      </c>
      <c r="R46" s="177">
        <f>'Induced Peds'!R$41/1000000</f>
        <v>0.131924246208353</v>
      </c>
      <c r="S46" s="177">
        <f>'Induced Peds'!S$41/1000000</f>
        <v>0.1341203002968511</v>
      </c>
      <c r="T46" s="177">
        <f>'Induced Peds'!T$41/1000000</f>
        <v>0.13635291061893182</v>
      </c>
      <c r="U46" s="177">
        <f>'Induced Peds'!U$41/1000000</f>
        <v>0.13862268570159861</v>
      </c>
      <c r="V46" s="177">
        <f>'Induced Peds'!V$41/1000000</f>
        <v>0.14093024420159411</v>
      </c>
      <c r="W46" s="177">
        <f>'Induced Peds'!W$41/1000000</f>
        <v>0.14327621507402305</v>
      </c>
      <c r="X46" s="177">
        <f>'Induced Peds'!X$41/1000000</f>
        <v>0.14566123774378245</v>
      </c>
      <c r="Y46" s="177">
        <f>'Induced Peds'!Y$41/1000000</f>
        <v>0.1480859622798448</v>
      </c>
      <c r="Z46" s="177">
        <f>'Induced Peds'!Z$41/1000000</f>
        <v>0.15055104957244314</v>
      </c>
      <c r="AA46" s="177">
        <f>'Induced Peds'!AA$41/1000000</f>
        <v>0.15305717151320514</v>
      </c>
      <c r="AB46" s="177">
        <f>'Induced Peds'!AB$41/1000000</f>
        <v>0.15560501117828593</v>
      </c>
      <c r="AC46" s="177">
        <f>'Induced Peds'!AC$41/1000000</f>
        <v>0.15819526301454945</v>
      </c>
      <c r="AD46" s="177">
        <f>'Induced Peds'!AD$41/1000000</f>
        <v>0.16082863302884887</v>
      </c>
      <c r="AE46" s="177">
        <f>'Induced Peds'!AE$41/1000000</f>
        <v>0.16350583898045806</v>
      </c>
      <c r="AF46" s="177">
        <f>'Induced Peds'!AF$41/1000000</f>
        <v>0.16622761057670624</v>
      </c>
      <c r="AG46" s="177">
        <f>'Induced Peds'!AG$41/1000000</f>
        <v>0.16899468967186904</v>
      </c>
      <c r="AH46" s="177">
        <f>'Induced Peds'!AH$41/1000000</f>
        <v>0.17180783046937073</v>
      </c>
      <c r="AI46" s="177">
        <f>'Induced Peds'!AI$41/1000000</f>
        <v>0</v>
      </c>
      <c r="AJ46" s="177">
        <f>'Induced Peds'!AJ$41/1000000</f>
        <v>0</v>
      </c>
      <c r="AK46" s="177">
        <f>'Induced Peds'!AK$41/1000000</f>
        <v>0</v>
      </c>
      <c r="AL46" s="177">
        <f>'Induced Peds'!AL$41/1000000</f>
        <v>0</v>
      </c>
      <c r="AM46" s="177">
        <f>'Induced Peds'!AM$41/1000000</f>
        <v>0</v>
      </c>
      <c r="AN46" s="177">
        <f>'Induced Peds'!AN$41/1000000</f>
        <v>0</v>
      </c>
      <c r="AO46" s="177">
        <f>'Induced Peds'!AO$41/1000000</f>
        <v>0</v>
      </c>
      <c r="AP46" s="177">
        <f>'Induced Peds'!AP$41/1000000</f>
        <v>0</v>
      </c>
      <c r="AQ46" s="177">
        <f>'Induced Peds'!AQ$41/1000000</f>
        <v>0</v>
      </c>
      <c r="AR46" s="177">
        <f>'Induced Peds'!AR$41/1000000</f>
        <v>0</v>
      </c>
    </row>
    <row r="47" spans="1:44" x14ac:dyDescent="0.2">
      <c r="B47" s="83" t="s">
        <v>15</v>
      </c>
      <c r="D47" s="177">
        <f t="shared" si="14"/>
        <v>3.3887837040307976E-2</v>
      </c>
      <c r="E47" s="177"/>
      <c r="F47" s="177">
        <f>'Bridge Hits'!F$45/1000000</f>
        <v>0</v>
      </c>
      <c r="G47" s="177">
        <f>'Bridge Hits'!G$45/1000000</f>
        <v>0</v>
      </c>
      <c r="H47" s="177">
        <f>'Bridge Hits'!H$45/1000000</f>
        <v>0</v>
      </c>
      <c r="I47" s="177">
        <f>'Bridge Hits'!I$45/1000000</f>
        <v>0</v>
      </c>
      <c r="J47" s="177">
        <f>'Bridge Hits'!J$45/1000000</f>
        <v>0</v>
      </c>
      <c r="K47" s="177">
        <f>'Bridge Hits'!K$45/1000000</f>
        <v>0</v>
      </c>
      <c r="L47" s="177">
        <f>'Bridge Hits'!L$45/1000000</f>
        <v>0</v>
      </c>
      <c r="M47" s="177">
        <f>'Bridge Hits'!M$45/1000000</f>
        <v>0</v>
      </c>
      <c r="N47" s="177">
        <f>'Bridge Hits'!N$45/1000000</f>
        <v>0</v>
      </c>
      <c r="O47" s="177">
        <f>'Bridge Hits'!O$45/1000000</f>
        <v>1.6943918520153989E-3</v>
      </c>
      <c r="P47" s="177">
        <f>'Bridge Hits'!P$45/1000000</f>
        <v>1.6943918520153989E-3</v>
      </c>
      <c r="Q47" s="177">
        <f>'Bridge Hits'!Q$45/1000000</f>
        <v>1.6943918520153989E-3</v>
      </c>
      <c r="R47" s="177">
        <f>'Bridge Hits'!R$45/1000000</f>
        <v>1.6943918520153989E-3</v>
      </c>
      <c r="S47" s="177">
        <f>'Bridge Hits'!S$45/1000000</f>
        <v>1.6943918520153989E-3</v>
      </c>
      <c r="T47" s="177">
        <f>'Bridge Hits'!T$45/1000000</f>
        <v>1.6943918520153989E-3</v>
      </c>
      <c r="U47" s="177">
        <f>'Bridge Hits'!U$45/1000000</f>
        <v>1.6943918520153989E-3</v>
      </c>
      <c r="V47" s="177">
        <f>'Bridge Hits'!V$45/1000000</f>
        <v>1.6943918520153989E-3</v>
      </c>
      <c r="W47" s="177">
        <f>'Bridge Hits'!W$45/1000000</f>
        <v>1.6943918520153989E-3</v>
      </c>
      <c r="X47" s="177">
        <f>'Bridge Hits'!X$45/1000000</f>
        <v>1.6943918520153989E-3</v>
      </c>
      <c r="Y47" s="177">
        <f>'Bridge Hits'!Y$45/1000000</f>
        <v>1.6943918520153989E-3</v>
      </c>
      <c r="Z47" s="177">
        <f>'Bridge Hits'!Z$45/1000000</f>
        <v>1.6943918520153989E-3</v>
      </c>
      <c r="AA47" s="177">
        <f>'Bridge Hits'!AA$45/1000000</f>
        <v>1.6943918520153989E-3</v>
      </c>
      <c r="AB47" s="177">
        <f>'Bridge Hits'!AB$45/1000000</f>
        <v>1.6943918520153989E-3</v>
      </c>
      <c r="AC47" s="177">
        <f>'Bridge Hits'!AC$45/1000000</f>
        <v>1.6943918520153989E-3</v>
      </c>
      <c r="AD47" s="177">
        <f>'Bridge Hits'!AD$45/1000000</f>
        <v>1.6943918520153989E-3</v>
      </c>
      <c r="AE47" s="177">
        <f>'Bridge Hits'!AE$45/1000000</f>
        <v>1.6943918520153989E-3</v>
      </c>
      <c r="AF47" s="177">
        <f>'Bridge Hits'!AF$45/1000000</f>
        <v>1.6943918520153989E-3</v>
      </c>
      <c r="AG47" s="177">
        <f>'Bridge Hits'!AG$45/1000000</f>
        <v>1.6943918520153989E-3</v>
      </c>
      <c r="AH47" s="177">
        <f>'Bridge Hits'!AH$45/1000000</f>
        <v>1.6943918520153989E-3</v>
      </c>
      <c r="AI47" s="177">
        <f>'Bridge Hits'!AI$45/1000000</f>
        <v>0</v>
      </c>
      <c r="AJ47" s="177">
        <f>'Bridge Hits'!AJ$45/1000000</f>
        <v>0</v>
      </c>
      <c r="AK47" s="177">
        <f>'Bridge Hits'!AK$45/1000000</f>
        <v>0</v>
      </c>
      <c r="AL47" s="177">
        <f>'Bridge Hits'!AL$45/1000000</f>
        <v>0</v>
      </c>
      <c r="AM47" s="177">
        <f>'Bridge Hits'!AM$45/1000000</f>
        <v>0</v>
      </c>
      <c r="AN47" s="177">
        <f>'Bridge Hits'!AN$45/1000000</f>
        <v>0</v>
      </c>
      <c r="AO47" s="177">
        <f>'Bridge Hits'!AO$45/1000000</f>
        <v>0</v>
      </c>
      <c r="AP47" s="177">
        <f>'Bridge Hits'!AP$45/1000000</f>
        <v>0</v>
      </c>
      <c r="AQ47" s="177">
        <f>'Bridge Hits'!AQ$45/1000000</f>
        <v>0</v>
      </c>
      <c r="AR47" s="177">
        <f>'Bridge Hits'!AR$45/1000000</f>
        <v>0</v>
      </c>
    </row>
    <row r="48" spans="1:44" x14ac:dyDescent="0.2">
      <c r="B48" s="40" t="s">
        <v>824</v>
      </c>
      <c r="D48" s="177">
        <f>SUM(F48:AR48)</f>
        <v>3.6161773652176512</v>
      </c>
      <c r="E48" s="177"/>
      <c r="F48" s="177">
        <f>-'Project Costs'!F$71/1000000</f>
        <v>0</v>
      </c>
      <c r="G48" s="177">
        <f>-'Project Costs'!G$71/1000000</f>
        <v>0</v>
      </c>
      <c r="H48" s="177">
        <f>-'Project Costs'!H$71/1000000</f>
        <v>0</v>
      </c>
      <c r="I48" s="177">
        <f>-'Project Costs'!I$71/1000000</f>
        <v>0</v>
      </c>
      <c r="J48" s="177">
        <f>-'Project Costs'!J$71/1000000</f>
        <v>0</v>
      </c>
      <c r="K48" s="177">
        <f>-'Project Costs'!K$71/1000000</f>
        <v>0</v>
      </c>
      <c r="L48" s="177">
        <f>-'Project Costs'!L$71/1000000</f>
        <v>0</v>
      </c>
      <c r="M48" s="177">
        <f>-'Project Costs'!M$71/1000000</f>
        <v>0</v>
      </c>
      <c r="N48" s="177">
        <f>-'Project Costs'!N$71/1000000</f>
        <v>0</v>
      </c>
      <c r="O48" s="177">
        <f>-'Project Costs'!O$71/1000000</f>
        <v>-0.32670678312498136</v>
      </c>
      <c r="P48" s="177">
        <f>-'Project Costs'!P$71/1000000</f>
        <v>0</v>
      </c>
      <c r="Q48" s="177">
        <f>-'Project Costs'!Q$71/1000000</f>
        <v>0</v>
      </c>
      <c r="R48" s="177">
        <f>-'Project Costs'!R$71/1000000</f>
        <v>1.5047180982784856</v>
      </c>
      <c r="S48" s="177">
        <f>-'Project Costs'!S$71/1000000</f>
        <v>0</v>
      </c>
      <c r="T48" s="177">
        <f>-'Project Costs'!T$71/1000000</f>
        <v>0</v>
      </c>
      <c r="U48" s="177">
        <f>-'Project Costs'!U$71/1000000</f>
        <v>0</v>
      </c>
      <c r="V48" s="177">
        <f>-'Project Costs'!V$71/1000000</f>
        <v>0</v>
      </c>
      <c r="W48" s="177">
        <f>-'Project Costs'!W$71/1000000</f>
        <v>0.93344795178566098</v>
      </c>
      <c r="X48" s="177">
        <f>-'Project Costs'!X$71/1000000</f>
        <v>0</v>
      </c>
      <c r="Y48" s="177">
        <f>-'Project Costs'!Y$71/1000000</f>
        <v>0</v>
      </c>
      <c r="Z48" s="177">
        <f>-'Project Costs'!Z$71/1000000</f>
        <v>0</v>
      </c>
      <c r="AA48" s="177">
        <f>-'Project Costs'!AA$71/1000000</f>
        <v>0</v>
      </c>
      <c r="AB48" s="177">
        <f>-'Project Costs'!AB$71/1000000</f>
        <v>0</v>
      </c>
      <c r="AC48" s="177">
        <f>-'Project Costs'!AC$71/1000000</f>
        <v>0</v>
      </c>
      <c r="AD48" s="177">
        <f>-'Project Costs'!AD$71/1000000</f>
        <v>0</v>
      </c>
      <c r="AE48" s="177">
        <f>-'Project Costs'!AE$71/1000000</f>
        <v>0</v>
      </c>
      <c r="AF48" s="177">
        <f>-'Project Costs'!AF$71/1000000</f>
        <v>0</v>
      </c>
      <c r="AG48" s="177">
        <f>-'Project Costs'!AG$71/1000000</f>
        <v>1.5047180982784856</v>
      </c>
      <c r="AH48" s="177">
        <f>-'Project Costs'!AH$71/1000000</f>
        <v>0</v>
      </c>
      <c r="AI48" s="177">
        <f>-'Project Costs'!AI$71/1000000</f>
        <v>0</v>
      </c>
      <c r="AJ48" s="177">
        <f>-'Project Costs'!AJ$71/1000000</f>
        <v>0</v>
      </c>
      <c r="AK48" s="177">
        <f>-'Project Costs'!AK$71/1000000</f>
        <v>0</v>
      </c>
      <c r="AL48" s="177">
        <f>-'Project Costs'!AL$71/1000000</f>
        <v>0</v>
      </c>
      <c r="AM48" s="177">
        <f>-'Project Costs'!AM$71/1000000</f>
        <v>0</v>
      </c>
      <c r="AN48" s="177">
        <f>-'Project Costs'!AN$71/1000000</f>
        <v>0</v>
      </c>
      <c r="AO48" s="177">
        <f>-'Project Costs'!AO$71/1000000</f>
        <v>0</v>
      </c>
      <c r="AP48" s="177">
        <f>-'Project Costs'!AP$71/1000000</f>
        <v>0</v>
      </c>
      <c r="AQ48" s="177">
        <f>-'Project Costs'!AQ$71/1000000</f>
        <v>0</v>
      </c>
      <c r="AR48" s="177">
        <f>-'Project Costs'!AR$71/1000000</f>
        <v>0</v>
      </c>
    </row>
    <row r="49" spans="1:44" x14ac:dyDescent="0.2">
      <c r="B49" s="83" t="s">
        <v>16</v>
      </c>
      <c r="D49" s="177">
        <f t="shared" si="14"/>
        <v>3.5114323702039263</v>
      </c>
      <c r="E49" s="177"/>
      <c r="F49" s="177">
        <f>'Residual Value'!F$54/1000000</f>
        <v>0</v>
      </c>
      <c r="G49" s="177">
        <f>'Residual Value'!G$54/1000000</f>
        <v>0</v>
      </c>
      <c r="H49" s="177">
        <f>'Residual Value'!H$54/1000000</f>
        <v>0</v>
      </c>
      <c r="I49" s="177">
        <f>'Residual Value'!I$54/1000000</f>
        <v>0</v>
      </c>
      <c r="J49" s="177">
        <f>'Residual Value'!J$54/1000000</f>
        <v>0</v>
      </c>
      <c r="K49" s="177">
        <f>'Residual Value'!K$54/1000000</f>
        <v>0</v>
      </c>
      <c r="L49" s="177">
        <f>'Residual Value'!L$54/1000000</f>
        <v>0</v>
      </c>
      <c r="M49" s="177">
        <f>'Residual Value'!M$54/1000000</f>
        <v>0</v>
      </c>
      <c r="N49" s="177">
        <f>'Residual Value'!N$54/1000000</f>
        <v>0</v>
      </c>
      <c r="O49" s="177">
        <f>'Residual Value'!O$54/1000000</f>
        <v>0</v>
      </c>
      <c r="P49" s="177">
        <f>'Residual Value'!P$54/1000000</f>
        <v>0</v>
      </c>
      <c r="Q49" s="177">
        <f>'Residual Value'!Q$54/1000000</f>
        <v>0</v>
      </c>
      <c r="R49" s="177">
        <f>'Residual Value'!R$54/1000000</f>
        <v>0</v>
      </c>
      <c r="S49" s="177">
        <f>'Residual Value'!S$54/1000000</f>
        <v>0</v>
      </c>
      <c r="T49" s="177">
        <f>'Residual Value'!T$54/1000000</f>
        <v>0</v>
      </c>
      <c r="U49" s="177">
        <f>'Residual Value'!U$54/1000000</f>
        <v>0</v>
      </c>
      <c r="V49" s="177">
        <f>'Residual Value'!V$54/1000000</f>
        <v>0</v>
      </c>
      <c r="W49" s="177">
        <f>'Residual Value'!W$54/1000000</f>
        <v>0</v>
      </c>
      <c r="X49" s="177">
        <f>'Residual Value'!X$54/1000000</f>
        <v>0</v>
      </c>
      <c r="Y49" s="177">
        <f>'Residual Value'!Y$54/1000000</f>
        <v>0</v>
      </c>
      <c r="Z49" s="177">
        <f>'Residual Value'!Z$54/1000000</f>
        <v>0</v>
      </c>
      <c r="AA49" s="177">
        <f>'Residual Value'!AA$54/1000000</f>
        <v>0</v>
      </c>
      <c r="AB49" s="177">
        <f>'Residual Value'!AB$54/1000000</f>
        <v>0</v>
      </c>
      <c r="AC49" s="177">
        <f>'Residual Value'!AC$54/1000000</f>
        <v>0</v>
      </c>
      <c r="AD49" s="177">
        <f>'Residual Value'!AD$54/1000000</f>
        <v>0</v>
      </c>
      <c r="AE49" s="177">
        <f>'Residual Value'!AE$54/1000000</f>
        <v>0</v>
      </c>
      <c r="AF49" s="177">
        <f>'Residual Value'!AF$54/1000000</f>
        <v>0</v>
      </c>
      <c r="AG49" s="177">
        <f>'Residual Value'!AG$54/1000000</f>
        <v>0</v>
      </c>
      <c r="AH49" s="177">
        <f>'Residual Value'!AH$54/1000000</f>
        <v>3.5114323702039263</v>
      </c>
      <c r="AI49" s="177">
        <f>'Residual Value'!AI$54/1000000</f>
        <v>0</v>
      </c>
      <c r="AJ49" s="177">
        <f>'Residual Value'!AJ$54/1000000</f>
        <v>0</v>
      </c>
      <c r="AK49" s="177">
        <f>'Residual Value'!AK$54/1000000</f>
        <v>0</v>
      </c>
      <c r="AL49" s="177">
        <f>'Residual Value'!AL$54/1000000</f>
        <v>0</v>
      </c>
      <c r="AM49" s="177">
        <f>'Residual Value'!AM$54/1000000</f>
        <v>0</v>
      </c>
      <c r="AN49" s="177">
        <f>'Residual Value'!AN$54/1000000</f>
        <v>0</v>
      </c>
      <c r="AO49" s="177">
        <f>'Residual Value'!AO$54/1000000</f>
        <v>0</v>
      </c>
      <c r="AP49" s="177">
        <f>'Residual Value'!AP$54/1000000</f>
        <v>0</v>
      </c>
      <c r="AQ49" s="177">
        <f>'Residual Value'!AQ$54/1000000</f>
        <v>0</v>
      </c>
      <c r="AR49" s="177">
        <f>'Residual Value'!AR$54/1000000</f>
        <v>0</v>
      </c>
    </row>
    <row r="50" spans="1:44" ht="15.75" thickBot="1" x14ac:dyDescent="0.3">
      <c r="B50" s="161" t="s">
        <v>22</v>
      </c>
      <c r="C50" s="163"/>
      <c r="D50" s="178">
        <f t="shared" si="14"/>
        <v>82.332609603398524</v>
      </c>
      <c r="E50" s="178"/>
      <c r="F50" s="178">
        <f t="shared" ref="F50:AR50" si="16">SUM(F41:F49)</f>
        <v>0</v>
      </c>
      <c r="G50" s="178">
        <f t="shared" si="16"/>
        <v>0</v>
      </c>
      <c r="H50" s="178">
        <f t="shared" si="16"/>
        <v>0</v>
      </c>
      <c r="I50" s="178">
        <f t="shared" si="16"/>
        <v>0</v>
      </c>
      <c r="J50" s="178">
        <f t="shared" si="16"/>
        <v>0</v>
      </c>
      <c r="K50" s="178">
        <f t="shared" si="16"/>
        <v>0</v>
      </c>
      <c r="L50" s="178">
        <f t="shared" si="16"/>
        <v>0</v>
      </c>
      <c r="M50" s="178">
        <f t="shared" si="16"/>
        <v>0</v>
      </c>
      <c r="N50" s="178">
        <f t="shared" si="16"/>
        <v>0</v>
      </c>
      <c r="O50" s="178">
        <f t="shared" si="16"/>
        <v>1.7315203992919299</v>
      </c>
      <c r="P50" s="178">
        <f t="shared" si="16"/>
        <v>2.2841146433735413</v>
      </c>
      <c r="Q50" s="178">
        <f t="shared" si="16"/>
        <v>2.5135613065062317</v>
      </c>
      <c r="R50" s="178">
        <f t="shared" si="16"/>
        <v>4.1843764377180932</v>
      </c>
      <c r="S50" s="178">
        <f t="shared" si="16"/>
        <v>2.8432594337934853</v>
      </c>
      <c r="T50" s="178">
        <f t="shared" si="16"/>
        <v>3.010821714574623</v>
      </c>
      <c r="U50" s="178">
        <f t="shared" si="16"/>
        <v>3.1770684602904975</v>
      </c>
      <c r="V50" s="178">
        <f t="shared" si="16"/>
        <v>3.3441572811434828</v>
      </c>
      <c r="W50" s="178">
        <f t="shared" si="16"/>
        <v>4.4443400329864229</v>
      </c>
      <c r="X50" s="178">
        <f t="shared" si="16"/>
        <v>3.6836282819779615</v>
      </c>
      <c r="Y50" s="178">
        <f t="shared" si="16"/>
        <v>3.8505455754006346</v>
      </c>
      <c r="Z50" s="178">
        <f t="shared" si="16"/>
        <v>4.0188440127883593</v>
      </c>
      <c r="AA50" s="178">
        <f t="shared" si="16"/>
        <v>4.1884174503972034</v>
      </c>
      <c r="AB50" s="178">
        <f t="shared" si="16"/>
        <v>4.3559634646776892</v>
      </c>
      <c r="AC50" s="178">
        <f t="shared" si="16"/>
        <v>4.5228164175428329</v>
      </c>
      <c r="AD50" s="178">
        <f t="shared" si="16"/>
        <v>4.6918353298608855</v>
      </c>
      <c r="AE50" s="178">
        <f t="shared" si="16"/>
        <v>4.8555154483354297</v>
      </c>
      <c r="AF50" s="178">
        <f t="shared" si="16"/>
        <v>5.0283960805561261</v>
      </c>
      <c r="AG50" s="178">
        <f t="shared" si="16"/>
        <v>6.7009994912769191</v>
      </c>
      <c r="AH50" s="178">
        <f t="shared" si="16"/>
        <v>8.902428340906166</v>
      </c>
      <c r="AI50" s="178">
        <f t="shared" si="16"/>
        <v>0</v>
      </c>
      <c r="AJ50" s="178">
        <f t="shared" si="16"/>
        <v>0</v>
      </c>
      <c r="AK50" s="178">
        <f t="shared" si="16"/>
        <v>0</v>
      </c>
      <c r="AL50" s="178">
        <f t="shared" si="16"/>
        <v>0</v>
      </c>
      <c r="AM50" s="178">
        <f t="shared" si="16"/>
        <v>0</v>
      </c>
      <c r="AN50" s="178">
        <f t="shared" si="16"/>
        <v>0</v>
      </c>
      <c r="AO50" s="178">
        <f t="shared" si="16"/>
        <v>0</v>
      </c>
      <c r="AP50" s="178">
        <f t="shared" si="16"/>
        <v>0</v>
      </c>
      <c r="AQ50" s="178">
        <f t="shared" si="16"/>
        <v>0</v>
      </c>
      <c r="AR50" s="179">
        <f t="shared" si="16"/>
        <v>0</v>
      </c>
    </row>
    <row r="51" spans="1:44" ht="15" thickBot="1" x14ac:dyDescent="0.25">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44" ht="18" thickBot="1" x14ac:dyDescent="0.35">
      <c r="B52" s="42" t="s">
        <v>33</v>
      </c>
      <c r="C52" s="43"/>
      <c r="D52" s="43" t="s">
        <v>30</v>
      </c>
      <c r="E52" s="43"/>
      <c r="F52" s="82">
        <f t="shared" ref="F52:AR52" si="17">F40</f>
        <v>2018</v>
      </c>
      <c r="G52" s="82">
        <f t="shared" si="17"/>
        <v>2019</v>
      </c>
      <c r="H52" s="82">
        <f t="shared" si="17"/>
        <v>2020</v>
      </c>
      <c r="I52" s="82">
        <f t="shared" si="17"/>
        <v>2021</v>
      </c>
      <c r="J52" s="82">
        <f t="shared" si="17"/>
        <v>2022</v>
      </c>
      <c r="K52" s="82">
        <f t="shared" si="17"/>
        <v>2023</v>
      </c>
      <c r="L52" s="82">
        <f t="shared" si="17"/>
        <v>2024</v>
      </c>
      <c r="M52" s="82">
        <f t="shared" si="17"/>
        <v>2025</v>
      </c>
      <c r="N52" s="82">
        <f t="shared" si="17"/>
        <v>2026</v>
      </c>
      <c r="O52" s="82">
        <f t="shared" si="17"/>
        <v>2027</v>
      </c>
      <c r="P52" s="82">
        <f t="shared" si="17"/>
        <v>2028</v>
      </c>
      <c r="Q52" s="82">
        <f t="shared" si="17"/>
        <v>2029</v>
      </c>
      <c r="R52" s="82">
        <f t="shared" si="17"/>
        <v>2030</v>
      </c>
      <c r="S52" s="82">
        <f t="shared" si="17"/>
        <v>2031</v>
      </c>
      <c r="T52" s="82">
        <f t="shared" si="17"/>
        <v>2032</v>
      </c>
      <c r="U52" s="82">
        <f t="shared" si="17"/>
        <v>2033</v>
      </c>
      <c r="V52" s="82">
        <f t="shared" si="17"/>
        <v>2034</v>
      </c>
      <c r="W52" s="82">
        <f t="shared" si="17"/>
        <v>2035</v>
      </c>
      <c r="X52" s="82">
        <f t="shared" si="17"/>
        <v>2036</v>
      </c>
      <c r="Y52" s="82">
        <f t="shared" si="17"/>
        <v>2037</v>
      </c>
      <c r="Z52" s="82">
        <f t="shared" si="17"/>
        <v>2038</v>
      </c>
      <c r="AA52" s="82">
        <f t="shared" si="17"/>
        <v>2039</v>
      </c>
      <c r="AB52" s="82">
        <f t="shared" si="17"/>
        <v>2040</v>
      </c>
      <c r="AC52" s="82">
        <f t="shared" si="17"/>
        <v>2041</v>
      </c>
      <c r="AD52" s="82">
        <f t="shared" si="17"/>
        <v>2042</v>
      </c>
      <c r="AE52" s="82">
        <f t="shared" si="17"/>
        <v>2043</v>
      </c>
      <c r="AF52" s="82">
        <f t="shared" si="17"/>
        <v>2044</v>
      </c>
      <c r="AG52" s="82">
        <f t="shared" si="17"/>
        <v>2045</v>
      </c>
      <c r="AH52" s="82">
        <f t="shared" si="17"/>
        <v>2046</v>
      </c>
      <c r="AI52" s="82">
        <f t="shared" si="17"/>
        <v>2047</v>
      </c>
      <c r="AJ52" s="82">
        <f t="shared" si="17"/>
        <v>2048</v>
      </c>
      <c r="AK52" s="82">
        <f t="shared" si="17"/>
        <v>2049</v>
      </c>
      <c r="AL52" s="82">
        <f t="shared" si="17"/>
        <v>2050</v>
      </c>
      <c r="AM52" s="82">
        <f t="shared" si="17"/>
        <v>2051</v>
      </c>
      <c r="AN52" s="82">
        <f t="shared" si="17"/>
        <v>2052</v>
      </c>
      <c r="AO52" s="82">
        <f t="shared" si="17"/>
        <v>2053</v>
      </c>
      <c r="AP52" s="82">
        <f t="shared" si="17"/>
        <v>2054</v>
      </c>
      <c r="AQ52" s="82">
        <f t="shared" si="17"/>
        <v>2055</v>
      </c>
      <c r="AR52" s="162">
        <f t="shared" si="17"/>
        <v>2056</v>
      </c>
    </row>
    <row r="53" spans="1:44" ht="15" thickBot="1" x14ac:dyDescent="0.25">
      <c r="B53" s="44" t="s">
        <v>19</v>
      </c>
      <c r="D53" s="177">
        <f>SUM(F53:AR53)</f>
        <v>-27.335510498564162</v>
      </c>
      <c r="E53" s="177"/>
      <c r="F53" s="177">
        <f>-'Project Costs'!F$66/1000000</f>
        <v>0</v>
      </c>
      <c r="G53" s="177">
        <f>-'Project Costs'!G$66/1000000</f>
        <v>0</v>
      </c>
      <c r="H53" s="177">
        <f>-'Project Costs'!H$66/1000000</f>
        <v>0</v>
      </c>
      <c r="I53" s="177">
        <f>-'Project Costs'!I$66/1000000</f>
        <v>0</v>
      </c>
      <c r="J53" s="177">
        <f>-'Project Costs'!J$66/1000000</f>
        <v>0</v>
      </c>
      <c r="K53" s="177">
        <f>-'Project Costs'!K$66/1000000</f>
        <v>0</v>
      </c>
      <c r="L53" s="177">
        <f>-'Project Costs'!L$66/1000000</f>
        <v>-2.5465819893188533</v>
      </c>
      <c r="M53" s="177">
        <f>-'Project Costs'!M$66/1000000</f>
        <v>-12.394464254622653</v>
      </c>
      <c r="N53" s="177">
        <f>-'Project Costs'!N$66/1000000</f>
        <v>-12.394464254622653</v>
      </c>
      <c r="O53" s="177">
        <f>-'Project Costs'!O$66/1000000</f>
        <v>0</v>
      </c>
      <c r="P53" s="177">
        <f>-'Project Costs'!P$66/1000000</f>
        <v>0</v>
      </c>
      <c r="Q53" s="177">
        <f>-'Project Costs'!Q$66/1000000</f>
        <v>0</v>
      </c>
      <c r="R53" s="177">
        <f>-'Project Costs'!R$66/1000000</f>
        <v>0</v>
      </c>
      <c r="S53" s="177">
        <f>-'Project Costs'!S$66/1000000</f>
        <v>0</v>
      </c>
      <c r="T53" s="177">
        <f>-'Project Costs'!T$66/1000000</f>
        <v>0</v>
      </c>
      <c r="U53" s="177">
        <f>-'Project Costs'!U$66/1000000</f>
        <v>0</v>
      </c>
      <c r="V53" s="177">
        <f>-'Project Costs'!V$66/1000000</f>
        <v>0</v>
      </c>
      <c r="W53" s="177">
        <f>-'Project Costs'!W$66/1000000</f>
        <v>0</v>
      </c>
      <c r="X53" s="177">
        <f>-'Project Costs'!X$66/1000000</f>
        <v>0</v>
      </c>
      <c r="Y53" s="177">
        <f>-'Project Costs'!Y$66/1000000</f>
        <v>0</v>
      </c>
      <c r="Z53" s="177">
        <f>-'Project Costs'!Z$66/1000000</f>
        <v>0</v>
      </c>
      <c r="AA53" s="177">
        <f>-'Project Costs'!AA$66/1000000</f>
        <v>0</v>
      </c>
      <c r="AB53" s="177">
        <f>-'Project Costs'!AB$66/1000000</f>
        <v>0</v>
      </c>
      <c r="AC53" s="177">
        <f>-'Project Costs'!AC$66/1000000</f>
        <v>0</v>
      </c>
      <c r="AD53" s="177">
        <f>-'Project Costs'!AD$66/1000000</f>
        <v>0</v>
      </c>
      <c r="AE53" s="177">
        <f>-'Project Costs'!AE$66/1000000</f>
        <v>0</v>
      </c>
      <c r="AF53" s="177">
        <f>-'Project Costs'!AF$66/1000000</f>
        <v>0</v>
      </c>
      <c r="AG53" s="177">
        <f>-'Project Costs'!AG$66/1000000</f>
        <v>0</v>
      </c>
      <c r="AH53" s="177">
        <f>-'Project Costs'!AH$66/1000000</f>
        <v>0</v>
      </c>
      <c r="AI53" s="177">
        <f>-'Project Costs'!AI$66/1000000</f>
        <v>0</v>
      </c>
      <c r="AJ53" s="177">
        <f>-'Project Costs'!AJ$66/1000000</f>
        <v>0</v>
      </c>
      <c r="AK53" s="177">
        <f>-'Project Costs'!AK$66/1000000</f>
        <v>0</v>
      </c>
      <c r="AL53" s="177">
        <f>-'Project Costs'!AL$66/1000000</f>
        <v>0</v>
      </c>
      <c r="AM53" s="177">
        <f>-'Project Costs'!AM$66/1000000</f>
        <v>0</v>
      </c>
      <c r="AN53" s="177">
        <f>-'Project Costs'!AN$66/1000000</f>
        <v>0</v>
      </c>
      <c r="AO53" s="177">
        <f>-'Project Costs'!AO$66/1000000</f>
        <v>0</v>
      </c>
      <c r="AP53" s="177">
        <f>-'Project Costs'!AP$66/1000000</f>
        <v>0</v>
      </c>
      <c r="AQ53" s="177">
        <f>-'Project Costs'!AQ$66/1000000</f>
        <v>0</v>
      </c>
      <c r="AR53" s="177">
        <f>-'Project Costs'!AR$66/1000000</f>
        <v>0</v>
      </c>
    </row>
    <row r="54" spans="1:44" ht="15.75" thickBot="1" x14ac:dyDescent="0.3">
      <c r="B54" s="168" t="s">
        <v>23</v>
      </c>
      <c r="C54" s="166"/>
      <c r="D54" s="180">
        <f t="shared" ref="D54:D56" si="18">SUM(F54:AR54)</f>
        <v>-27.335510498564162</v>
      </c>
      <c r="E54" s="180"/>
      <c r="F54" s="180">
        <f t="shared" ref="F54:AR54" si="19">SUM(F53:F53)</f>
        <v>0</v>
      </c>
      <c r="G54" s="180">
        <f t="shared" si="19"/>
        <v>0</v>
      </c>
      <c r="H54" s="180">
        <f t="shared" si="19"/>
        <v>0</v>
      </c>
      <c r="I54" s="180">
        <f t="shared" si="19"/>
        <v>0</v>
      </c>
      <c r="J54" s="180">
        <f t="shared" si="19"/>
        <v>0</v>
      </c>
      <c r="K54" s="180">
        <f t="shared" si="19"/>
        <v>0</v>
      </c>
      <c r="L54" s="180">
        <f t="shared" si="19"/>
        <v>-2.5465819893188533</v>
      </c>
      <c r="M54" s="180">
        <f t="shared" si="19"/>
        <v>-12.394464254622653</v>
      </c>
      <c r="N54" s="180">
        <f t="shared" si="19"/>
        <v>-12.394464254622653</v>
      </c>
      <c r="O54" s="180">
        <f t="shared" si="19"/>
        <v>0</v>
      </c>
      <c r="P54" s="180">
        <f t="shared" si="19"/>
        <v>0</v>
      </c>
      <c r="Q54" s="180">
        <f t="shared" si="19"/>
        <v>0</v>
      </c>
      <c r="R54" s="180">
        <f t="shared" si="19"/>
        <v>0</v>
      </c>
      <c r="S54" s="180">
        <f t="shared" si="19"/>
        <v>0</v>
      </c>
      <c r="T54" s="180">
        <f t="shared" si="19"/>
        <v>0</v>
      </c>
      <c r="U54" s="180">
        <f t="shared" si="19"/>
        <v>0</v>
      </c>
      <c r="V54" s="180">
        <f t="shared" si="19"/>
        <v>0</v>
      </c>
      <c r="W54" s="180">
        <f t="shared" si="19"/>
        <v>0</v>
      </c>
      <c r="X54" s="180">
        <f t="shared" si="19"/>
        <v>0</v>
      </c>
      <c r="Y54" s="180">
        <f t="shared" si="19"/>
        <v>0</v>
      </c>
      <c r="Z54" s="180">
        <f t="shared" si="19"/>
        <v>0</v>
      </c>
      <c r="AA54" s="180">
        <f t="shared" si="19"/>
        <v>0</v>
      </c>
      <c r="AB54" s="180">
        <f t="shared" si="19"/>
        <v>0</v>
      </c>
      <c r="AC54" s="180">
        <f t="shared" si="19"/>
        <v>0</v>
      </c>
      <c r="AD54" s="180">
        <f t="shared" si="19"/>
        <v>0</v>
      </c>
      <c r="AE54" s="180">
        <f t="shared" si="19"/>
        <v>0</v>
      </c>
      <c r="AF54" s="180">
        <f t="shared" si="19"/>
        <v>0</v>
      </c>
      <c r="AG54" s="180">
        <f t="shared" si="19"/>
        <v>0</v>
      </c>
      <c r="AH54" s="180">
        <f t="shared" si="19"/>
        <v>0</v>
      </c>
      <c r="AI54" s="180">
        <f t="shared" si="19"/>
        <v>0</v>
      </c>
      <c r="AJ54" s="180">
        <f t="shared" si="19"/>
        <v>0</v>
      </c>
      <c r="AK54" s="180">
        <f t="shared" si="19"/>
        <v>0</v>
      </c>
      <c r="AL54" s="180">
        <f t="shared" si="19"/>
        <v>0</v>
      </c>
      <c r="AM54" s="180">
        <f t="shared" si="19"/>
        <v>0</v>
      </c>
      <c r="AN54" s="180">
        <f t="shared" si="19"/>
        <v>0</v>
      </c>
      <c r="AO54" s="180">
        <f t="shared" si="19"/>
        <v>0</v>
      </c>
      <c r="AP54" s="180">
        <f t="shared" si="19"/>
        <v>0</v>
      </c>
      <c r="AQ54" s="180">
        <f t="shared" si="19"/>
        <v>0</v>
      </c>
      <c r="AR54" s="181">
        <f t="shared" si="19"/>
        <v>0</v>
      </c>
    </row>
    <row r="55" spans="1:44" ht="15.75" thickBot="1" x14ac:dyDescent="0.3">
      <c r="B55" s="2"/>
      <c r="C55" s="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row>
    <row r="56" spans="1:44" ht="15.75" thickBot="1" x14ac:dyDescent="0.3">
      <c r="B56" s="165" t="s">
        <v>34</v>
      </c>
      <c r="C56" s="166"/>
      <c r="D56" s="180">
        <f t="shared" si="18"/>
        <v>54.997099104834362</v>
      </c>
      <c r="E56" s="180"/>
      <c r="F56" s="180">
        <f t="shared" ref="F56:AR56" si="20">F50+F54</f>
        <v>0</v>
      </c>
      <c r="G56" s="180">
        <f t="shared" si="20"/>
        <v>0</v>
      </c>
      <c r="H56" s="180">
        <f t="shared" si="20"/>
        <v>0</v>
      </c>
      <c r="I56" s="180">
        <f t="shared" si="20"/>
        <v>0</v>
      </c>
      <c r="J56" s="180">
        <f t="shared" si="20"/>
        <v>0</v>
      </c>
      <c r="K56" s="180">
        <f t="shared" si="20"/>
        <v>0</v>
      </c>
      <c r="L56" s="180">
        <f t="shared" si="20"/>
        <v>-2.5465819893188533</v>
      </c>
      <c r="M56" s="180">
        <f t="shared" si="20"/>
        <v>-12.394464254622653</v>
      </c>
      <c r="N56" s="180">
        <f t="shared" si="20"/>
        <v>-12.394464254622653</v>
      </c>
      <c r="O56" s="180">
        <f t="shared" si="20"/>
        <v>1.7315203992919299</v>
      </c>
      <c r="P56" s="180">
        <f t="shared" si="20"/>
        <v>2.2841146433735413</v>
      </c>
      <c r="Q56" s="180">
        <f t="shared" si="20"/>
        <v>2.5135613065062317</v>
      </c>
      <c r="R56" s="180">
        <f t="shared" si="20"/>
        <v>4.1843764377180932</v>
      </c>
      <c r="S56" s="180">
        <f t="shared" si="20"/>
        <v>2.8432594337934853</v>
      </c>
      <c r="T56" s="180">
        <f t="shared" si="20"/>
        <v>3.010821714574623</v>
      </c>
      <c r="U56" s="180">
        <f t="shared" si="20"/>
        <v>3.1770684602904975</v>
      </c>
      <c r="V56" s="180">
        <f t="shared" si="20"/>
        <v>3.3441572811434828</v>
      </c>
      <c r="W56" s="180">
        <f t="shared" si="20"/>
        <v>4.4443400329864229</v>
      </c>
      <c r="X56" s="180">
        <f t="shared" si="20"/>
        <v>3.6836282819779615</v>
      </c>
      <c r="Y56" s="180">
        <f t="shared" si="20"/>
        <v>3.8505455754006346</v>
      </c>
      <c r="Z56" s="180">
        <f t="shared" si="20"/>
        <v>4.0188440127883593</v>
      </c>
      <c r="AA56" s="180">
        <f t="shared" si="20"/>
        <v>4.1884174503972034</v>
      </c>
      <c r="AB56" s="180">
        <f t="shared" si="20"/>
        <v>4.3559634646776892</v>
      </c>
      <c r="AC56" s="180">
        <f t="shared" si="20"/>
        <v>4.5228164175428329</v>
      </c>
      <c r="AD56" s="180">
        <f t="shared" si="20"/>
        <v>4.6918353298608855</v>
      </c>
      <c r="AE56" s="180">
        <f t="shared" si="20"/>
        <v>4.8555154483354297</v>
      </c>
      <c r="AF56" s="180">
        <f t="shared" si="20"/>
        <v>5.0283960805561261</v>
      </c>
      <c r="AG56" s="180">
        <f t="shared" si="20"/>
        <v>6.7009994912769191</v>
      </c>
      <c r="AH56" s="180">
        <f t="shared" si="20"/>
        <v>8.902428340906166</v>
      </c>
      <c r="AI56" s="180">
        <f t="shared" si="20"/>
        <v>0</v>
      </c>
      <c r="AJ56" s="180">
        <f t="shared" si="20"/>
        <v>0</v>
      </c>
      <c r="AK56" s="180">
        <f t="shared" si="20"/>
        <v>0</v>
      </c>
      <c r="AL56" s="180">
        <f t="shared" si="20"/>
        <v>0</v>
      </c>
      <c r="AM56" s="180">
        <f t="shared" si="20"/>
        <v>0</v>
      </c>
      <c r="AN56" s="180">
        <f t="shared" si="20"/>
        <v>0</v>
      </c>
      <c r="AO56" s="180">
        <f t="shared" si="20"/>
        <v>0</v>
      </c>
      <c r="AP56" s="180">
        <f t="shared" si="20"/>
        <v>0</v>
      </c>
      <c r="AQ56" s="180">
        <f t="shared" si="20"/>
        <v>0</v>
      </c>
      <c r="AR56" s="180">
        <f t="shared" si="20"/>
        <v>0</v>
      </c>
    </row>
    <row r="58" spans="1:44"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row>
    <row r="59" spans="1:44" ht="15.75" thickBot="1" x14ac:dyDescent="0.3">
      <c r="A59" s="2" t="s">
        <v>826</v>
      </c>
    </row>
    <row r="60" spans="1:44" ht="18" thickBot="1" x14ac:dyDescent="0.35">
      <c r="B60" s="42" t="s">
        <v>29</v>
      </c>
      <c r="C60" s="43"/>
      <c r="D60" s="43" t="s">
        <v>30</v>
      </c>
      <c r="E60" s="43"/>
      <c r="F60" s="82">
        <f t="shared" ref="F60:AR60" si="21">F40</f>
        <v>2018</v>
      </c>
      <c r="G60" s="82">
        <f t="shared" si="21"/>
        <v>2019</v>
      </c>
      <c r="H60" s="82">
        <f t="shared" si="21"/>
        <v>2020</v>
      </c>
      <c r="I60" s="82">
        <f t="shared" si="21"/>
        <v>2021</v>
      </c>
      <c r="J60" s="82">
        <f t="shared" si="21"/>
        <v>2022</v>
      </c>
      <c r="K60" s="82">
        <f t="shared" si="21"/>
        <v>2023</v>
      </c>
      <c r="L60" s="82">
        <f t="shared" si="21"/>
        <v>2024</v>
      </c>
      <c r="M60" s="82">
        <f t="shared" si="21"/>
        <v>2025</v>
      </c>
      <c r="N60" s="82">
        <f t="shared" si="21"/>
        <v>2026</v>
      </c>
      <c r="O60" s="82">
        <f t="shared" si="21"/>
        <v>2027</v>
      </c>
      <c r="P60" s="82">
        <f t="shared" si="21"/>
        <v>2028</v>
      </c>
      <c r="Q60" s="82">
        <f t="shared" si="21"/>
        <v>2029</v>
      </c>
      <c r="R60" s="82">
        <f t="shared" si="21"/>
        <v>2030</v>
      </c>
      <c r="S60" s="82">
        <f t="shared" si="21"/>
        <v>2031</v>
      </c>
      <c r="T60" s="82">
        <f t="shared" si="21"/>
        <v>2032</v>
      </c>
      <c r="U60" s="82">
        <f t="shared" si="21"/>
        <v>2033</v>
      </c>
      <c r="V60" s="82">
        <f t="shared" si="21"/>
        <v>2034</v>
      </c>
      <c r="W60" s="82">
        <f t="shared" si="21"/>
        <v>2035</v>
      </c>
      <c r="X60" s="82">
        <f t="shared" si="21"/>
        <v>2036</v>
      </c>
      <c r="Y60" s="82">
        <f t="shared" si="21"/>
        <v>2037</v>
      </c>
      <c r="Z60" s="82">
        <f t="shared" si="21"/>
        <v>2038</v>
      </c>
      <c r="AA60" s="82">
        <f t="shared" si="21"/>
        <v>2039</v>
      </c>
      <c r="AB60" s="82">
        <f t="shared" si="21"/>
        <v>2040</v>
      </c>
      <c r="AC60" s="82">
        <f t="shared" si="21"/>
        <v>2041</v>
      </c>
      <c r="AD60" s="82">
        <f t="shared" si="21"/>
        <v>2042</v>
      </c>
      <c r="AE60" s="82">
        <f t="shared" si="21"/>
        <v>2043</v>
      </c>
      <c r="AF60" s="82">
        <f t="shared" si="21"/>
        <v>2044</v>
      </c>
      <c r="AG60" s="82">
        <f t="shared" si="21"/>
        <v>2045</v>
      </c>
      <c r="AH60" s="82">
        <f t="shared" si="21"/>
        <v>2046</v>
      </c>
      <c r="AI60" s="82">
        <f t="shared" si="21"/>
        <v>2047</v>
      </c>
      <c r="AJ60" s="82">
        <f t="shared" si="21"/>
        <v>2048</v>
      </c>
      <c r="AK60" s="82">
        <f t="shared" si="21"/>
        <v>2049</v>
      </c>
      <c r="AL60" s="82">
        <f t="shared" si="21"/>
        <v>2050</v>
      </c>
      <c r="AM60" s="82">
        <f t="shared" si="21"/>
        <v>2051</v>
      </c>
      <c r="AN60" s="82">
        <f t="shared" si="21"/>
        <v>2052</v>
      </c>
      <c r="AO60" s="82">
        <f t="shared" si="21"/>
        <v>2053</v>
      </c>
      <c r="AP60" s="82">
        <f t="shared" si="21"/>
        <v>2054</v>
      </c>
      <c r="AQ60" s="82">
        <f t="shared" si="21"/>
        <v>2055</v>
      </c>
      <c r="AR60" s="82">
        <f t="shared" si="21"/>
        <v>2056</v>
      </c>
    </row>
    <row r="61" spans="1:44" x14ac:dyDescent="0.2">
      <c r="B61" s="44" t="s">
        <v>10</v>
      </c>
      <c r="D61" s="177">
        <f>SUM(F61:AR61)</f>
        <v>3.9583510086513001</v>
      </c>
      <c r="E61" s="177"/>
      <c r="F61" s="177">
        <f>Safety!F$80/1000000</f>
        <v>0</v>
      </c>
      <c r="G61" s="177">
        <f>Safety!G$80/1000000</f>
        <v>0</v>
      </c>
      <c r="H61" s="177">
        <f>Safety!H$80/1000000</f>
        <v>0</v>
      </c>
      <c r="I61" s="177">
        <f>Safety!I$80/1000000</f>
        <v>0</v>
      </c>
      <c r="J61" s="177">
        <f>Safety!J$80/1000000</f>
        <v>0</v>
      </c>
      <c r="K61" s="177">
        <f>Safety!K$80/1000000</f>
        <v>0</v>
      </c>
      <c r="L61" s="177">
        <f>Safety!L$80/1000000</f>
        <v>0</v>
      </c>
      <c r="M61" s="177">
        <f>Safety!M$80/1000000</f>
        <v>0</v>
      </c>
      <c r="N61" s="177">
        <f>Safety!N$80/1000000</f>
        <v>0</v>
      </c>
      <c r="O61" s="177">
        <f>Safety!O$80/1000000</f>
        <v>0.20417079599104759</v>
      </c>
      <c r="P61" s="177">
        <f>Safety!P$80/1000000</f>
        <v>0.20349949974780659</v>
      </c>
      <c r="Q61" s="177">
        <f>Safety!Q$80/1000000</f>
        <v>0.20283041066962068</v>
      </c>
      <c r="R61" s="177">
        <f>Safety!R$80/1000000</f>
        <v>0.20216352149951855</v>
      </c>
      <c r="S61" s="177">
        <f>Safety!S$80/1000000</f>
        <v>0.20149882500438918</v>
      </c>
      <c r="T61" s="177">
        <f>Safety!T$80/1000000</f>
        <v>0.20083631397490356</v>
      </c>
      <c r="U61" s="177">
        <f>Safety!U$80/1000000</f>
        <v>0.20017598122543601</v>
      </c>
      <c r="V61" s="177">
        <f>Safety!V$80/1000000</f>
        <v>0.19951781959398684</v>
      </c>
      <c r="W61" s="177">
        <f>Safety!W$80/1000000</f>
        <v>0.19886182194210453</v>
      </c>
      <c r="X61" s="177">
        <f>Safety!X$80/1000000</f>
        <v>0.1982079811548077</v>
      </c>
      <c r="Y61" s="177">
        <f>Safety!Y$80/1000000</f>
        <v>0.19755629014050874</v>
      </c>
      <c r="Z61" s="177">
        <f>Safety!Z$80/1000000</f>
        <v>0.19690674183093673</v>
      </c>
      <c r="AA61" s="177">
        <f>Safety!AA$80/1000000</f>
        <v>0.19625932918106023</v>
      </c>
      <c r="AB61" s="177">
        <f>Safety!AB$80/1000000</f>
        <v>0.19561404516901165</v>
      </c>
      <c r="AC61" s="177">
        <f>Safety!AC$80/1000000</f>
        <v>0.19497088279601049</v>
      </c>
      <c r="AD61" s="177">
        <f>Safety!AD$80/1000000</f>
        <v>0.19432983508628768</v>
      </c>
      <c r="AE61" s="177">
        <f>Safety!AE$80/1000000</f>
        <v>0.19369089508700971</v>
      </c>
      <c r="AF61" s="177">
        <f>Safety!AF$80/1000000</f>
        <v>0.19305405586820393</v>
      </c>
      <c r="AG61" s="177">
        <f>Safety!AG$80/1000000</f>
        <v>0.19241931052268219</v>
      </c>
      <c r="AH61" s="177">
        <f>Safety!AH$80/1000000</f>
        <v>0.19178665216596702</v>
      </c>
      <c r="AI61" s="177">
        <f>Safety!AI$80/1000000</f>
        <v>0</v>
      </c>
      <c r="AJ61" s="177">
        <f>Safety!AJ$80/1000000</f>
        <v>0</v>
      </c>
      <c r="AK61" s="177">
        <f>Safety!AK$80/1000000</f>
        <v>0</v>
      </c>
      <c r="AL61" s="177">
        <f>Safety!AL$80/1000000</f>
        <v>0</v>
      </c>
      <c r="AM61" s="177">
        <f>Safety!AM$80/1000000</f>
        <v>0</v>
      </c>
      <c r="AN61" s="177">
        <f>Safety!AN$80/1000000</f>
        <v>0</v>
      </c>
      <c r="AO61" s="177">
        <f>Safety!AO$80/1000000</f>
        <v>0</v>
      </c>
      <c r="AP61" s="177">
        <f>Safety!AP$80/1000000</f>
        <v>0</v>
      </c>
      <c r="AQ61" s="177">
        <f>Safety!AQ$80/1000000</f>
        <v>0</v>
      </c>
      <c r="AR61" s="177">
        <f>Safety!AR$80/1000000</f>
        <v>0</v>
      </c>
    </row>
    <row r="62" spans="1:44" x14ac:dyDescent="0.2">
      <c r="B62" s="40" t="s">
        <v>11</v>
      </c>
      <c r="D62" s="177">
        <f>SUM(F62:AR62)</f>
        <v>33.303221868294443</v>
      </c>
      <c r="E62" s="177"/>
      <c r="F62" s="177">
        <f>'Time Savings'!F$106/1000000</f>
        <v>0</v>
      </c>
      <c r="G62" s="177">
        <f>'Time Savings'!G$106/1000000</f>
        <v>0</v>
      </c>
      <c r="H62" s="177">
        <f>'Time Savings'!H$106/1000000</f>
        <v>0</v>
      </c>
      <c r="I62" s="177">
        <f>'Time Savings'!I$106/1000000</f>
        <v>0</v>
      </c>
      <c r="J62" s="177">
        <f>'Time Savings'!J$106/1000000</f>
        <v>0</v>
      </c>
      <c r="K62" s="177">
        <f>'Time Savings'!K$106/1000000</f>
        <v>0</v>
      </c>
      <c r="L62" s="177">
        <f>'Time Savings'!L$106/1000000</f>
        <v>0</v>
      </c>
      <c r="M62" s="177">
        <f>'Time Savings'!M$106/1000000</f>
        <v>0</v>
      </c>
      <c r="N62" s="177">
        <f>'Time Savings'!N$106/1000000</f>
        <v>0</v>
      </c>
      <c r="O62" s="177">
        <f>'Time Savings'!O$106/1000000</f>
        <v>0.97531983477937334</v>
      </c>
      <c r="P62" s="177">
        <f>'Time Savings'!P$106/1000000</f>
        <v>1.0694380018278451</v>
      </c>
      <c r="Q62" s="177">
        <f>'Time Savings'!Q$106/1000000</f>
        <v>1.1594902815738466</v>
      </c>
      <c r="R62" s="177">
        <f>'Time Savings'!R$106/1000000</f>
        <v>1.245599935200695</v>
      </c>
      <c r="S62" s="177">
        <f>'Time Savings'!S$106/1000000</f>
        <v>1.3278869533213868</v>
      </c>
      <c r="T62" s="177">
        <f>'Time Savings'!T$106/1000000</f>
        <v>1.4064681368463428</v>
      </c>
      <c r="U62" s="177">
        <f>'Time Savings'!U$106/1000000</f>
        <v>1.4814571759372857</v>
      </c>
      <c r="V62" s="177">
        <f>'Time Savings'!V$106/1000000</f>
        <v>1.552964727091233</v>
      </c>
      <c r="W62" s="177">
        <f>'Time Savings'!W$106/1000000</f>
        <v>1.6210984883975683</v>
      </c>
      <c r="X62" s="177">
        <f>'Time Savings'!X$106/1000000</f>
        <v>1.685963273010195</v>
      </c>
      <c r="Y62" s="177">
        <f>'Time Savings'!Y$106/1000000</f>
        <v>1.7476610808758457</v>
      </c>
      <c r="Z62" s="177">
        <f>'Time Savings'!Z$106/1000000</f>
        <v>1.8062911687586785</v>
      </c>
      <c r="AA62" s="177">
        <f>'Time Savings'!AA$106/1000000</f>
        <v>1.8619501186004022</v>
      </c>
      <c r="AB62" s="177">
        <f>'Time Savings'!AB$106/1000000</f>
        <v>1.9147319042542699</v>
      </c>
      <c r="AC62" s="177">
        <f>'Time Savings'!AC$106/1000000</f>
        <v>1.9647279566304396</v>
      </c>
      <c r="AD62" s="177">
        <f>'Time Savings'!AD$106/1000000</f>
        <v>2.0120272272893365</v>
      </c>
      <c r="AE62" s="177">
        <f>'Time Savings'!AE$106/1000000</f>
        <v>2.056716250518845</v>
      </c>
      <c r="AF62" s="177">
        <f>'Time Savings'!AF$106/1000000</f>
        <v>2.0988792039303226</v>
      </c>
      <c r="AG62" s="177">
        <f>'Time Savings'!AG$106/1000000</f>
        <v>2.138597967607665</v>
      </c>
      <c r="AH62" s="177">
        <f>'Time Savings'!AH$106/1000000</f>
        <v>2.1759521818428613</v>
      </c>
      <c r="AI62" s="177">
        <f>'Time Savings'!AI$106/1000000</f>
        <v>0</v>
      </c>
      <c r="AJ62" s="177">
        <f>'Time Savings'!AJ$106/1000000</f>
        <v>0</v>
      </c>
      <c r="AK62" s="177">
        <f>'Time Savings'!AK$106/1000000</f>
        <v>0</v>
      </c>
      <c r="AL62" s="177">
        <f>'Time Savings'!AL$106/1000000</f>
        <v>0</v>
      </c>
      <c r="AM62" s="177">
        <f>'Time Savings'!AM$106/1000000</f>
        <v>0</v>
      </c>
      <c r="AN62" s="177">
        <f>'Time Savings'!AN$106/1000000</f>
        <v>0</v>
      </c>
      <c r="AO62" s="177">
        <f>'Time Savings'!AO$106/1000000</f>
        <v>0</v>
      </c>
      <c r="AP62" s="177">
        <f>'Time Savings'!AP$106/1000000</f>
        <v>0</v>
      </c>
      <c r="AQ62" s="177">
        <f>'Time Savings'!AQ$106/1000000</f>
        <v>0</v>
      </c>
      <c r="AR62" s="177">
        <f>'Time Savings'!AR$106/1000000</f>
        <v>0</v>
      </c>
    </row>
    <row r="63" spans="1:44" x14ac:dyDescent="0.2">
      <c r="B63" s="40" t="s">
        <v>12</v>
      </c>
      <c r="D63" s="177">
        <f t="shared" ref="D63:D70" si="22">SUM(F63:AR63)</f>
        <v>10.584707696225788</v>
      </c>
      <c r="E63" s="177"/>
      <c r="F63" s="177">
        <f>'Veh Op Costs'!F$77/1000000</f>
        <v>0</v>
      </c>
      <c r="G63" s="177">
        <f>'Veh Op Costs'!G$77/1000000</f>
        <v>0</v>
      </c>
      <c r="H63" s="177">
        <f>'Veh Op Costs'!H$77/1000000</f>
        <v>0</v>
      </c>
      <c r="I63" s="177">
        <f>'Veh Op Costs'!I$77/1000000</f>
        <v>0</v>
      </c>
      <c r="J63" s="177">
        <f>'Veh Op Costs'!J$77/1000000</f>
        <v>0</v>
      </c>
      <c r="K63" s="177">
        <f>'Veh Op Costs'!K$77/1000000</f>
        <v>0</v>
      </c>
      <c r="L63" s="177">
        <f>'Veh Op Costs'!L$77/1000000</f>
        <v>0</v>
      </c>
      <c r="M63" s="177">
        <f>'Veh Op Costs'!M$77/1000000</f>
        <v>0</v>
      </c>
      <c r="N63" s="177">
        <f>'Veh Op Costs'!N$77/1000000</f>
        <v>0</v>
      </c>
      <c r="O63" s="177">
        <f>'Veh Op Costs'!O$77/1000000</f>
        <v>0.42930963669822475</v>
      </c>
      <c r="P63" s="177">
        <f>'Veh Op Costs'!P$77/1000000</f>
        <v>0.44159799225003221</v>
      </c>
      <c r="Q63" s="177">
        <f>'Veh Op Costs'!Q$77/1000000</f>
        <v>0.45429658547162421</v>
      </c>
      <c r="R63" s="177">
        <f>'Veh Op Costs'!R$77/1000000</f>
        <v>0.46712314073855121</v>
      </c>
      <c r="S63" s="177">
        <f>'Veh Op Costs'!S$77/1000000</f>
        <v>0.47722886012479415</v>
      </c>
      <c r="T63" s="177">
        <f>'Veh Op Costs'!T$77/1000000</f>
        <v>0.48983005941676588</v>
      </c>
      <c r="U63" s="177">
        <f>'Veh Op Costs'!U$77/1000000</f>
        <v>0.500596794444786</v>
      </c>
      <c r="V63" s="177">
        <f>'Veh Op Costs'!V$77/1000000</f>
        <v>0.51128747174646727</v>
      </c>
      <c r="W63" s="177">
        <f>'Veh Op Costs'!W$77/1000000</f>
        <v>0.52098537087076002</v>
      </c>
      <c r="X63" s="177">
        <f>'Veh Op Costs'!X$77/1000000</f>
        <v>0.53444690822210772</v>
      </c>
      <c r="Y63" s="177">
        <f>'Veh Op Costs'!Y$77/1000000</f>
        <v>0.54282631868219811</v>
      </c>
      <c r="Z63" s="177">
        <f>'Veh Op Costs'!Z$77/1000000</f>
        <v>0.55154685579602503</v>
      </c>
      <c r="AA63" s="177">
        <f>'Veh Op Costs'!AA$77/1000000</f>
        <v>0.56049176240579379</v>
      </c>
      <c r="AB63" s="177">
        <f>'Veh Op Costs'!AB$77/1000000</f>
        <v>0.56736826538917595</v>
      </c>
      <c r="AC63" s="177">
        <f>'Veh Op Costs'!AC$77/1000000</f>
        <v>0.57317973625344998</v>
      </c>
      <c r="AD63" s="177">
        <f>'Veh Op Costs'!AD$77/1000000</f>
        <v>0.57986117452713604</v>
      </c>
      <c r="AE63" s="177">
        <f>'Veh Op Costs'!AE$77/1000000</f>
        <v>0.58249425866164872</v>
      </c>
      <c r="AF63" s="177">
        <f>'Veh Op Costs'!AF$77/1000000</f>
        <v>0.59052349429070772</v>
      </c>
      <c r="AG63" s="177">
        <f>'Veh Op Costs'!AG$77/1000000</f>
        <v>0.59479641024372054</v>
      </c>
      <c r="AH63" s="177">
        <f>'Veh Op Costs'!AH$77/1000000</f>
        <v>0.61491659999181991</v>
      </c>
      <c r="AI63" s="177">
        <f>'Veh Op Costs'!AI$77/1000000</f>
        <v>0</v>
      </c>
      <c r="AJ63" s="177">
        <f>'Veh Op Costs'!AJ$77/1000000</f>
        <v>0</v>
      </c>
      <c r="AK63" s="177">
        <f>'Veh Op Costs'!AK$77/1000000</f>
        <v>0</v>
      </c>
      <c r="AL63" s="177">
        <f>'Veh Op Costs'!AL$77/1000000</f>
        <v>0</v>
      </c>
      <c r="AM63" s="177">
        <f>'Veh Op Costs'!AM$77/1000000</f>
        <v>0</v>
      </c>
      <c r="AN63" s="177">
        <f>'Veh Op Costs'!AN$77/1000000</f>
        <v>0</v>
      </c>
      <c r="AO63" s="177">
        <f>'Veh Op Costs'!AO$77/1000000</f>
        <v>0</v>
      </c>
      <c r="AP63" s="177">
        <f>'Veh Op Costs'!AP$77/1000000</f>
        <v>0</v>
      </c>
      <c r="AQ63" s="177">
        <f>'Veh Op Costs'!AQ$77/1000000</f>
        <v>0</v>
      </c>
      <c r="AR63" s="177">
        <f>'Veh Op Costs'!AR$77/1000000</f>
        <v>0</v>
      </c>
    </row>
    <row r="64" spans="1:44" x14ac:dyDescent="0.2">
      <c r="B64" s="40" t="s">
        <v>31</v>
      </c>
      <c r="D64" s="177">
        <f t="shared" si="22"/>
        <v>0.27104248757165067</v>
      </c>
      <c r="E64" s="177"/>
      <c r="F64" s="177">
        <f>Emissions!F$99/1000000</f>
        <v>0</v>
      </c>
      <c r="G64" s="177">
        <f>Emissions!G$99/1000000</f>
        <v>0</v>
      </c>
      <c r="H64" s="177">
        <f>Emissions!H$99/1000000</f>
        <v>0</v>
      </c>
      <c r="I64" s="177">
        <f>Emissions!I$99/1000000</f>
        <v>0</v>
      </c>
      <c r="J64" s="177">
        <f>Emissions!J$99/1000000</f>
        <v>0</v>
      </c>
      <c r="K64" s="177">
        <f>Emissions!K$99/1000000</f>
        <v>0</v>
      </c>
      <c r="L64" s="177">
        <f>Emissions!L$99/1000000</f>
        <v>0</v>
      </c>
      <c r="M64" s="177">
        <f>Emissions!M$99/1000000</f>
        <v>0</v>
      </c>
      <c r="N64" s="177">
        <f>Emissions!N$99/1000000</f>
        <v>0</v>
      </c>
      <c r="O64" s="177">
        <f>Emissions!O$99/1000000</f>
        <v>8.1643571186930785E-3</v>
      </c>
      <c r="P64" s="177">
        <f>Emissions!P$99/1000000</f>
        <v>8.9393876788901785E-3</v>
      </c>
      <c r="Q64" s="177">
        <f>Emissions!Q$99/1000000</f>
        <v>9.7437743659860299E-3</v>
      </c>
      <c r="R64" s="177">
        <f>Emissions!R$99/1000000</f>
        <v>1.049984560586709E-2</v>
      </c>
      <c r="S64" s="177">
        <f>Emissions!S$99/1000000</f>
        <v>1.1101946348241288E-2</v>
      </c>
      <c r="T64" s="177">
        <f>Emissions!T$99/1000000</f>
        <v>1.1675062125134729E-2</v>
      </c>
      <c r="U64" s="177">
        <f>Emissions!U$99/1000000</f>
        <v>1.2225578070370342E-2</v>
      </c>
      <c r="V64" s="177">
        <f>Emissions!V$99/1000000</f>
        <v>1.2751498049280274E-2</v>
      </c>
      <c r="W64" s="177">
        <f>Emissions!W$99/1000000</f>
        <v>1.3250289434309984E-2</v>
      </c>
      <c r="X64" s="177">
        <f>Emissions!X$99/1000000</f>
        <v>1.3729056492365504E-2</v>
      </c>
      <c r="Y64" s="177">
        <f>Emissions!Y$99/1000000</f>
        <v>1.4185350188354411E-2</v>
      </c>
      <c r="Z64" s="177">
        <f>Emissions!Z$99/1000000</f>
        <v>1.4616258461234466E-2</v>
      </c>
      <c r="AA64" s="177">
        <f>Emissions!AA$99/1000000</f>
        <v>1.5029500425085668E-2</v>
      </c>
      <c r="AB64" s="177">
        <f>Emissions!AB$99/1000000</f>
        <v>1.5422232942607316E-2</v>
      </c>
      <c r="AC64" s="177">
        <f>Emissions!AC$99/1000000</f>
        <v>1.5795075631674753E-2</v>
      </c>
      <c r="AD64" s="177">
        <f>Emissions!AD$99/1000000</f>
        <v>1.6148632202443326E-2</v>
      </c>
      <c r="AE64" s="177">
        <f>Emissions!AE$99/1000000</f>
        <v>1.6483490833040005E-2</v>
      </c>
      <c r="AF64" s="177">
        <f>Emissions!AF$99/1000000</f>
        <v>1.6800224536832234E-2</v>
      </c>
      <c r="AG64" s="177">
        <f>Emissions!AG$99/1000000</f>
        <v>1.709939152145629E-2</v>
      </c>
      <c r="AH64" s="177">
        <f>Emissions!AH$99/1000000</f>
        <v>1.7381535539783746E-2</v>
      </c>
      <c r="AI64" s="177">
        <f>Emissions!AI$99/1000000</f>
        <v>0</v>
      </c>
      <c r="AJ64" s="177">
        <f>Emissions!AJ$99/1000000</f>
        <v>0</v>
      </c>
      <c r="AK64" s="177">
        <f>Emissions!AK$99/1000000</f>
        <v>0</v>
      </c>
      <c r="AL64" s="177">
        <f>Emissions!AL$99/1000000</f>
        <v>0</v>
      </c>
      <c r="AM64" s="177">
        <f>Emissions!AM$99/1000000</f>
        <v>0</v>
      </c>
      <c r="AN64" s="177">
        <f>Emissions!AN$99/1000000</f>
        <v>0</v>
      </c>
      <c r="AO64" s="177">
        <f>Emissions!AO$99/1000000</f>
        <v>0</v>
      </c>
      <c r="AP64" s="177">
        <f>Emissions!AP$99/1000000</f>
        <v>0</v>
      </c>
      <c r="AQ64" s="177">
        <f>Emissions!AQ$99/1000000</f>
        <v>0</v>
      </c>
      <c r="AR64" s="177">
        <f>Emissions!AR$99/1000000</f>
        <v>0</v>
      </c>
    </row>
    <row r="65" spans="1:44" x14ac:dyDescent="0.2">
      <c r="B65" s="40" t="s">
        <v>32</v>
      </c>
      <c r="D65" s="177">
        <f t="shared" si="22"/>
        <v>3.8084108283380558</v>
      </c>
      <c r="E65" s="177"/>
      <c r="F65" s="177">
        <f>Pedestrian!F$59/1000000</f>
        <v>0</v>
      </c>
      <c r="G65" s="177">
        <f>Pedestrian!G$59/1000000</f>
        <v>0</v>
      </c>
      <c r="H65" s="177">
        <f>Pedestrian!H$59/1000000</f>
        <v>0</v>
      </c>
      <c r="I65" s="177">
        <f>Pedestrian!I$59/1000000</f>
        <v>0</v>
      </c>
      <c r="J65" s="177">
        <f>Pedestrian!J$59/1000000</f>
        <v>0</v>
      </c>
      <c r="K65" s="177">
        <f>Pedestrian!K$59/1000000</f>
        <v>0</v>
      </c>
      <c r="L65" s="177">
        <f>Pedestrian!L$59/1000000</f>
        <v>0</v>
      </c>
      <c r="M65" s="177">
        <f>Pedestrian!M$59/1000000</f>
        <v>0</v>
      </c>
      <c r="N65" s="177">
        <f>Pedestrian!N$59/1000000</f>
        <v>0</v>
      </c>
      <c r="O65" s="177">
        <f>Pedestrian!O$59/1000000</f>
        <v>0.15343546529469887</v>
      </c>
      <c r="P65" s="177">
        <f>Pedestrian!P$59/1000000</f>
        <v>0.18017095163811334</v>
      </c>
      <c r="Q65" s="177">
        <f>Pedestrian!Q$59/1000000</f>
        <v>0.20674072091560752</v>
      </c>
      <c r="R65" s="177">
        <f>Pedestrian!R$59/1000000</f>
        <v>0.2050256842052969</v>
      </c>
      <c r="S65" s="177">
        <f>Pedestrian!S$59/1000000</f>
        <v>0.20333110601528059</v>
      </c>
      <c r="T65" s="177">
        <f>Pedestrian!T$59/1000000</f>
        <v>0.20165670694479379</v>
      </c>
      <c r="U65" s="177">
        <f>Pedestrian!U$59/1000000</f>
        <v>0.20000221154831341</v>
      </c>
      <c r="V65" s="177">
        <f>Pedestrian!V$59/1000000</f>
        <v>0.19836734827908623</v>
      </c>
      <c r="W65" s="177">
        <f>Pedestrian!W$59/1000000</f>
        <v>0.1967518494334653</v>
      </c>
      <c r="X65" s="177">
        <f>Pedestrian!X$59/1000000</f>
        <v>0.19515545109604235</v>
      </c>
      <c r="Y65" s="177">
        <f>Pedestrian!Y$59/1000000</f>
        <v>0.19357789308556497</v>
      </c>
      <c r="Z65" s="177">
        <f>Pedestrian!Z$59/1000000</f>
        <v>0.19201891890162812</v>
      </c>
      <c r="AA65" s="177">
        <f>Pedestrian!AA$59/1000000</f>
        <v>0.19047827567212747</v>
      </c>
      <c r="AB65" s="177">
        <f>Pedestrian!AB$59/1000000</f>
        <v>0.18895571410146508</v>
      </c>
      <c r="AC65" s="177">
        <f>Pedestrian!AC$59/1000000</f>
        <v>0.18745098841949559</v>
      </c>
      <c r="AD65" s="177">
        <f>Pedestrian!AD$59/1000000</f>
        <v>0.18596385633120299</v>
      </c>
      <c r="AE65" s="177">
        <f>Pedestrian!AE$59/1000000</f>
        <v>0.18449407896709716</v>
      </c>
      <c r="AF65" s="177">
        <f>Pedestrian!AF$59/1000000</f>
        <v>0.18304142083432021</v>
      </c>
      <c r="AG65" s="177">
        <f>Pedestrian!AG$59/1000000</f>
        <v>0.18160564976845181</v>
      </c>
      <c r="AH65" s="177">
        <f>Pedestrian!AH$59/1000000</f>
        <v>0.18018653688600444</v>
      </c>
      <c r="AI65" s="177">
        <f>Pedestrian!AI$59/1000000</f>
        <v>0</v>
      </c>
      <c r="AJ65" s="177">
        <f>Pedestrian!AJ$59/1000000</f>
        <v>0</v>
      </c>
      <c r="AK65" s="177">
        <f>Pedestrian!AK$59/1000000</f>
        <v>0</v>
      </c>
      <c r="AL65" s="177">
        <f>Pedestrian!AL$59/1000000</f>
        <v>0</v>
      </c>
      <c r="AM65" s="177">
        <f>Pedestrian!AM$59/1000000</f>
        <v>0</v>
      </c>
      <c r="AN65" s="177">
        <f>Pedestrian!AN$59/1000000</f>
        <v>0</v>
      </c>
      <c r="AO65" s="177">
        <f>Pedestrian!AO$59/1000000</f>
        <v>0</v>
      </c>
      <c r="AP65" s="177">
        <f>Pedestrian!AP$59/1000000</f>
        <v>0</v>
      </c>
      <c r="AQ65" s="177">
        <f>Pedestrian!AQ$59/1000000</f>
        <v>0</v>
      </c>
      <c r="AR65" s="177">
        <f>Pedestrian!AR$59/1000000</f>
        <v>0</v>
      </c>
    </row>
    <row r="66" spans="1:44" x14ac:dyDescent="0.2">
      <c r="B66" s="40" t="s">
        <v>1010</v>
      </c>
      <c r="D66" s="177">
        <f t="shared" si="22"/>
        <v>2.077875575077857</v>
      </c>
      <c r="E66" s="177"/>
      <c r="F66" s="177">
        <f>'Induced Peds'!F$42/1000000</f>
        <v>0</v>
      </c>
      <c r="G66" s="177">
        <f>'Induced Peds'!G$42/1000000</f>
        <v>0</v>
      </c>
      <c r="H66" s="177">
        <f>'Induced Peds'!H$42/1000000</f>
        <v>0</v>
      </c>
      <c r="I66" s="177">
        <f>'Induced Peds'!I$42/1000000</f>
        <v>0</v>
      </c>
      <c r="J66" s="177">
        <f>'Induced Peds'!J$42/1000000</f>
        <v>0</v>
      </c>
      <c r="K66" s="177">
        <f>'Induced Peds'!K$42/1000000</f>
        <v>0</v>
      </c>
      <c r="L66" s="177">
        <f>'Induced Peds'!L$42/1000000</f>
        <v>0</v>
      </c>
      <c r="M66" s="177">
        <f>'Induced Peds'!M$42/1000000</f>
        <v>0</v>
      </c>
      <c r="N66" s="177">
        <f>'Induced Peds'!N$42/1000000</f>
        <v>0</v>
      </c>
      <c r="O66" s="177">
        <f>'Induced Peds'!O$42/1000000</f>
        <v>5.5742174667099478E-2</v>
      </c>
      <c r="P66" s="177">
        <f>'Induced Peds'!P$42/1000000</f>
        <v>8.3338348693906647E-2</v>
      </c>
      <c r="Q66" s="177">
        <f>'Induced Peds'!Q$42/1000000</f>
        <v>0.1107524523717022</v>
      </c>
      <c r="R66" s="177">
        <f>'Induced Peds'!R$42/1000000</f>
        <v>0.11038830771112046</v>
      </c>
      <c r="S66" s="177">
        <f>'Induced Peds'!S$42/1000000</f>
        <v>0.11002536032726708</v>
      </c>
      <c r="T66" s="177">
        <f>'Induced Peds'!T$42/1000000</f>
        <v>0.10966360628359779</v>
      </c>
      <c r="U66" s="177">
        <f>'Induced Peds'!U$42/1000000</f>
        <v>0.10930304165651138</v>
      </c>
      <c r="V66" s="177">
        <f>'Induced Peds'!V$42/1000000</f>
        <v>0.10894366253530713</v>
      </c>
      <c r="W66" s="177">
        <f>'Induced Peds'!W$42/1000000</f>
        <v>0.10858546502214228</v>
      </c>
      <c r="X66" s="177">
        <f>'Induced Peds'!X$42/1000000</f>
        <v>0.10822844523199003</v>
      </c>
      <c r="Y66" s="177">
        <f>'Induced Peds'!Y$42/1000000</f>
        <v>0.10787259929259697</v>
      </c>
      <c r="Z66" s="177">
        <f>'Induced Peds'!Z$42/1000000</f>
        <v>0.10751792334444156</v>
      </c>
      <c r="AA66" s="177">
        <f>'Induced Peds'!AA$42/1000000</f>
        <v>0.10716441354069191</v>
      </c>
      <c r="AB66" s="177">
        <f>'Induced Peds'!AB$42/1000000</f>
        <v>0.10681206604716421</v>
      </c>
      <c r="AC66" s="177">
        <f>'Induced Peds'!AC$42/1000000</f>
        <v>0.10646087704228116</v>
      </c>
      <c r="AD66" s="177">
        <f>'Induced Peds'!AD$42/1000000</f>
        <v>0.10611084271703042</v>
      </c>
      <c r="AE66" s="177">
        <f>'Induced Peds'!AE$42/1000000</f>
        <v>0.10576195927492338</v>
      </c>
      <c r="AF66" s="177">
        <f>'Induced Peds'!AF$42/1000000</f>
        <v>0.10541422293195404</v>
      </c>
      <c r="AG66" s="177">
        <f>'Induced Peds'!AG$42/1000000</f>
        <v>0.10506762991655776</v>
      </c>
      <c r="AH66" s="177">
        <f>'Induced Peds'!AH$42/1000000</f>
        <v>0.10472217646957058</v>
      </c>
      <c r="AI66" s="177">
        <f>'Induced Peds'!AI$42/1000000</f>
        <v>0</v>
      </c>
      <c r="AJ66" s="177">
        <f>'Induced Peds'!AJ$42/1000000</f>
        <v>0</v>
      </c>
      <c r="AK66" s="177">
        <f>'Induced Peds'!AK$42/1000000</f>
        <v>0</v>
      </c>
      <c r="AL66" s="177">
        <f>'Induced Peds'!AL$42/1000000</f>
        <v>0</v>
      </c>
      <c r="AM66" s="177">
        <f>'Induced Peds'!AM$42/1000000</f>
        <v>0</v>
      </c>
      <c r="AN66" s="177">
        <f>'Induced Peds'!AN$42/1000000</f>
        <v>0</v>
      </c>
      <c r="AO66" s="177">
        <f>'Induced Peds'!AO$42/1000000</f>
        <v>0</v>
      </c>
      <c r="AP66" s="177">
        <f>'Induced Peds'!AP$42/1000000</f>
        <v>0</v>
      </c>
      <c r="AQ66" s="177">
        <f>'Induced Peds'!AQ$42/1000000</f>
        <v>0</v>
      </c>
      <c r="AR66" s="177">
        <f>'Induced Peds'!AR$42/1000000</f>
        <v>0</v>
      </c>
    </row>
    <row r="67" spans="1:44" x14ac:dyDescent="0.2">
      <c r="B67" s="83" t="s">
        <v>15</v>
      </c>
      <c r="D67" s="177">
        <f t="shared" si="22"/>
        <v>2.5093938186007452E-2</v>
      </c>
      <c r="E67" s="177"/>
      <c r="F67" s="177">
        <f>'Bridge Hits'!F$46/1000000</f>
        <v>0</v>
      </c>
      <c r="G67" s="177">
        <f>'Bridge Hits'!G$46/1000000</f>
        <v>0</v>
      </c>
      <c r="H67" s="177">
        <f>'Bridge Hits'!H$46/1000000</f>
        <v>0</v>
      </c>
      <c r="I67" s="177">
        <f>'Bridge Hits'!I$46/1000000</f>
        <v>0</v>
      </c>
      <c r="J67" s="177">
        <f>'Bridge Hits'!J$46/1000000</f>
        <v>0</v>
      </c>
      <c r="K67" s="177">
        <f>'Bridge Hits'!K$46/1000000</f>
        <v>0</v>
      </c>
      <c r="L67" s="177">
        <f>'Bridge Hits'!L$46/1000000</f>
        <v>0</v>
      </c>
      <c r="M67" s="177">
        <f>'Bridge Hits'!M$46/1000000</f>
        <v>0</v>
      </c>
      <c r="N67" s="177">
        <f>'Bridge Hits'!N$46/1000000</f>
        <v>0</v>
      </c>
      <c r="O67" s="177">
        <f>'Bridge Hits'!O$46/1000000</f>
        <v>1.5045714747991352E-3</v>
      </c>
      <c r="P67" s="177">
        <f>'Bridge Hits'!P$46/1000000</f>
        <v>1.4750700733324859E-3</v>
      </c>
      <c r="Q67" s="177">
        <f>'Bridge Hits'!Q$46/1000000</f>
        <v>1.4461471307181234E-3</v>
      </c>
      <c r="R67" s="177">
        <f>'Bridge Hits'!R$46/1000000</f>
        <v>1.4177913046256113E-3</v>
      </c>
      <c r="S67" s="177">
        <f>'Bridge Hits'!S$46/1000000</f>
        <v>1.3899914751231484E-3</v>
      </c>
      <c r="T67" s="177">
        <f>'Bridge Hits'!T$46/1000000</f>
        <v>1.3627367403168122E-3</v>
      </c>
      <c r="U67" s="177">
        <f>'Bridge Hits'!U$46/1000000</f>
        <v>1.3360164120753059E-3</v>
      </c>
      <c r="V67" s="177">
        <f>'Bridge Hits'!V$46/1000000</f>
        <v>1.3098200118385353E-3</v>
      </c>
      <c r="W67" s="177">
        <f>'Bridge Hits'!W$46/1000000</f>
        <v>1.2841372665083678E-3</v>
      </c>
      <c r="X67" s="177">
        <f>'Bridge Hits'!X$46/1000000</f>
        <v>1.2589581044199685E-3</v>
      </c>
      <c r="Y67" s="177">
        <f>'Bridge Hits'!Y$46/1000000</f>
        <v>1.2342726513921258E-3</v>
      </c>
      <c r="Z67" s="177">
        <f>'Bridge Hits'!Z$46/1000000</f>
        <v>1.2100712268550253E-3</v>
      </c>
      <c r="AA67" s="177">
        <f>'Bridge Hits'!AA$46/1000000</f>
        <v>1.1863443400539466E-3</v>
      </c>
      <c r="AB67" s="177">
        <f>'Bridge Hits'!AB$46/1000000</f>
        <v>1.1630826863273987E-3</v>
      </c>
      <c r="AC67" s="177">
        <f>'Bridge Hits'!AC$46/1000000</f>
        <v>1.1402771434582339E-3</v>
      </c>
      <c r="AD67" s="177">
        <f>'Bridge Hits'!AD$46/1000000</f>
        <v>1.1179187680963078E-3</v>
      </c>
      <c r="AE67" s="177">
        <f>'Bridge Hits'!AE$46/1000000</f>
        <v>1.0959987922512821E-3</v>
      </c>
      <c r="AF67" s="177">
        <f>'Bridge Hits'!AF$46/1000000</f>
        <v>1.0745086198541982E-3</v>
      </c>
      <c r="AG67" s="177">
        <f>'Bridge Hits'!AG$46/1000000</f>
        <v>1.0534398233864688E-3</v>
      </c>
      <c r="AH67" s="177">
        <f>'Bridge Hits'!AH$46/1000000</f>
        <v>1.0327841405749695E-3</v>
      </c>
      <c r="AI67" s="177">
        <f>'Bridge Hits'!AI$46/1000000</f>
        <v>0</v>
      </c>
      <c r="AJ67" s="177">
        <f>'Bridge Hits'!AJ$46/1000000</f>
        <v>0</v>
      </c>
      <c r="AK67" s="177">
        <f>'Bridge Hits'!AK$46/1000000</f>
        <v>0</v>
      </c>
      <c r="AL67" s="177">
        <f>'Bridge Hits'!AL$46/1000000</f>
        <v>0</v>
      </c>
      <c r="AM67" s="177">
        <f>'Bridge Hits'!AM$46/1000000</f>
        <v>0</v>
      </c>
      <c r="AN67" s="177">
        <f>'Bridge Hits'!AN$46/1000000</f>
        <v>0</v>
      </c>
      <c r="AO67" s="177">
        <f>'Bridge Hits'!AO$46/1000000</f>
        <v>0</v>
      </c>
      <c r="AP67" s="177">
        <f>'Bridge Hits'!AP$46/1000000</f>
        <v>0</v>
      </c>
      <c r="AQ67" s="177">
        <f>'Bridge Hits'!AQ$46/1000000</f>
        <v>0</v>
      </c>
      <c r="AR67" s="177">
        <f>'Bridge Hits'!AR$46/1000000</f>
        <v>0</v>
      </c>
    </row>
    <row r="68" spans="1:44" x14ac:dyDescent="0.2">
      <c r="B68" s="40" t="s">
        <v>824</v>
      </c>
      <c r="D68" s="177">
        <f>SUM(F68:AR68)</f>
        <v>2.6119269830089764</v>
      </c>
      <c r="E68" s="177"/>
      <c r="F68" s="177">
        <f>-'Project Costs'!F$72/1000000</f>
        <v>0</v>
      </c>
      <c r="G68" s="177">
        <f>-'Project Costs'!G$72/1000000</f>
        <v>0</v>
      </c>
      <c r="H68" s="177">
        <f>-'Project Costs'!H$72/1000000</f>
        <v>0</v>
      </c>
      <c r="I68" s="177">
        <f>-'Project Costs'!I$72/1000000</f>
        <v>0</v>
      </c>
      <c r="J68" s="177">
        <f>-'Project Costs'!J$72/1000000</f>
        <v>0</v>
      </c>
      <c r="K68" s="177">
        <f>-'Project Costs'!K$72/1000000</f>
        <v>0</v>
      </c>
      <c r="L68" s="177">
        <f>-'Project Costs'!L$72/1000000</f>
        <v>0</v>
      </c>
      <c r="M68" s="177">
        <f>-'Project Costs'!M$72/1000000</f>
        <v>0</v>
      </c>
      <c r="N68" s="177">
        <f>-'Project Costs'!N$72/1000000</f>
        <v>0</v>
      </c>
      <c r="O68" s="177">
        <f>-'Project Costs'!O$72/1000000</f>
        <v>-0.2901062737810941</v>
      </c>
      <c r="P68" s="177">
        <f>-'Project Costs'!P$72/1000000</f>
        <v>0</v>
      </c>
      <c r="Q68" s="177">
        <f>-'Project Costs'!Q$72/1000000</f>
        <v>0</v>
      </c>
      <c r="R68" s="177">
        <f>-'Project Costs'!R$72/1000000</f>
        <v>1.2590807923884153</v>
      </c>
      <c r="S68" s="177">
        <f>-'Project Costs'!S$72/1000000</f>
        <v>0</v>
      </c>
      <c r="T68" s="177">
        <f>-'Project Costs'!T$72/1000000</f>
        <v>0</v>
      </c>
      <c r="U68" s="177">
        <f>-'Project Costs'!U$72/1000000</f>
        <v>0</v>
      </c>
      <c r="V68" s="177">
        <f>-'Project Costs'!V$72/1000000</f>
        <v>0</v>
      </c>
      <c r="W68" s="177">
        <f>-'Project Costs'!W$72/1000000</f>
        <v>0.70743688941144633</v>
      </c>
      <c r="X68" s="177">
        <f>-'Project Costs'!X$72/1000000</f>
        <v>0</v>
      </c>
      <c r="Y68" s="177">
        <f>-'Project Costs'!Y$72/1000000</f>
        <v>0</v>
      </c>
      <c r="Z68" s="177">
        <f>-'Project Costs'!Z$72/1000000</f>
        <v>0</v>
      </c>
      <c r="AA68" s="177">
        <f>-'Project Costs'!AA$72/1000000</f>
        <v>0</v>
      </c>
      <c r="AB68" s="177">
        <f>-'Project Costs'!AB$72/1000000</f>
        <v>0</v>
      </c>
      <c r="AC68" s="177">
        <f>-'Project Costs'!AC$72/1000000</f>
        <v>0</v>
      </c>
      <c r="AD68" s="177">
        <f>-'Project Costs'!AD$72/1000000</f>
        <v>0</v>
      </c>
      <c r="AE68" s="177">
        <f>-'Project Costs'!AE$72/1000000</f>
        <v>0</v>
      </c>
      <c r="AF68" s="177">
        <f>-'Project Costs'!AF$72/1000000</f>
        <v>0</v>
      </c>
      <c r="AG68" s="177">
        <f>-'Project Costs'!AG$72/1000000</f>
        <v>0.93551557499020899</v>
      </c>
      <c r="AH68" s="177">
        <f>-'Project Costs'!AH$72/1000000</f>
        <v>0</v>
      </c>
      <c r="AI68" s="177">
        <f>-'Project Costs'!AI$72/1000000</f>
        <v>0</v>
      </c>
      <c r="AJ68" s="177">
        <f>-'Project Costs'!AJ$72/1000000</f>
        <v>0</v>
      </c>
      <c r="AK68" s="177">
        <f>-'Project Costs'!AK$72/1000000</f>
        <v>0</v>
      </c>
      <c r="AL68" s="177">
        <f>-'Project Costs'!AL$72/1000000</f>
        <v>0</v>
      </c>
      <c r="AM68" s="177">
        <f>-'Project Costs'!AM$72/1000000</f>
        <v>0</v>
      </c>
      <c r="AN68" s="177">
        <f>-'Project Costs'!AN$72/1000000</f>
        <v>0</v>
      </c>
      <c r="AO68" s="177">
        <f>-'Project Costs'!AO$72/1000000</f>
        <v>0</v>
      </c>
      <c r="AP68" s="177">
        <f>-'Project Costs'!AP$72/1000000</f>
        <v>0</v>
      </c>
      <c r="AQ68" s="177">
        <f>-'Project Costs'!AQ$72/1000000</f>
        <v>0</v>
      </c>
      <c r="AR68" s="177">
        <f>-'Project Costs'!AR$72/1000000</f>
        <v>0</v>
      </c>
    </row>
    <row r="69" spans="1:44" x14ac:dyDescent="0.2">
      <c r="B69" s="83" t="s">
        <v>16</v>
      </c>
      <c r="D69" s="177">
        <f t="shared" si="22"/>
        <v>2.1403264294115782</v>
      </c>
      <c r="E69" s="177"/>
      <c r="F69" s="177">
        <f>'Residual Value'!F$55/1000000</f>
        <v>0</v>
      </c>
      <c r="G69" s="177">
        <f>'Residual Value'!G$55/1000000</f>
        <v>0</v>
      </c>
      <c r="H69" s="177">
        <f>'Residual Value'!H$55/1000000</f>
        <v>0</v>
      </c>
      <c r="I69" s="177">
        <f>'Residual Value'!I$55/1000000</f>
        <v>0</v>
      </c>
      <c r="J69" s="177">
        <f>'Residual Value'!J$55/1000000</f>
        <v>0</v>
      </c>
      <c r="K69" s="177">
        <f>'Residual Value'!K$55/1000000</f>
        <v>0</v>
      </c>
      <c r="L69" s="177">
        <f>'Residual Value'!L$55/1000000</f>
        <v>0</v>
      </c>
      <c r="M69" s="177">
        <f>'Residual Value'!M$55/1000000</f>
        <v>0</v>
      </c>
      <c r="N69" s="177">
        <f>'Residual Value'!N$55/1000000</f>
        <v>0</v>
      </c>
      <c r="O69" s="177">
        <f>'Residual Value'!O$55/1000000</f>
        <v>0</v>
      </c>
      <c r="P69" s="177">
        <f>'Residual Value'!P$55/1000000</f>
        <v>0</v>
      </c>
      <c r="Q69" s="177">
        <f>'Residual Value'!Q$55/1000000</f>
        <v>0</v>
      </c>
      <c r="R69" s="177">
        <f>'Residual Value'!R$55/1000000</f>
        <v>0</v>
      </c>
      <c r="S69" s="177">
        <f>'Residual Value'!S$55/1000000</f>
        <v>0</v>
      </c>
      <c r="T69" s="177">
        <f>'Residual Value'!T$55/1000000</f>
        <v>0</v>
      </c>
      <c r="U69" s="177">
        <f>'Residual Value'!U$55/1000000</f>
        <v>0</v>
      </c>
      <c r="V69" s="177">
        <f>'Residual Value'!V$55/1000000</f>
        <v>0</v>
      </c>
      <c r="W69" s="177">
        <f>'Residual Value'!W$55/1000000</f>
        <v>0</v>
      </c>
      <c r="X69" s="177">
        <f>'Residual Value'!X$55/1000000</f>
        <v>0</v>
      </c>
      <c r="Y69" s="177">
        <f>'Residual Value'!Y$55/1000000</f>
        <v>0</v>
      </c>
      <c r="Z69" s="177">
        <f>'Residual Value'!Z$55/1000000</f>
        <v>0</v>
      </c>
      <c r="AA69" s="177">
        <f>'Residual Value'!AA$55/1000000</f>
        <v>0</v>
      </c>
      <c r="AB69" s="177">
        <f>'Residual Value'!AB$55/1000000</f>
        <v>0</v>
      </c>
      <c r="AC69" s="177">
        <f>'Residual Value'!AC$55/1000000</f>
        <v>0</v>
      </c>
      <c r="AD69" s="177">
        <f>'Residual Value'!AD$55/1000000</f>
        <v>0</v>
      </c>
      <c r="AE69" s="177">
        <f>'Residual Value'!AE$55/1000000</f>
        <v>0</v>
      </c>
      <c r="AF69" s="177">
        <f>'Residual Value'!AF$55/1000000</f>
        <v>0</v>
      </c>
      <c r="AG69" s="177">
        <f>'Residual Value'!AG$55/1000000</f>
        <v>0</v>
      </c>
      <c r="AH69" s="177">
        <f>'Residual Value'!AH$55/1000000</f>
        <v>2.1403264294115782</v>
      </c>
      <c r="AI69" s="177">
        <f>'Residual Value'!AI$55/1000000</f>
        <v>0</v>
      </c>
      <c r="AJ69" s="177">
        <f>'Residual Value'!AJ$55/1000000</f>
        <v>0</v>
      </c>
      <c r="AK69" s="177">
        <f>'Residual Value'!AK$55/1000000</f>
        <v>0</v>
      </c>
      <c r="AL69" s="177">
        <f>'Residual Value'!AL$55/1000000</f>
        <v>0</v>
      </c>
      <c r="AM69" s="177">
        <f>'Residual Value'!AM$55/1000000</f>
        <v>0</v>
      </c>
      <c r="AN69" s="177">
        <f>'Residual Value'!AN$55/1000000</f>
        <v>0</v>
      </c>
      <c r="AO69" s="177">
        <f>'Residual Value'!AO$55/1000000</f>
        <v>0</v>
      </c>
      <c r="AP69" s="177">
        <f>'Residual Value'!AP$55/1000000</f>
        <v>0</v>
      </c>
      <c r="AQ69" s="177">
        <f>'Residual Value'!AQ$55/1000000</f>
        <v>0</v>
      </c>
      <c r="AR69" s="177">
        <f>'Residual Value'!AR$55/1000000</f>
        <v>0</v>
      </c>
    </row>
    <row r="70" spans="1:44" ht="15.75" thickBot="1" x14ac:dyDescent="0.3">
      <c r="B70" s="161" t="s">
        <v>22</v>
      </c>
      <c r="C70" s="163"/>
      <c r="D70" s="178">
        <f t="shared" si="22"/>
        <v>58.780956814765652</v>
      </c>
      <c r="E70" s="178"/>
      <c r="F70" s="178">
        <f t="shared" ref="F70:AR70" si="23">SUM(F61:F69)</f>
        <v>0</v>
      </c>
      <c r="G70" s="178">
        <f t="shared" si="23"/>
        <v>0</v>
      </c>
      <c r="H70" s="178">
        <f t="shared" si="23"/>
        <v>0</v>
      </c>
      <c r="I70" s="178">
        <f t="shared" si="23"/>
        <v>0</v>
      </c>
      <c r="J70" s="178">
        <f t="shared" si="23"/>
        <v>0</v>
      </c>
      <c r="K70" s="178">
        <f t="shared" si="23"/>
        <v>0</v>
      </c>
      <c r="L70" s="178">
        <f t="shared" si="23"/>
        <v>0</v>
      </c>
      <c r="M70" s="178">
        <f t="shared" si="23"/>
        <v>0</v>
      </c>
      <c r="N70" s="178">
        <f t="shared" si="23"/>
        <v>0</v>
      </c>
      <c r="O70" s="178">
        <f t="shared" si="23"/>
        <v>1.5375405622428424</v>
      </c>
      <c r="P70" s="178">
        <f t="shared" si="23"/>
        <v>1.9884592519099265</v>
      </c>
      <c r="Q70" s="178">
        <f t="shared" si="23"/>
        <v>2.1453003724991051</v>
      </c>
      <c r="R70" s="178">
        <f t="shared" si="23"/>
        <v>3.5012990186540907</v>
      </c>
      <c r="S70" s="178">
        <f t="shared" si="23"/>
        <v>2.3324630426164816</v>
      </c>
      <c r="T70" s="178">
        <f t="shared" si="23"/>
        <v>2.4214926223318551</v>
      </c>
      <c r="U70" s="178">
        <f t="shared" si="23"/>
        <v>2.5050967992947784</v>
      </c>
      <c r="V70" s="178">
        <f t="shared" si="23"/>
        <v>2.5851423473071993</v>
      </c>
      <c r="W70" s="178">
        <f t="shared" si="23"/>
        <v>3.3682543117783053</v>
      </c>
      <c r="X70" s="178">
        <f t="shared" si="23"/>
        <v>2.7369900733119281</v>
      </c>
      <c r="Y70" s="178">
        <f t="shared" si="23"/>
        <v>2.804913804916461</v>
      </c>
      <c r="Z70" s="178">
        <f t="shared" si="23"/>
        <v>2.8701079383197996</v>
      </c>
      <c r="AA70" s="178">
        <f t="shared" si="23"/>
        <v>2.9325597441652151</v>
      </c>
      <c r="AB70" s="178">
        <f t="shared" si="23"/>
        <v>2.990067310590022</v>
      </c>
      <c r="AC70" s="178">
        <f t="shared" si="23"/>
        <v>3.0437257939168103</v>
      </c>
      <c r="AD70" s="178">
        <f t="shared" si="23"/>
        <v>3.0955594869215335</v>
      </c>
      <c r="AE70" s="178">
        <f t="shared" si="23"/>
        <v>3.1407369321348151</v>
      </c>
      <c r="AF70" s="178">
        <f t="shared" si="23"/>
        <v>3.1887871310121945</v>
      </c>
      <c r="AG70" s="178">
        <f t="shared" si="23"/>
        <v>4.1661553743941289</v>
      </c>
      <c r="AH70" s="178">
        <f t="shared" si="23"/>
        <v>5.4263048964481602</v>
      </c>
      <c r="AI70" s="178">
        <f t="shared" si="23"/>
        <v>0</v>
      </c>
      <c r="AJ70" s="178">
        <f t="shared" si="23"/>
        <v>0</v>
      </c>
      <c r="AK70" s="178">
        <f t="shared" si="23"/>
        <v>0</v>
      </c>
      <c r="AL70" s="178">
        <f t="shared" si="23"/>
        <v>0</v>
      </c>
      <c r="AM70" s="178">
        <f t="shared" si="23"/>
        <v>0</v>
      </c>
      <c r="AN70" s="178">
        <f t="shared" si="23"/>
        <v>0</v>
      </c>
      <c r="AO70" s="178">
        <f t="shared" si="23"/>
        <v>0</v>
      </c>
      <c r="AP70" s="178">
        <f t="shared" si="23"/>
        <v>0</v>
      </c>
      <c r="AQ70" s="178">
        <f t="shared" si="23"/>
        <v>0</v>
      </c>
      <c r="AR70" s="179">
        <f t="shared" si="23"/>
        <v>0</v>
      </c>
    </row>
    <row r="71" spans="1:44" ht="15" thickBot="1" x14ac:dyDescent="0.25">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row>
    <row r="72" spans="1:44" ht="18" thickBot="1" x14ac:dyDescent="0.35">
      <c r="B72" s="42" t="s">
        <v>33</v>
      </c>
      <c r="C72" s="43"/>
      <c r="D72" s="43" t="s">
        <v>30</v>
      </c>
      <c r="E72" s="43"/>
      <c r="F72" s="82">
        <f t="shared" ref="F72:AR72" si="24">F60</f>
        <v>2018</v>
      </c>
      <c r="G72" s="82">
        <f t="shared" si="24"/>
        <v>2019</v>
      </c>
      <c r="H72" s="82">
        <f t="shared" si="24"/>
        <v>2020</v>
      </c>
      <c r="I72" s="82">
        <f t="shared" si="24"/>
        <v>2021</v>
      </c>
      <c r="J72" s="82">
        <f t="shared" si="24"/>
        <v>2022</v>
      </c>
      <c r="K72" s="82">
        <f t="shared" si="24"/>
        <v>2023</v>
      </c>
      <c r="L72" s="82">
        <f t="shared" si="24"/>
        <v>2024</v>
      </c>
      <c r="M72" s="82">
        <f t="shared" si="24"/>
        <v>2025</v>
      </c>
      <c r="N72" s="82">
        <f t="shared" si="24"/>
        <v>2026</v>
      </c>
      <c r="O72" s="82">
        <f t="shared" si="24"/>
        <v>2027</v>
      </c>
      <c r="P72" s="82">
        <f t="shared" si="24"/>
        <v>2028</v>
      </c>
      <c r="Q72" s="82">
        <f t="shared" si="24"/>
        <v>2029</v>
      </c>
      <c r="R72" s="82">
        <f t="shared" si="24"/>
        <v>2030</v>
      </c>
      <c r="S72" s="82">
        <f t="shared" si="24"/>
        <v>2031</v>
      </c>
      <c r="T72" s="82">
        <f t="shared" si="24"/>
        <v>2032</v>
      </c>
      <c r="U72" s="82">
        <f t="shared" si="24"/>
        <v>2033</v>
      </c>
      <c r="V72" s="82">
        <f t="shared" si="24"/>
        <v>2034</v>
      </c>
      <c r="W72" s="82">
        <f t="shared" si="24"/>
        <v>2035</v>
      </c>
      <c r="X72" s="82">
        <f t="shared" si="24"/>
        <v>2036</v>
      </c>
      <c r="Y72" s="82">
        <f t="shared" si="24"/>
        <v>2037</v>
      </c>
      <c r="Z72" s="82">
        <f t="shared" si="24"/>
        <v>2038</v>
      </c>
      <c r="AA72" s="82">
        <f t="shared" si="24"/>
        <v>2039</v>
      </c>
      <c r="AB72" s="82">
        <f t="shared" si="24"/>
        <v>2040</v>
      </c>
      <c r="AC72" s="82">
        <f t="shared" si="24"/>
        <v>2041</v>
      </c>
      <c r="AD72" s="82">
        <f t="shared" si="24"/>
        <v>2042</v>
      </c>
      <c r="AE72" s="82">
        <f t="shared" si="24"/>
        <v>2043</v>
      </c>
      <c r="AF72" s="82">
        <f t="shared" si="24"/>
        <v>2044</v>
      </c>
      <c r="AG72" s="82">
        <f t="shared" si="24"/>
        <v>2045</v>
      </c>
      <c r="AH72" s="82">
        <f t="shared" si="24"/>
        <v>2046</v>
      </c>
      <c r="AI72" s="82">
        <f t="shared" si="24"/>
        <v>2047</v>
      </c>
      <c r="AJ72" s="82">
        <f t="shared" si="24"/>
        <v>2048</v>
      </c>
      <c r="AK72" s="82">
        <f t="shared" si="24"/>
        <v>2049</v>
      </c>
      <c r="AL72" s="82">
        <f t="shared" si="24"/>
        <v>2050</v>
      </c>
      <c r="AM72" s="82">
        <f t="shared" si="24"/>
        <v>2051</v>
      </c>
      <c r="AN72" s="82">
        <f t="shared" si="24"/>
        <v>2052</v>
      </c>
      <c r="AO72" s="82">
        <f t="shared" si="24"/>
        <v>2053</v>
      </c>
      <c r="AP72" s="82">
        <f t="shared" si="24"/>
        <v>2054</v>
      </c>
      <c r="AQ72" s="82">
        <f t="shared" si="24"/>
        <v>2055</v>
      </c>
      <c r="AR72" s="162">
        <f t="shared" si="24"/>
        <v>2056</v>
      </c>
    </row>
    <row r="73" spans="1:44" ht="15" thickBot="1" x14ac:dyDescent="0.25">
      <c r="B73" s="44" t="s">
        <v>19</v>
      </c>
      <c r="D73" s="177">
        <f>SUM(F73:AR73)</f>
        <v>-25.07631834171999</v>
      </c>
      <c r="E73" s="177"/>
      <c r="F73" s="177">
        <f>-'Project Costs'!F$67/1000000</f>
        <v>0</v>
      </c>
      <c r="G73" s="177">
        <f>-'Project Costs'!G$67/1000000</f>
        <v>0</v>
      </c>
      <c r="H73" s="177">
        <f>-'Project Costs'!H$67/1000000</f>
        <v>0</v>
      </c>
      <c r="I73" s="177">
        <f>-'Project Costs'!I$67/1000000</f>
        <v>0</v>
      </c>
      <c r="J73" s="177">
        <f>-'Project Costs'!J$67/1000000</f>
        <v>0</v>
      </c>
      <c r="K73" s="177">
        <f>-'Project Costs'!K$67/1000000</f>
        <v>0</v>
      </c>
      <c r="L73" s="177">
        <f>-'Project Costs'!L$67/1000000</f>
        <v>-2.399701085290399</v>
      </c>
      <c r="M73" s="177">
        <f>-'Project Costs'!M$67/1000000</f>
        <v>-11.450569109682268</v>
      </c>
      <c r="N73" s="177">
        <f>-'Project Costs'!N$67/1000000</f>
        <v>-11.226048146747321</v>
      </c>
      <c r="O73" s="177">
        <f>-'Project Costs'!O$67/1000000</f>
        <v>0</v>
      </c>
      <c r="P73" s="177">
        <f>-'Project Costs'!P$67/1000000</f>
        <v>0</v>
      </c>
      <c r="Q73" s="177">
        <f>-'Project Costs'!Q$67/1000000</f>
        <v>0</v>
      </c>
      <c r="R73" s="177">
        <f>-'Project Costs'!R$67/1000000</f>
        <v>0</v>
      </c>
      <c r="S73" s="177">
        <f>-'Project Costs'!S$67/1000000</f>
        <v>0</v>
      </c>
      <c r="T73" s="177">
        <f>-'Project Costs'!T$67/1000000</f>
        <v>0</v>
      </c>
      <c r="U73" s="177">
        <f>-'Project Costs'!U$67/1000000</f>
        <v>0</v>
      </c>
      <c r="V73" s="177">
        <f>-'Project Costs'!V$67/1000000</f>
        <v>0</v>
      </c>
      <c r="W73" s="177">
        <f>-'Project Costs'!W$67/1000000</f>
        <v>0</v>
      </c>
      <c r="X73" s="177">
        <f>-'Project Costs'!X$67/1000000</f>
        <v>0</v>
      </c>
      <c r="Y73" s="177">
        <f>-'Project Costs'!Y$67/1000000</f>
        <v>0</v>
      </c>
      <c r="Z73" s="177">
        <f>-'Project Costs'!Z$67/1000000</f>
        <v>0</v>
      </c>
      <c r="AA73" s="177">
        <f>-'Project Costs'!AA$67/1000000</f>
        <v>0</v>
      </c>
      <c r="AB73" s="177">
        <f>-'Project Costs'!AB$67/1000000</f>
        <v>0</v>
      </c>
      <c r="AC73" s="177">
        <f>-'Project Costs'!AC$67/1000000</f>
        <v>0</v>
      </c>
      <c r="AD73" s="177">
        <f>-'Project Costs'!AD$67/1000000</f>
        <v>0</v>
      </c>
      <c r="AE73" s="177">
        <f>-'Project Costs'!AE$67/1000000</f>
        <v>0</v>
      </c>
      <c r="AF73" s="177">
        <f>-'Project Costs'!AF$67/1000000</f>
        <v>0</v>
      </c>
      <c r="AG73" s="177">
        <f>-'Project Costs'!AG$67/1000000</f>
        <v>0</v>
      </c>
      <c r="AH73" s="177">
        <f>-'Project Costs'!AH$67/1000000</f>
        <v>0</v>
      </c>
      <c r="AI73" s="177">
        <f>-'Project Costs'!AI$67/1000000</f>
        <v>0</v>
      </c>
      <c r="AJ73" s="177">
        <f>-'Project Costs'!AJ$67/1000000</f>
        <v>0</v>
      </c>
      <c r="AK73" s="177">
        <f>-'Project Costs'!AK$67/1000000</f>
        <v>0</v>
      </c>
      <c r="AL73" s="177">
        <f>-'Project Costs'!AL$67/1000000</f>
        <v>0</v>
      </c>
      <c r="AM73" s="177">
        <f>-'Project Costs'!AM$67/1000000</f>
        <v>0</v>
      </c>
      <c r="AN73" s="177">
        <f>-'Project Costs'!AN$67/1000000</f>
        <v>0</v>
      </c>
      <c r="AO73" s="177">
        <f>-'Project Costs'!AO$67/1000000</f>
        <v>0</v>
      </c>
      <c r="AP73" s="177">
        <f>-'Project Costs'!AP$67/1000000</f>
        <v>0</v>
      </c>
      <c r="AQ73" s="177">
        <f>-'Project Costs'!AQ$67/1000000</f>
        <v>0</v>
      </c>
      <c r="AR73" s="177">
        <f>-'Project Costs'!AR$67/1000000</f>
        <v>0</v>
      </c>
    </row>
    <row r="74" spans="1:44" ht="15.75" thickBot="1" x14ac:dyDescent="0.3">
      <c r="B74" s="168" t="s">
        <v>23</v>
      </c>
      <c r="C74" s="166"/>
      <c r="D74" s="180">
        <f t="shared" ref="D74" si="25">SUM(F74:AR74)</f>
        <v>-25.07631834171999</v>
      </c>
      <c r="E74" s="180"/>
      <c r="F74" s="180">
        <f t="shared" ref="F74:AR74" si="26">SUM(F73:F73)</f>
        <v>0</v>
      </c>
      <c r="G74" s="180">
        <f t="shared" si="26"/>
        <v>0</v>
      </c>
      <c r="H74" s="180">
        <f t="shared" si="26"/>
        <v>0</v>
      </c>
      <c r="I74" s="180">
        <f t="shared" si="26"/>
        <v>0</v>
      </c>
      <c r="J74" s="180">
        <f t="shared" si="26"/>
        <v>0</v>
      </c>
      <c r="K74" s="180">
        <f t="shared" si="26"/>
        <v>0</v>
      </c>
      <c r="L74" s="180">
        <f t="shared" si="26"/>
        <v>-2.399701085290399</v>
      </c>
      <c r="M74" s="180">
        <f t="shared" si="26"/>
        <v>-11.450569109682268</v>
      </c>
      <c r="N74" s="180">
        <f t="shared" si="26"/>
        <v>-11.226048146747321</v>
      </c>
      <c r="O74" s="180">
        <f t="shared" si="26"/>
        <v>0</v>
      </c>
      <c r="P74" s="180">
        <f t="shared" si="26"/>
        <v>0</v>
      </c>
      <c r="Q74" s="180">
        <f t="shared" si="26"/>
        <v>0</v>
      </c>
      <c r="R74" s="180">
        <f t="shared" si="26"/>
        <v>0</v>
      </c>
      <c r="S74" s="180">
        <f t="shared" si="26"/>
        <v>0</v>
      </c>
      <c r="T74" s="180">
        <f t="shared" si="26"/>
        <v>0</v>
      </c>
      <c r="U74" s="180">
        <f t="shared" si="26"/>
        <v>0</v>
      </c>
      <c r="V74" s="180">
        <f t="shared" si="26"/>
        <v>0</v>
      </c>
      <c r="W74" s="180">
        <f t="shared" si="26"/>
        <v>0</v>
      </c>
      <c r="X74" s="180">
        <f t="shared" si="26"/>
        <v>0</v>
      </c>
      <c r="Y74" s="180">
        <f t="shared" si="26"/>
        <v>0</v>
      </c>
      <c r="Z74" s="180">
        <f t="shared" si="26"/>
        <v>0</v>
      </c>
      <c r="AA74" s="180">
        <f t="shared" si="26"/>
        <v>0</v>
      </c>
      <c r="AB74" s="180">
        <f t="shared" si="26"/>
        <v>0</v>
      </c>
      <c r="AC74" s="180">
        <f t="shared" si="26"/>
        <v>0</v>
      </c>
      <c r="AD74" s="180">
        <f t="shared" si="26"/>
        <v>0</v>
      </c>
      <c r="AE74" s="180">
        <f t="shared" si="26"/>
        <v>0</v>
      </c>
      <c r="AF74" s="180">
        <f t="shared" si="26"/>
        <v>0</v>
      </c>
      <c r="AG74" s="180">
        <f t="shared" si="26"/>
        <v>0</v>
      </c>
      <c r="AH74" s="180">
        <f t="shared" si="26"/>
        <v>0</v>
      </c>
      <c r="AI74" s="180">
        <f t="shared" si="26"/>
        <v>0</v>
      </c>
      <c r="AJ74" s="180">
        <f t="shared" si="26"/>
        <v>0</v>
      </c>
      <c r="AK74" s="180">
        <f t="shared" si="26"/>
        <v>0</v>
      </c>
      <c r="AL74" s="180">
        <f t="shared" si="26"/>
        <v>0</v>
      </c>
      <c r="AM74" s="180">
        <f t="shared" si="26"/>
        <v>0</v>
      </c>
      <c r="AN74" s="180">
        <f t="shared" si="26"/>
        <v>0</v>
      </c>
      <c r="AO74" s="180">
        <f t="shared" si="26"/>
        <v>0</v>
      </c>
      <c r="AP74" s="180">
        <f t="shared" si="26"/>
        <v>0</v>
      </c>
      <c r="AQ74" s="180">
        <f t="shared" si="26"/>
        <v>0</v>
      </c>
      <c r="AR74" s="181">
        <f t="shared" si="26"/>
        <v>0</v>
      </c>
    </row>
    <row r="75" spans="1:44" ht="15.75" thickBot="1" x14ac:dyDescent="0.3">
      <c r="B75" s="2"/>
      <c r="C75" s="2"/>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row>
    <row r="76" spans="1:44" ht="15.75" thickBot="1" x14ac:dyDescent="0.3">
      <c r="B76" s="165" t="s">
        <v>34</v>
      </c>
      <c r="C76" s="166"/>
      <c r="D76" s="180">
        <f t="shared" ref="D76" si="27">SUM(F76:AR76)</f>
        <v>33.704638473045662</v>
      </c>
      <c r="E76" s="180"/>
      <c r="F76" s="180">
        <f t="shared" ref="F76:AR76" si="28">F70+F74</f>
        <v>0</v>
      </c>
      <c r="G76" s="180">
        <f t="shared" si="28"/>
        <v>0</v>
      </c>
      <c r="H76" s="180">
        <f t="shared" si="28"/>
        <v>0</v>
      </c>
      <c r="I76" s="180">
        <f t="shared" si="28"/>
        <v>0</v>
      </c>
      <c r="J76" s="180">
        <f t="shared" si="28"/>
        <v>0</v>
      </c>
      <c r="K76" s="180">
        <f t="shared" si="28"/>
        <v>0</v>
      </c>
      <c r="L76" s="180">
        <f t="shared" si="28"/>
        <v>-2.399701085290399</v>
      </c>
      <c r="M76" s="180">
        <f t="shared" si="28"/>
        <v>-11.450569109682268</v>
      </c>
      <c r="N76" s="180">
        <f t="shared" si="28"/>
        <v>-11.226048146747321</v>
      </c>
      <c r="O76" s="180">
        <f t="shared" si="28"/>
        <v>1.5375405622428424</v>
      </c>
      <c r="P76" s="180">
        <f t="shared" si="28"/>
        <v>1.9884592519099265</v>
      </c>
      <c r="Q76" s="180">
        <f t="shared" si="28"/>
        <v>2.1453003724991051</v>
      </c>
      <c r="R76" s="180">
        <f t="shared" si="28"/>
        <v>3.5012990186540907</v>
      </c>
      <c r="S76" s="180">
        <f t="shared" si="28"/>
        <v>2.3324630426164816</v>
      </c>
      <c r="T76" s="180">
        <f t="shared" si="28"/>
        <v>2.4214926223318551</v>
      </c>
      <c r="U76" s="180">
        <f t="shared" si="28"/>
        <v>2.5050967992947784</v>
      </c>
      <c r="V76" s="180">
        <f t="shared" si="28"/>
        <v>2.5851423473071993</v>
      </c>
      <c r="W76" s="180">
        <f t="shared" si="28"/>
        <v>3.3682543117783053</v>
      </c>
      <c r="X76" s="180">
        <f t="shared" si="28"/>
        <v>2.7369900733119281</v>
      </c>
      <c r="Y76" s="180">
        <f t="shared" si="28"/>
        <v>2.804913804916461</v>
      </c>
      <c r="Z76" s="180">
        <f t="shared" si="28"/>
        <v>2.8701079383197996</v>
      </c>
      <c r="AA76" s="180">
        <f t="shared" si="28"/>
        <v>2.9325597441652151</v>
      </c>
      <c r="AB76" s="180">
        <f t="shared" si="28"/>
        <v>2.990067310590022</v>
      </c>
      <c r="AC76" s="180">
        <f t="shared" si="28"/>
        <v>3.0437257939168103</v>
      </c>
      <c r="AD76" s="180">
        <f t="shared" si="28"/>
        <v>3.0955594869215335</v>
      </c>
      <c r="AE76" s="180">
        <f t="shared" si="28"/>
        <v>3.1407369321348151</v>
      </c>
      <c r="AF76" s="180">
        <f t="shared" si="28"/>
        <v>3.1887871310121945</v>
      </c>
      <c r="AG76" s="180">
        <f t="shared" si="28"/>
        <v>4.1661553743941289</v>
      </c>
      <c r="AH76" s="180">
        <f t="shared" si="28"/>
        <v>5.4263048964481602</v>
      </c>
      <c r="AI76" s="180">
        <f t="shared" si="28"/>
        <v>0</v>
      </c>
      <c r="AJ76" s="180">
        <f t="shared" si="28"/>
        <v>0</v>
      </c>
      <c r="AK76" s="180">
        <f t="shared" si="28"/>
        <v>0</v>
      </c>
      <c r="AL76" s="180">
        <f t="shared" si="28"/>
        <v>0</v>
      </c>
      <c r="AM76" s="180">
        <f t="shared" si="28"/>
        <v>0</v>
      </c>
      <c r="AN76" s="180">
        <f t="shared" si="28"/>
        <v>0</v>
      </c>
      <c r="AO76" s="180">
        <f t="shared" si="28"/>
        <v>0</v>
      </c>
      <c r="AP76" s="180">
        <f t="shared" si="28"/>
        <v>0</v>
      </c>
      <c r="AQ76" s="180">
        <f t="shared" si="28"/>
        <v>0</v>
      </c>
      <c r="AR76" s="180">
        <f t="shared" si="28"/>
        <v>0</v>
      </c>
    </row>
    <row r="79" spans="1:44" ht="15.75" thickBot="1" x14ac:dyDescent="0.3">
      <c r="A79" s="2" t="s">
        <v>825</v>
      </c>
    </row>
    <row r="80" spans="1:44" ht="18" thickBot="1" x14ac:dyDescent="0.35">
      <c r="B80" s="42" t="s">
        <v>29</v>
      </c>
      <c r="C80" s="43"/>
      <c r="D80" s="43" t="s">
        <v>30</v>
      </c>
      <c r="E80" s="43"/>
      <c r="F80" s="82">
        <f t="shared" ref="F80:AR80" si="29">F60</f>
        <v>2018</v>
      </c>
      <c r="G80" s="82">
        <f t="shared" si="29"/>
        <v>2019</v>
      </c>
      <c r="H80" s="82">
        <f t="shared" si="29"/>
        <v>2020</v>
      </c>
      <c r="I80" s="82">
        <f t="shared" si="29"/>
        <v>2021</v>
      </c>
      <c r="J80" s="82">
        <f t="shared" si="29"/>
        <v>2022</v>
      </c>
      <c r="K80" s="82">
        <f t="shared" si="29"/>
        <v>2023</v>
      </c>
      <c r="L80" s="82">
        <f t="shared" si="29"/>
        <v>2024</v>
      </c>
      <c r="M80" s="82">
        <f t="shared" si="29"/>
        <v>2025</v>
      </c>
      <c r="N80" s="82">
        <f t="shared" si="29"/>
        <v>2026</v>
      </c>
      <c r="O80" s="82">
        <f t="shared" si="29"/>
        <v>2027</v>
      </c>
      <c r="P80" s="82">
        <f t="shared" si="29"/>
        <v>2028</v>
      </c>
      <c r="Q80" s="82">
        <f t="shared" si="29"/>
        <v>2029</v>
      </c>
      <c r="R80" s="82">
        <f t="shared" si="29"/>
        <v>2030</v>
      </c>
      <c r="S80" s="82">
        <f t="shared" si="29"/>
        <v>2031</v>
      </c>
      <c r="T80" s="82">
        <f t="shared" si="29"/>
        <v>2032</v>
      </c>
      <c r="U80" s="82">
        <f t="shared" si="29"/>
        <v>2033</v>
      </c>
      <c r="V80" s="82">
        <f t="shared" si="29"/>
        <v>2034</v>
      </c>
      <c r="W80" s="82">
        <f t="shared" si="29"/>
        <v>2035</v>
      </c>
      <c r="X80" s="82">
        <f t="shared" si="29"/>
        <v>2036</v>
      </c>
      <c r="Y80" s="82">
        <f t="shared" si="29"/>
        <v>2037</v>
      </c>
      <c r="Z80" s="82">
        <f t="shared" si="29"/>
        <v>2038</v>
      </c>
      <c r="AA80" s="82">
        <f t="shared" si="29"/>
        <v>2039</v>
      </c>
      <c r="AB80" s="82">
        <f t="shared" si="29"/>
        <v>2040</v>
      </c>
      <c r="AC80" s="82">
        <f t="shared" si="29"/>
        <v>2041</v>
      </c>
      <c r="AD80" s="82">
        <f t="shared" si="29"/>
        <v>2042</v>
      </c>
      <c r="AE80" s="82">
        <f t="shared" si="29"/>
        <v>2043</v>
      </c>
      <c r="AF80" s="82">
        <f t="shared" si="29"/>
        <v>2044</v>
      </c>
      <c r="AG80" s="82">
        <f t="shared" si="29"/>
        <v>2045</v>
      </c>
      <c r="AH80" s="82">
        <f t="shared" si="29"/>
        <v>2046</v>
      </c>
      <c r="AI80" s="82">
        <f t="shared" si="29"/>
        <v>2047</v>
      </c>
      <c r="AJ80" s="82">
        <f t="shared" si="29"/>
        <v>2048</v>
      </c>
      <c r="AK80" s="82">
        <f t="shared" si="29"/>
        <v>2049</v>
      </c>
      <c r="AL80" s="82">
        <f t="shared" si="29"/>
        <v>2050</v>
      </c>
      <c r="AM80" s="82">
        <f t="shared" si="29"/>
        <v>2051</v>
      </c>
      <c r="AN80" s="82">
        <f t="shared" si="29"/>
        <v>2052</v>
      </c>
      <c r="AO80" s="82">
        <f t="shared" si="29"/>
        <v>2053</v>
      </c>
      <c r="AP80" s="82">
        <f t="shared" si="29"/>
        <v>2054</v>
      </c>
      <c r="AQ80" s="82">
        <f t="shared" si="29"/>
        <v>2055</v>
      </c>
      <c r="AR80" s="82">
        <f t="shared" si="29"/>
        <v>2056</v>
      </c>
    </row>
    <row r="81" spans="2:44" x14ac:dyDescent="0.2">
      <c r="B81" s="44" t="s">
        <v>10</v>
      </c>
      <c r="D81" s="177">
        <f>SUM(F81:AR81)</f>
        <v>3.3623861773837058</v>
      </c>
      <c r="E81" s="177"/>
      <c r="F81" s="177">
        <f>Safety!F$81/1000000</f>
        <v>0</v>
      </c>
      <c r="G81" s="177">
        <f>Safety!G$81/1000000</f>
        <v>0</v>
      </c>
      <c r="H81" s="177">
        <f>Safety!H$81/1000000</f>
        <v>0</v>
      </c>
      <c r="I81" s="177">
        <f>Safety!I$81/1000000</f>
        <v>0</v>
      </c>
      <c r="J81" s="177">
        <f>Safety!J$81/1000000</f>
        <v>0</v>
      </c>
      <c r="K81" s="177">
        <f>Safety!K$81/1000000</f>
        <v>0</v>
      </c>
      <c r="L81" s="177">
        <f>Safety!L$81/1000000</f>
        <v>0</v>
      </c>
      <c r="M81" s="177">
        <f>Safety!M$81/1000000</f>
        <v>0</v>
      </c>
      <c r="N81" s="177">
        <f>Safety!N$81/1000000</f>
        <v>0</v>
      </c>
      <c r="O81" s="177">
        <f>Safety!O$81/1000000</f>
        <v>0.19144439719308007</v>
      </c>
      <c r="P81" s="177">
        <f>Safety!P$81/1000000</f>
        <v>0.18877909132298318</v>
      </c>
      <c r="Q81" s="177">
        <f>Safety!Q$81/1000000</f>
        <v>0.18615089207750063</v>
      </c>
      <c r="R81" s="177">
        <f>Safety!R$81/1000000</f>
        <v>0.18355928285491496</v>
      </c>
      <c r="S81" s="177">
        <f>Safety!S$81/1000000</f>
        <v>0.18100375424568346</v>
      </c>
      <c r="T81" s="177">
        <f>Safety!T$81/1000000</f>
        <v>0.17848380393230839</v>
      </c>
      <c r="U81" s="177">
        <f>Safety!U$81/1000000</f>
        <v>0.17599893659060059</v>
      </c>
      <c r="V81" s="177">
        <f>Safety!V$81/1000000</f>
        <v>0.17354866379231826</v>
      </c>
      <c r="W81" s="177">
        <f>Safety!W$81/1000000</f>
        <v>0.17113250390916113</v>
      </c>
      <c r="X81" s="177">
        <f>Safety!X$81/1000000</f>
        <v>0.16874998201810021</v>
      </c>
      <c r="Y81" s="177">
        <f>Safety!Y$81/1000000</f>
        <v>0.16640062980802744</v>
      </c>
      <c r="Z81" s="177">
        <f>Safety!Z$81/1000000</f>
        <v>0.16408398548770367</v>
      </c>
      <c r="AA81" s="177">
        <f>Safety!AA$81/1000000</f>
        <v>0.16179959369498792</v>
      </c>
      <c r="AB81" s="177">
        <f>Safety!AB$81/1000000</f>
        <v>0.15954700540733166</v>
      </c>
      <c r="AC81" s="177">
        <f>Safety!AC$81/1000000</f>
        <v>0.15732577785351787</v>
      </c>
      <c r="AD81" s="177">
        <f>Safety!AD$81/1000000</f>
        <v>0.1551354744266297</v>
      </c>
      <c r="AE81" s="177">
        <f>Safety!AE$81/1000000</f>
        <v>0.15297566459823045</v>
      </c>
      <c r="AF81" s="177">
        <f>Safety!AF$81/1000000</f>
        <v>0.15084592383373874</v>
      </c>
      <c r="AG81" s="177">
        <f>Safety!AG$81/1000000</f>
        <v>0.14874583350898105</v>
      </c>
      <c r="AH81" s="177">
        <f>Safety!AH$81/1000000</f>
        <v>0.14667498082790667</v>
      </c>
      <c r="AI81" s="177">
        <f>Safety!AI$81/1000000</f>
        <v>0</v>
      </c>
      <c r="AJ81" s="177">
        <f>Safety!AJ$81/1000000</f>
        <v>0</v>
      </c>
      <c r="AK81" s="177">
        <f>Safety!AK$81/1000000</f>
        <v>0</v>
      </c>
      <c r="AL81" s="177">
        <f>Safety!AL$81/1000000</f>
        <v>0</v>
      </c>
      <c r="AM81" s="177">
        <f>Safety!AM$81/1000000</f>
        <v>0</v>
      </c>
      <c r="AN81" s="177">
        <f>Safety!AN$81/1000000</f>
        <v>0</v>
      </c>
      <c r="AO81" s="177">
        <f>Safety!AO$81/1000000</f>
        <v>0</v>
      </c>
      <c r="AP81" s="177">
        <f>Safety!AP$81/1000000</f>
        <v>0</v>
      </c>
      <c r="AQ81" s="177">
        <f>Safety!AQ$81/1000000</f>
        <v>0</v>
      </c>
      <c r="AR81" s="177">
        <f>Safety!AR$81/1000000</f>
        <v>0</v>
      </c>
    </row>
    <row r="82" spans="2:44" x14ac:dyDescent="0.2">
      <c r="B82" s="40" t="s">
        <v>11</v>
      </c>
      <c r="D82" s="177">
        <f>SUM(F82:AR82)</f>
        <v>27.875542573536094</v>
      </c>
      <c r="E82" s="177"/>
      <c r="F82" s="177">
        <f>'Time Savings'!F$107/1000000</f>
        <v>0</v>
      </c>
      <c r="G82" s="177">
        <f>'Time Savings'!G$107/1000000</f>
        <v>0</v>
      </c>
      <c r="H82" s="177">
        <f>'Time Savings'!H$107/1000000</f>
        <v>0</v>
      </c>
      <c r="I82" s="177">
        <f>'Time Savings'!I$107/1000000</f>
        <v>0</v>
      </c>
      <c r="J82" s="177">
        <f>'Time Savings'!J$107/1000000</f>
        <v>0</v>
      </c>
      <c r="K82" s="177">
        <f>'Time Savings'!K$107/1000000</f>
        <v>0</v>
      </c>
      <c r="L82" s="177">
        <f>'Time Savings'!L$107/1000000</f>
        <v>0</v>
      </c>
      <c r="M82" s="177">
        <f>'Time Savings'!M$107/1000000</f>
        <v>0</v>
      </c>
      <c r="N82" s="177">
        <f>'Time Savings'!N$107/1000000</f>
        <v>0</v>
      </c>
      <c r="O82" s="177">
        <f>'Time Savings'!O$107/1000000</f>
        <v>0.91452608064465202</v>
      </c>
      <c r="P82" s="177">
        <f>'Time Savings'!P$107/1000000</f>
        <v>0.99207877396024624</v>
      </c>
      <c r="Q82" s="177">
        <f>'Time Savings'!Q$107/1000000</f>
        <v>1.0641409715515202</v>
      </c>
      <c r="R82" s="177">
        <f>'Time Savings'!R$107/1000000</f>
        <v>1.1309727350100229</v>
      </c>
      <c r="S82" s="177">
        <f>'Time Savings'!S$107/1000000</f>
        <v>1.1928234507560931</v>
      </c>
      <c r="T82" s="177">
        <f>'Time Savings'!T$107/1000000</f>
        <v>1.2499322368826715</v>
      </c>
      <c r="U82" s="177">
        <f>'Time Savings'!U$107/1000000</f>
        <v>1.3025283351844283</v>
      </c>
      <c r="V82" s="177">
        <f>'Time Savings'!V$107/1000000</f>
        <v>1.3508314888952828</v>
      </c>
      <c r="W82" s="177">
        <f>'Time Savings'!W$107/1000000</f>
        <v>1.395052306639327</v>
      </c>
      <c r="X82" s="177">
        <f>'Time Savings'!X$107/1000000</f>
        <v>1.435392613082709</v>
      </c>
      <c r="Y82" s="177">
        <f>'Time Savings'!Y$107/1000000</f>
        <v>1.4720457867571994</v>
      </c>
      <c r="Z82" s="177">
        <f>'Time Savings'!Z$107/1000000</f>
        <v>1.5051970855098495</v>
      </c>
      <c r="AA82" s="177">
        <f>'Time Savings'!AA$107/1000000</f>
        <v>1.5350239600174518</v>
      </c>
      <c r="AB82" s="177">
        <f>'Time Savings'!AB$107/1000000</f>
        <v>1.5616963557892867</v>
      </c>
      <c r="AC82" s="177">
        <f>'Time Savings'!AC$107/1000000</f>
        <v>1.5853770040669966</v>
      </c>
      <c r="AD82" s="177">
        <f>'Time Savings'!AD$107/1000000</f>
        <v>1.6062217020162155</v>
      </c>
      <c r="AE82" s="177">
        <f>'Time Savings'!AE$107/1000000</f>
        <v>1.6243795825909331</v>
      </c>
      <c r="AF82" s="177">
        <f>'Time Savings'!AF$107/1000000</f>
        <v>1.6399933744382784</v>
      </c>
      <c r="AG82" s="177">
        <f>'Time Savings'!AG$107/1000000</f>
        <v>1.6531996521987162</v>
      </c>
      <c r="AH82" s="177">
        <f>'Time Savings'!AH$107/1000000</f>
        <v>1.6641290775442119</v>
      </c>
      <c r="AI82" s="177">
        <f>'Time Savings'!AI$107/1000000</f>
        <v>0</v>
      </c>
      <c r="AJ82" s="177">
        <f>'Time Savings'!AJ$107/1000000</f>
        <v>0</v>
      </c>
      <c r="AK82" s="177">
        <f>'Time Savings'!AK$107/1000000</f>
        <v>0</v>
      </c>
      <c r="AL82" s="177">
        <f>'Time Savings'!AL$107/1000000</f>
        <v>0</v>
      </c>
      <c r="AM82" s="177">
        <f>'Time Savings'!AM$107/1000000</f>
        <v>0</v>
      </c>
      <c r="AN82" s="177">
        <f>'Time Savings'!AN$107/1000000</f>
        <v>0</v>
      </c>
      <c r="AO82" s="177">
        <f>'Time Savings'!AO$107/1000000</f>
        <v>0</v>
      </c>
      <c r="AP82" s="177">
        <f>'Time Savings'!AP$107/1000000</f>
        <v>0</v>
      </c>
      <c r="AQ82" s="177">
        <f>'Time Savings'!AQ$107/1000000</f>
        <v>0</v>
      </c>
      <c r="AR82" s="177">
        <f>'Time Savings'!AR$107/1000000</f>
        <v>0</v>
      </c>
    </row>
    <row r="83" spans="2:44" x14ac:dyDescent="0.2">
      <c r="B83" s="40" t="s">
        <v>12</v>
      </c>
      <c r="D83" s="177">
        <f t="shared" ref="D83:D90" si="30">SUM(F83:AR83)</f>
        <v>8.9241305218828622</v>
      </c>
      <c r="E83" s="177"/>
      <c r="F83" s="177">
        <f>'Veh Op Costs'!F$78/1000000</f>
        <v>0</v>
      </c>
      <c r="G83" s="177">
        <f>'Veh Op Costs'!G$78/1000000</f>
        <v>0</v>
      </c>
      <c r="H83" s="177">
        <f>'Veh Op Costs'!H$78/1000000</f>
        <v>0</v>
      </c>
      <c r="I83" s="177">
        <f>'Veh Op Costs'!I$78/1000000</f>
        <v>0</v>
      </c>
      <c r="J83" s="177">
        <f>'Veh Op Costs'!J$78/1000000</f>
        <v>0</v>
      </c>
      <c r="K83" s="177">
        <f>'Veh Op Costs'!K$78/1000000</f>
        <v>0</v>
      </c>
      <c r="L83" s="177">
        <f>'Veh Op Costs'!L$78/1000000</f>
        <v>0</v>
      </c>
      <c r="M83" s="177">
        <f>'Veh Op Costs'!M$78/1000000</f>
        <v>0</v>
      </c>
      <c r="N83" s="177">
        <f>'Veh Op Costs'!N$78/1000000</f>
        <v>0</v>
      </c>
      <c r="O83" s="177">
        <f>'Veh Op Costs'!O$78/1000000</f>
        <v>0.4025498563980503</v>
      </c>
      <c r="P83" s="177">
        <f>'Veh Op Costs'!P$78/1000000</f>
        <v>0.40965441099524563</v>
      </c>
      <c r="Q83" s="177">
        <f>'Veh Op Costs'!Q$78/1000000</f>
        <v>0.41693804382742722</v>
      </c>
      <c r="R83" s="177">
        <f>'Veh Op Costs'!R$78/1000000</f>
        <v>0.42413580888829228</v>
      </c>
      <c r="S83" s="177">
        <f>'Veh Op Costs'!S$78/1000000</f>
        <v>0.428688431880902</v>
      </c>
      <c r="T83" s="177">
        <f>'Veh Op Costs'!T$78/1000000</f>
        <v>0.43531336815919569</v>
      </c>
      <c r="U83" s="177">
        <f>'Veh Op Costs'!U$78/1000000</f>
        <v>0.44013523972051105</v>
      </c>
      <c r="V83" s="177">
        <f>'Veh Op Costs'!V$78/1000000</f>
        <v>0.44473850865011344</v>
      </c>
      <c r="W83" s="177">
        <f>'Veh Op Costs'!W$78/1000000</f>
        <v>0.44833910373763403</v>
      </c>
      <c r="X83" s="177">
        <f>'Veh Op Costs'!X$78/1000000</f>
        <v>0.45501652166907375</v>
      </c>
      <c r="Y83" s="177">
        <f>'Veh Op Costs'!Y$78/1000000</f>
        <v>0.4572197688104358</v>
      </c>
      <c r="Z83" s="177">
        <f>'Veh Op Costs'!Z$78/1000000</f>
        <v>0.45960846967813057</v>
      </c>
      <c r="AA83" s="177">
        <f>'Veh Op Costs'!AA$78/1000000</f>
        <v>0.46207912665889628</v>
      </c>
      <c r="AB83" s="177">
        <f>'Veh Op Costs'!AB$78/1000000</f>
        <v>0.46275771061215876</v>
      </c>
      <c r="AC83" s="177">
        <f>'Veh Op Costs'!AC$78/1000000</f>
        <v>0.4625098197370085</v>
      </c>
      <c r="AD83" s="177">
        <f>'Veh Op Costs'!AD$78/1000000</f>
        <v>0.46290904519065035</v>
      </c>
      <c r="AE83" s="177">
        <f>'Veh Op Costs'!AE$78/1000000</f>
        <v>0.46004974215948813</v>
      </c>
      <c r="AF83" s="177">
        <f>'Veh Op Costs'!AF$78/1000000</f>
        <v>0.4614151287379431</v>
      </c>
      <c r="AG83" s="177">
        <f>'Veh Op Costs'!AG$78/1000000</f>
        <v>0.45979526467237231</v>
      </c>
      <c r="AH83" s="177">
        <f>'Veh Op Costs'!AH$78/1000000</f>
        <v>0.47027715169933321</v>
      </c>
      <c r="AI83" s="177">
        <f>'Veh Op Costs'!AI$78/1000000</f>
        <v>0</v>
      </c>
      <c r="AJ83" s="177">
        <f>'Veh Op Costs'!AJ$78/1000000</f>
        <v>0</v>
      </c>
      <c r="AK83" s="177">
        <f>'Veh Op Costs'!AK$78/1000000</f>
        <v>0</v>
      </c>
      <c r="AL83" s="177">
        <f>'Veh Op Costs'!AL$78/1000000</f>
        <v>0</v>
      </c>
      <c r="AM83" s="177">
        <f>'Veh Op Costs'!AM$78/1000000</f>
        <v>0</v>
      </c>
      <c r="AN83" s="177">
        <f>'Veh Op Costs'!AN$78/1000000</f>
        <v>0</v>
      </c>
      <c r="AO83" s="177">
        <f>'Veh Op Costs'!AO$78/1000000</f>
        <v>0</v>
      </c>
      <c r="AP83" s="177">
        <f>'Veh Op Costs'!AP$78/1000000</f>
        <v>0</v>
      </c>
      <c r="AQ83" s="177">
        <f>'Veh Op Costs'!AQ$78/1000000</f>
        <v>0</v>
      </c>
      <c r="AR83" s="177">
        <f>'Veh Op Costs'!AR$78/1000000</f>
        <v>0</v>
      </c>
    </row>
    <row r="84" spans="2:44" x14ac:dyDescent="0.2">
      <c r="B84" s="40" t="s">
        <v>31</v>
      </c>
      <c r="D84" s="177">
        <f t="shared" si="30"/>
        <v>0.22995002900390132</v>
      </c>
      <c r="E84" s="177"/>
      <c r="F84" s="177">
        <f>Emissions!F$100/1000000</f>
        <v>0</v>
      </c>
      <c r="G84" s="177">
        <f>Emissions!G$100/1000000</f>
        <v>0</v>
      </c>
      <c r="H84" s="177">
        <f>Emissions!H$100/1000000</f>
        <v>0</v>
      </c>
      <c r="I84" s="177">
        <f>Emissions!I$100/1000000</f>
        <v>0</v>
      </c>
      <c r="J84" s="177">
        <f>Emissions!J$100/1000000</f>
        <v>0</v>
      </c>
      <c r="K84" s="177">
        <f>Emissions!K$100/1000000</f>
        <v>0</v>
      </c>
      <c r="L84" s="177">
        <f>Emissions!L$100/1000000</f>
        <v>0</v>
      </c>
      <c r="M84" s="177">
        <f>Emissions!M$100/1000000</f>
        <v>0</v>
      </c>
      <c r="N84" s="177">
        <f>Emissions!N$100/1000000</f>
        <v>0</v>
      </c>
      <c r="O84" s="177">
        <f>Emissions!O$100/1000000</f>
        <v>7.6843077121651285E-3</v>
      </c>
      <c r="P84" s="177">
        <f>Emissions!P$100/1000000</f>
        <v>8.3295355141039425E-3</v>
      </c>
      <c r="Q84" s="177">
        <f>Emissions!Q$100/1000000</f>
        <v>8.9878625250612212E-3</v>
      </c>
      <c r="R84" s="177">
        <f>Emissions!R$100/1000000</f>
        <v>9.5884751005887187E-3</v>
      </c>
      <c r="S84" s="177">
        <f>Emissions!S$100/1000000</f>
        <v>1.003791819219902E-2</v>
      </c>
      <c r="T84" s="177">
        <f>Emissions!T$100/1000000</f>
        <v>1.0451568691320461E-2</v>
      </c>
      <c r="U84" s="177">
        <f>Emissions!U$100/1000000</f>
        <v>1.083660651182938E-2</v>
      </c>
      <c r="V84" s="177">
        <f>Emissions!V$100/1000000</f>
        <v>1.1191785421274686E-2</v>
      </c>
      <c r="W84" s="177">
        <f>Emissions!W$100/1000000</f>
        <v>1.1515279828561981E-2</v>
      </c>
      <c r="X84" s="177">
        <f>Emissions!X$100/1000000</f>
        <v>1.1814860102951128E-2</v>
      </c>
      <c r="Y84" s="177">
        <f>Emissions!Y$100/1000000</f>
        <v>1.2088704231823807E-2</v>
      </c>
      <c r="Z84" s="177">
        <f>Emissions!Z$100/1000000</f>
        <v>1.2334489876432517E-2</v>
      </c>
      <c r="AA84" s="177">
        <f>Emissions!AA$100/1000000</f>
        <v>1.2560490280941394E-2</v>
      </c>
      <c r="AB84" s="177">
        <f>Emissions!AB$100/1000000</f>
        <v>1.2764382484854108E-2</v>
      </c>
      <c r="AC84" s="177">
        <f>Emissions!AC$100/1000000</f>
        <v>1.2947273902060911E-2</v>
      </c>
      <c r="AD84" s="177">
        <f>Emissions!AD$100/1000000</f>
        <v>1.3110225166496259E-2</v>
      </c>
      <c r="AE84" s="177">
        <f>Emissions!AE$100/1000000</f>
        <v>1.3254251954861159E-2</v>
      </c>
      <c r="AF84" s="177">
        <f>Emissions!AF$100/1000000</f>
        <v>1.3380326741726829E-2</v>
      </c>
      <c r="AG84" s="177">
        <f>Emissions!AG$100/1000000</f>
        <v>1.348938048944482E-2</v>
      </c>
      <c r="AH84" s="177">
        <f>Emissions!AH$100/1000000</f>
        <v>1.3582304275203853E-2</v>
      </c>
      <c r="AI84" s="177">
        <f>Emissions!AI$100/1000000</f>
        <v>0</v>
      </c>
      <c r="AJ84" s="177">
        <f>Emissions!AJ$100/1000000</f>
        <v>0</v>
      </c>
      <c r="AK84" s="177">
        <f>Emissions!AK$100/1000000</f>
        <v>0</v>
      </c>
      <c r="AL84" s="177">
        <f>Emissions!AL$100/1000000</f>
        <v>0</v>
      </c>
      <c r="AM84" s="177">
        <f>Emissions!AM$100/1000000</f>
        <v>0</v>
      </c>
      <c r="AN84" s="177">
        <f>Emissions!AN$100/1000000</f>
        <v>0</v>
      </c>
      <c r="AO84" s="177">
        <f>Emissions!AO$100/1000000</f>
        <v>0</v>
      </c>
      <c r="AP84" s="177">
        <f>Emissions!AP$100/1000000</f>
        <v>0</v>
      </c>
      <c r="AQ84" s="177">
        <f>Emissions!AQ$100/1000000</f>
        <v>0</v>
      </c>
      <c r="AR84" s="177">
        <f>Emissions!AR$100/1000000</f>
        <v>0</v>
      </c>
    </row>
    <row r="85" spans="2:44" x14ac:dyDescent="0.2">
      <c r="B85" s="40" t="s">
        <v>32</v>
      </c>
      <c r="D85" s="177">
        <f t="shared" si="30"/>
        <v>3.2334813661098827</v>
      </c>
      <c r="E85" s="177"/>
      <c r="F85" s="177">
        <f>Pedestrian!F$60/1000000</f>
        <v>0</v>
      </c>
      <c r="G85" s="177">
        <f>Pedestrian!G$60/1000000</f>
        <v>0</v>
      </c>
      <c r="H85" s="177">
        <f>Pedestrian!H$60/1000000</f>
        <v>0</v>
      </c>
      <c r="I85" s="177">
        <f>Pedestrian!I$60/1000000</f>
        <v>0</v>
      </c>
      <c r="J85" s="177">
        <f>Pedestrian!J$60/1000000</f>
        <v>0</v>
      </c>
      <c r="K85" s="177">
        <f>Pedestrian!K$60/1000000</f>
        <v>0</v>
      </c>
      <c r="L85" s="177">
        <f>Pedestrian!L$60/1000000</f>
        <v>0</v>
      </c>
      <c r="M85" s="177">
        <f>Pedestrian!M$60/1000000</f>
        <v>0</v>
      </c>
      <c r="N85" s="177">
        <f>Pedestrian!N$60/1000000</f>
        <v>0</v>
      </c>
      <c r="O85" s="177">
        <f>Pedestrian!O$60/1000000</f>
        <v>0.14387150727801137</v>
      </c>
      <c r="P85" s="177">
        <f>Pedestrian!P$60/1000000</f>
        <v>0.16713804493471135</v>
      </c>
      <c r="Q85" s="177">
        <f>Pedestrian!Q$60/1000000</f>
        <v>0.18973964259172155</v>
      </c>
      <c r="R85" s="177">
        <f>Pedestrian!R$60/1000000</f>
        <v>0.18615805304742969</v>
      </c>
      <c r="S85" s="177">
        <f>Pedestrian!S$60/1000000</f>
        <v>0.18264966826923767</v>
      </c>
      <c r="T85" s="177">
        <f>Pedestrian!T$60/1000000</f>
        <v>0.17921288949998929</v>
      </c>
      <c r="U85" s="177">
        <f>Pedestrian!U$60/1000000</f>
        <v>0.17584615463245531</v>
      </c>
      <c r="V85" s="177">
        <f>Pedestrian!V$60/1000000</f>
        <v>0.17254793734172505</v>
      </c>
      <c r="W85" s="177">
        <f>Pedestrian!W$60/1000000</f>
        <v>0.16931674623855078</v>
      </c>
      <c r="X85" s="177">
        <f>Pedestrian!X$60/1000000</f>
        <v>0.16615112404313279</v>
      </c>
      <c r="Y85" s="177">
        <f>Pedestrian!Y$60/1000000</f>
        <v>0.16304964677884523</v>
      </c>
      <c r="Z85" s="177">
        <f>Pedestrian!Z$60/1000000</f>
        <v>0.16001092298541647</v>
      </c>
      <c r="AA85" s="177">
        <f>Pedestrian!AA$60/1000000</f>
        <v>0.15703359295108762</v>
      </c>
      <c r="AB85" s="177">
        <f>Pedestrian!AB$60/1000000</f>
        <v>0.15411632796328711</v>
      </c>
      <c r="AC85" s="177">
        <f>Pedestrian!AC$60/1000000</f>
        <v>0.1512578295773678</v>
      </c>
      <c r="AD85" s="177">
        <f>Pedestrian!AD$60/1000000</f>
        <v>0.14845682890296685</v>
      </c>
      <c r="AE85" s="177">
        <f>Pedestrian!AE$60/1000000</f>
        <v>0.14571208590755769</v>
      </c>
      <c r="AF85" s="177">
        <f>Pedestrian!AF$60/1000000</f>
        <v>0.14302238873677423</v>
      </c>
      <c r="AG85" s="177">
        <f>Pedestrian!AG$60/1000000</f>
        <v>0.14038655305109923</v>
      </c>
      <c r="AH85" s="177">
        <f>Pedestrian!AH$60/1000000</f>
        <v>0.13780342137851581</v>
      </c>
      <c r="AI85" s="177">
        <f>Pedestrian!AI$60/1000000</f>
        <v>0</v>
      </c>
      <c r="AJ85" s="177">
        <f>Pedestrian!AJ$60/1000000</f>
        <v>0</v>
      </c>
      <c r="AK85" s="177">
        <f>Pedestrian!AK$60/1000000</f>
        <v>0</v>
      </c>
      <c r="AL85" s="177">
        <f>Pedestrian!AL$60/1000000</f>
        <v>0</v>
      </c>
      <c r="AM85" s="177">
        <f>Pedestrian!AM$60/1000000</f>
        <v>0</v>
      </c>
      <c r="AN85" s="177">
        <f>Pedestrian!AN$60/1000000</f>
        <v>0</v>
      </c>
      <c r="AO85" s="177">
        <f>Pedestrian!AO$60/1000000</f>
        <v>0</v>
      </c>
      <c r="AP85" s="177">
        <f>Pedestrian!AP$60/1000000</f>
        <v>0</v>
      </c>
      <c r="AQ85" s="177">
        <f>Pedestrian!AQ$60/1000000</f>
        <v>0</v>
      </c>
      <c r="AR85" s="177">
        <f>Pedestrian!AR$60/1000000</f>
        <v>0</v>
      </c>
    </row>
    <row r="86" spans="2:44" x14ac:dyDescent="0.2">
      <c r="B86" s="40" t="s">
        <v>1010</v>
      </c>
      <c r="D86" s="177">
        <f t="shared" si="30"/>
        <v>1.7579420596630255</v>
      </c>
      <c r="E86" s="177"/>
      <c r="F86" s="177">
        <f>'Induced Peds'!F$43/1000000</f>
        <v>0</v>
      </c>
      <c r="G86" s="177">
        <f>'Induced Peds'!G$43/1000000</f>
        <v>0</v>
      </c>
      <c r="H86" s="177">
        <f>'Induced Peds'!H$43/1000000</f>
        <v>0</v>
      </c>
      <c r="I86" s="177">
        <f>'Induced Peds'!I$43/1000000</f>
        <v>0</v>
      </c>
      <c r="J86" s="177">
        <f>'Induced Peds'!J$43/1000000</f>
        <v>0</v>
      </c>
      <c r="K86" s="177">
        <f>'Induced Peds'!K$43/1000000</f>
        <v>0</v>
      </c>
      <c r="L86" s="177">
        <f>'Induced Peds'!L$43/1000000</f>
        <v>0</v>
      </c>
      <c r="M86" s="177">
        <f>'Induced Peds'!M$43/1000000</f>
        <v>0</v>
      </c>
      <c r="N86" s="177">
        <f>'Induced Peds'!N$43/1000000</f>
        <v>0</v>
      </c>
      <c r="O86" s="177">
        <f>'Induced Peds'!O$43/1000000</f>
        <v>5.2267646680684732E-2</v>
      </c>
      <c r="P86" s="177">
        <f>'Induced Peds'!P$43/1000000</f>
        <v>7.7309957804764531E-2</v>
      </c>
      <c r="Q86" s="177">
        <f>'Induced Peds'!Q$43/1000000</f>
        <v>0.10164485562445873</v>
      </c>
      <c r="R86" s="177">
        <f>'Induced Peds'!R$43/1000000</f>
        <v>0.10022974693319837</v>
      </c>
      <c r="S86" s="177">
        <f>'Induced Peds'!S$43/1000000</f>
        <v>9.8834339510593255E-2</v>
      </c>
      <c r="T86" s="177">
        <f>'Induced Peds'!T$43/1000000</f>
        <v>9.7458359073834572E-2</v>
      </c>
      <c r="U86" s="177">
        <f>'Induced Peds'!U$43/1000000</f>
        <v>9.6101535158703039E-2</v>
      </c>
      <c r="V86" s="177">
        <f>'Induced Peds'!V$43/1000000</f>
        <v>9.4763601066406342E-2</v>
      </c>
      <c r="W86" s="177">
        <f>'Induced Peds'!W$43/1000000</f>
        <v>9.3444293811156195E-2</v>
      </c>
      <c r="X86" s="177">
        <f>'Induced Peds'!X$43/1000000</f>
        <v>9.2143354068475986E-2</v>
      </c>
      <c r="Y86" s="177">
        <f>'Induced Peds'!Y$43/1000000</f>
        <v>9.086052612422725E-2</v>
      </c>
      <c r="Z86" s="177">
        <f>'Induced Peds'!Z$43/1000000</f>
        <v>8.9595557824346639E-2</v>
      </c>
      <c r="AA86" s="177">
        <f>'Induced Peds'!AA$43/1000000</f>
        <v>8.8348200525281875E-2</v>
      </c>
      <c r="AB86" s="177">
        <f>'Induced Peds'!AB$43/1000000</f>
        <v>8.7118209045118328E-2</v>
      </c>
      <c r="AC86" s="177">
        <f>'Induced Peds'!AC$43/1000000</f>
        <v>8.5905341615385697E-2</v>
      </c>
      <c r="AD86" s="177">
        <f>'Induced Peds'!AD$43/1000000</f>
        <v>8.4709359833535725E-2</v>
      </c>
      <c r="AE86" s="177">
        <f>'Induced Peds'!AE$43/1000000</f>
        <v>8.3530028616081664E-2</v>
      </c>
      <c r="AF86" s="177">
        <f>'Induced Peds'!AF$43/1000000</f>
        <v>8.2367116152389785E-2</v>
      </c>
      <c r="AG86" s="177">
        <f>'Induced Peds'!AG$43/1000000</f>
        <v>8.1220393859114684E-2</v>
      </c>
      <c r="AH86" s="177">
        <f>'Induced Peds'!AH$43/1000000</f>
        <v>8.0089636335268444E-2</v>
      </c>
      <c r="AI86" s="177">
        <f>'Induced Peds'!AI$43/1000000</f>
        <v>0</v>
      </c>
      <c r="AJ86" s="177">
        <f>'Induced Peds'!AJ$43/1000000</f>
        <v>0</v>
      </c>
      <c r="AK86" s="177">
        <f>'Induced Peds'!AK$43/1000000</f>
        <v>0</v>
      </c>
      <c r="AL86" s="177">
        <f>'Induced Peds'!AL$43/1000000</f>
        <v>0</v>
      </c>
      <c r="AM86" s="177">
        <f>'Induced Peds'!AM$43/1000000</f>
        <v>0</v>
      </c>
      <c r="AN86" s="177">
        <f>'Induced Peds'!AN$43/1000000</f>
        <v>0</v>
      </c>
      <c r="AO86" s="177">
        <f>'Induced Peds'!AO$43/1000000</f>
        <v>0</v>
      </c>
      <c r="AP86" s="177">
        <f>'Induced Peds'!AP$43/1000000</f>
        <v>0</v>
      </c>
      <c r="AQ86" s="177">
        <f>'Induced Peds'!AQ$43/1000000</f>
        <v>0</v>
      </c>
      <c r="AR86" s="177">
        <f>'Induced Peds'!AR$43/1000000</f>
        <v>0</v>
      </c>
    </row>
    <row r="87" spans="2:44" x14ac:dyDescent="0.2">
      <c r="B87" s="83" t="s">
        <v>15</v>
      </c>
      <c r="D87" s="177">
        <f t="shared" si="30"/>
        <v>2.144090495961375E-2</v>
      </c>
      <c r="E87" s="177"/>
      <c r="F87" s="177">
        <f>'Bridge Hits'!F$47/1000000</f>
        <v>0</v>
      </c>
      <c r="G87" s="177">
        <f>'Bridge Hits'!G$47/1000000</f>
        <v>0</v>
      </c>
      <c r="H87" s="177">
        <f>'Bridge Hits'!H$47/1000000</f>
        <v>0</v>
      </c>
      <c r="I87" s="177">
        <f>'Bridge Hits'!I$47/1000000</f>
        <v>0</v>
      </c>
      <c r="J87" s="177">
        <f>'Bridge Hits'!J$47/1000000</f>
        <v>0</v>
      </c>
      <c r="K87" s="177">
        <f>'Bridge Hits'!K$47/1000000</f>
        <v>0</v>
      </c>
      <c r="L87" s="177">
        <f>'Bridge Hits'!L$47/1000000</f>
        <v>0</v>
      </c>
      <c r="M87" s="177">
        <f>'Bridge Hits'!M$47/1000000</f>
        <v>0</v>
      </c>
      <c r="N87" s="177">
        <f>'Bridge Hits'!N$47/1000000</f>
        <v>0</v>
      </c>
      <c r="O87" s="177">
        <f>'Bridge Hits'!O$47/1000000</f>
        <v>1.41078834330182E-3</v>
      </c>
      <c r="P87" s="177">
        <f>'Bridge Hits'!P$47/1000000</f>
        <v>1.3683689071792634E-3</v>
      </c>
      <c r="Q87" s="177">
        <f>'Bridge Hits'!Q$47/1000000</f>
        <v>1.32722493421849E-3</v>
      </c>
      <c r="R87" s="177">
        <f>'Bridge Hits'!R$47/1000000</f>
        <v>1.2873180739267607E-3</v>
      </c>
      <c r="S87" s="177">
        <f>'Bridge Hits'!S$47/1000000</f>
        <v>1.2486111289299327E-3</v>
      </c>
      <c r="T87" s="177">
        <f>'Bridge Hits'!T$47/1000000</f>
        <v>1.2110680203006139E-3</v>
      </c>
      <c r="U87" s="177">
        <f>'Bridge Hits'!U$47/1000000</f>
        <v>1.1746537539288203E-3</v>
      </c>
      <c r="V87" s="177">
        <f>'Bridge Hits'!V$47/1000000</f>
        <v>1.1393343879038025E-3</v>
      </c>
      <c r="W87" s="177">
        <f>'Bridge Hits'!W$47/1000000</f>
        <v>1.1050770008766274E-3</v>
      </c>
      <c r="X87" s="177">
        <f>'Bridge Hits'!X$47/1000000</f>
        <v>1.0718496613740323E-3</v>
      </c>
      <c r="Y87" s="177">
        <f>'Bridge Hits'!Y$47/1000000</f>
        <v>1.0396213980349489E-3</v>
      </c>
      <c r="Z87" s="177">
        <f>'Bridge Hits'!Z$47/1000000</f>
        <v>1.0083621707419484E-3</v>
      </c>
      <c r="AA87" s="177">
        <f>'Bridge Hits'!AA$47/1000000</f>
        <v>9.7804284262070665E-4</v>
      </c>
      <c r="AB87" s="177">
        <f>'Bridge Hits'!AB$47/1000000</f>
        <v>9.4863515288138385E-4</v>
      </c>
      <c r="AC87" s="177">
        <f>'Bridge Hits'!AC$47/1000000</f>
        <v>9.2011169047660909E-4</v>
      </c>
      <c r="AD87" s="177">
        <f>'Bridge Hits'!AD$47/1000000</f>
        <v>8.9244586855151214E-4</v>
      </c>
      <c r="AE87" s="177">
        <f>'Bridge Hits'!AE$47/1000000</f>
        <v>8.6561189966199059E-4</v>
      </c>
      <c r="AF87" s="177">
        <f>'Bridge Hits'!AF$47/1000000</f>
        <v>8.3958477173810906E-4</v>
      </c>
      <c r="AG87" s="177">
        <f>'Bridge Hits'!AG$47/1000000</f>
        <v>8.1434022477023214E-4</v>
      </c>
      <c r="AH87" s="177">
        <f>'Bridge Hits'!AH$47/1000000</f>
        <v>7.8985472819615148E-4</v>
      </c>
      <c r="AI87" s="177">
        <f>'Bridge Hits'!AI$47/1000000</f>
        <v>0</v>
      </c>
      <c r="AJ87" s="177">
        <f>'Bridge Hits'!AJ$47/1000000</f>
        <v>0</v>
      </c>
      <c r="AK87" s="177">
        <f>'Bridge Hits'!AK$47/1000000</f>
        <v>0</v>
      </c>
      <c r="AL87" s="177">
        <f>'Bridge Hits'!AL$47/1000000</f>
        <v>0</v>
      </c>
      <c r="AM87" s="177">
        <f>'Bridge Hits'!AM$47/1000000</f>
        <v>0</v>
      </c>
      <c r="AN87" s="177">
        <f>'Bridge Hits'!AN$47/1000000</f>
        <v>0</v>
      </c>
      <c r="AO87" s="177">
        <f>'Bridge Hits'!AO$47/1000000</f>
        <v>0</v>
      </c>
      <c r="AP87" s="177">
        <f>'Bridge Hits'!AP$47/1000000</f>
        <v>0</v>
      </c>
      <c r="AQ87" s="177">
        <f>'Bridge Hits'!AQ$47/1000000</f>
        <v>0</v>
      </c>
      <c r="AR87" s="177">
        <f>'Bridge Hits'!AR$47/1000000</f>
        <v>0</v>
      </c>
    </row>
    <row r="88" spans="2:44" x14ac:dyDescent="0.2">
      <c r="B88" s="40" t="s">
        <v>824</v>
      </c>
      <c r="D88" s="177">
        <f>SUM(F88:AR88)</f>
        <v>2.2031627546660202</v>
      </c>
      <c r="E88" s="177"/>
      <c r="F88" s="177">
        <f>-'Project Costs'!F$73/1000000</f>
        <v>0</v>
      </c>
      <c r="G88" s="177">
        <f>-'Project Costs'!G$73/1000000</f>
        <v>0</v>
      </c>
      <c r="H88" s="177">
        <f>-'Project Costs'!H$73/1000000</f>
        <v>0</v>
      </c>
      <c r="I88" s="177">
        <f>-'Project Costs'!I$73/1000000</f>
        <v>0</v>
      </c>
      <c r="J88" s="177">
        <f>-'Project Costs'!J$73/1000000</f>
        <v>0</v>
      </c>
      <c r="K88" s="177">
        <f>-'Project Costs'!K$73/1000000</f>
        <v>0</v>
      </c>
      <c r="L88" s="177">
        <f>-'Project Costs'!L$73/1000000</f>
        <v>0</v>
      </c>
      <c r="M88" s="177">
        <f>-'Project Costs'!M$73/1000000</f>
        <v>0</v>
      </c>
      <c r="N88" s="177">
        <f>-'Project Costs'!N$73/1000000</f>
        <v>0</v>
      </c>
      <c r="O88" s="177">
        <f>-'Project Costs'!O$73/1000000</f>
        <v>-0.27202333436750414</v>
      </c>
      <c r="P88" s="177">
        <f>-'Project Costs'!P$73/1000000</f>
        <v>0</v>
      </c>
      <c r="Q88" s="177">
        <f>-'Project Costs'!Q$73/1000000</f>
        <v>0</v>
      </c>
      <c r="R88" s="177">
        <f>-'Project Costs'!R$73/1000000</f>
        <v>1.1432130069408488</v>
      </c>
      <c r="S88" s="177">
        <f>-'Project Costs'!S$73/1000000</f>
        <v>0</v>
      </c>
      <c r="T88" s="177">
        <f>-'Project Costs'!T$73/1000000</f>
        <v>0</v>
      </c>
      <c r="U88" s="177">
        <f>-'Project Costs'!U$73/1000000</f>
        <v>0</v>
      </c>
      <c r="V88" s="177">
        <f>-'Project Costs'!V$73/1000000</f>
        <v>0</v>
      </c>
      <c r="W88" s="177">
        <f>-'Project Costs'!W$73/1000000</f>
        <v>0.6087917985481166</v>
      </c>
      <c r="X88" s="177">
        <f>-'Project Costs'!X$73/1000000</f>
        <v>0</v>
      </c>
      <c r="Y88" s="177">
        <f>-'Project Costs'!Y$73/1000000</f>
        <v>0</v>
      </c>
      <c r="Z88" s="177">
        <f>-'Project Costs'!Z$73/1000000</f>
        <v>0</v>
      </c>
      <c r="AA88" s="177">
        <f>-'Project Costs'!AA$73/1000000</f>
        <v>0</v>
      </c>
      <c r="AB88" s="177">
        <f>-'Project Costs'!AB$73/1000000</f>
        <v>0</v>
      </c>
      <c r="AC88" s="177">
        <f>-'Project Costs'!AC$73/1000000</f>
        <v>0</v>
      </c>
      <c r="AD88" s="177">
        <f>-'Project Costs'!AD$73/1000000</f>
        <v>0</v>
      </c>
      <c r="AE88" s="177">
        <f>-'Project Costs'!AE$73/1000000</f>
        <v>0</v>
      </c>
      <c r="AF88" s="177">
        <f>-'Project Costs'!AF$73/1000000</f>
        <v>0</v>
      </c>
      <c r="AG88" s="177">
        <f>-'Project Costs'!AG$73/1000000</f>
        <v>0.72318128354455868</v>
      </c>
      <c r="AH88" s="177">
        <f>-'Project Costs'!AH$73/1000000</f>
        <v>0</v>
      </c>
      <c r="AI88" s="177">
        <f>-'Project Costs'!AI$73/1000000</f>
        <v>0</v>
      </c>
      <c r="AJ88" s="177">
        <f>-'Project Costs'!AJ$73/1000000</f>
        <v>0</v>
      </c>
      <c r="AK88" s="177">
        <f>-'Project Costs'!AK$73/1000000</f>
        <v>0</v>
      </c>
      <c r="AL88" s="177">
        <f>-'Project Costs'!AL$73/1000000</f>
        <v>0</v>
      </c>
      <c r="AM88" s="177">
        <f>-'Project Costs'!AM$73/1000000</f>
        <v>0</v>
      </c>
      <c r="AN88" s="177">
        <f>-'Project Costs'!AN$73/1000000</f>
        <v>0</v>
      </c>
      <c r="AO88" s="177">
        <f>-'Project Costs'!AO$73/1000000</f>
        <v>0</v>
      </c>
      <c r="AP88" s="177">
        <f>-'Project Costs'!AP$73/1000000</f>
        <v>0</v>
      </c>
      <c r="AQ88" s="177">
        <f>-'Project Costs'!AQ$73/1000000</f>
        <v>0</v>
      </c>
      <c r="AR88" s="177">
        <f>-'Project Costs'!AR$73/1000000</f>
        <v>0</v>
      </c>
    </row>
    <row r="89" spans="2:44" x14ac:dyDescent="0.2">
      <c r="B89" s="83" t="s">
        <v>16</v>
      </c>
      <c r="D89" s="177">
        <f t="shared" si="30"/>
        <v>1.6368831430861859</v>
      </c>
      <c r="E89" s="177"/>
      <c r="F89" s="177">
        <f>'Residual Value'!F$56/1000000</f>
        <v>0</v>
      </c>
      <c r="G89" s="177">
        <f>'Residual Value'!G$56/1000000</f>
        <v>0</v>
      </c>
      <c r="H89" s="177">
        <f>'Residual Value'!H$56/1000000</f>
        <v>0</v>
      </c>
      <c r="I89" s="177">
        <f>'Residual Value'!I$56/1000000</f>
        <v>0</v>
      </c>
      <c r="J89" s="177">
        <f>'Residual Value'!J$56/1000000</f>
        <v>0</v>
      </c>
      <c r="K89" s="177">
        <f>'Residual Value'!K$56/1000000</f>
        <v>0</v>
      </c>
      <c r="L89" s="177">
        <f>'Residual Value'!L$56/1000000</f>
        <v>0</v>
      </c>
      <c r="M89" s="177">
        <f>'Residual Value'!M$56/1000000</f>
        <v>0</v>
      </c>
      <c r="N89" s="177">
        <f>'Residual Value'!N$56/1000000</f>
        <v>0</v>
      </c>
      <c r="O89" s="177">
        <f>'Residual Value'!O$56/1000000</f>
        <v>0</v>
      </c>
      <c r="P89" s="177">
        <f>'Residual Value'!P$56/1000000</f>
        <v>0</v>
      </c>
      <c r="Q89" s="177">
        <f>'Residual Value'!Q$56/1000000</f>
        <v>0</v>
      </c>
      <c r="R89" s="177">
        <f>'Residual Value'!R$56/1000000</f>
        <v>0</v>
      </c>
      <c r="S89" s="177">
        <f>'Residual Value'!S$56/1000000</f>
        <v>0</v>
      </c>
      <c r="T89" s="177">
        <f>'Residual Value'!T$56/1000000</f>
        <v>0</v>
      </c>
      <c r="U89" s="177">
        <f>'Residual Value'!U$56/1000000</f>
        <v>0</v>
      </c>
      <c r="V89" s="177">
        <f>'Residual Value'!V$56/1000000</f>
        <v>0</v>
      </c>
      <c r="W89" s="177">
        <f>'Residual Value'!W$56/1000000</f>
        <v>0</v>
      </c>
      <c r="X89" s="177">
        <f>'Residual Value'!X$56/1000000</f>
        <v>0</v>
      </c>
      <c r="Y89" s="177">
        <f>'Residual Value'!Y$56/1000000</f>
        <v>0</v>
      </c>
      <c r="Z89" s="177">
        <f>'Residual Value'!Z$56/1000000</f>
        <v>0</v>
      </c>
      <c r="AA89" s="177">
        <f>'Residual Value'!AA$56/1000000</f>
        <v>0</v>
      </c>
      <c r="AB89" s="177">
        <f>'Residual Value'!AB$56/1000000</f>
        <v>0</v>
      </c>
      <c r="AC89" s="177">
        <f>'Residual Value'!AC$56/1000000</f>
        <v>0</v>
      </c>
      <c r="AD89" s="177">
        <f>'Residual Value'!AD$56/1000000</f>
        <v>0</v>
      </c>
      <c r="AE89" s="177">
        <f>'Residual Value'!AE$56/1000000</f>
        <v>0</v>
      </c>
      <c r="AF89" s="177">
        <f>'Residual Value'!AF$56/1000000</f>
        <v>0</v>
      </c>
      <c r="AG89" s="177">
        <f>'Residual Value'!AG$56/1000000</f>
        <v>0</v>
      </c>
      <c r="AH89" s="177">
        <f>'Residual Value'!AH$56/1000000</f>
        <v>1.6368831430861859</v>
      </c>
      <c r="AI89" s="177">
        <f>'Residual Value'!AI$56/1000000</f>
        <v>0</v>
      </c>
      <c r="AJ89" s="177">
        <f>'Residual Value'!AJ$56/1000000</f>
        <v>0</v>
      </c>
      <c r="AK89" s="177">
        <f>'Residual Value'!AK$56/1000000</f>
        <v>0</v>
      </c>
      <c r="AL89" s="177">
        <f>'Residual Value'!AL$56/1000000</f>
        <v>0</v>
      </c>
      <c r="AM89" s="177">
        <f>'Residual Value'!AM$56/1000000</f>
        <v>0</v>
      </c>
      <c r="AN89" s="177">
        <f>'Residual Value'!AN$56/1000000</f>
        <v>0</v>
      </c>
      <c r="AO89" s="177">
        <f>'Residual Value'!AO$56/1000000</f>
        <v>0</v>
      </c>
      <c r="AP89" s="177">
        <f>'Residual Value'!AP$56/1000000</f>
        <v>0</v>
      </c>
      <c r="AQ89" s="177">
        <f>'Residual Value'!AQ$56/1000000</f>
        <v>0</v>
      </c>
      <c r="AR89" s="177">
        <f>'Residual Value'!AR$56/1000000</f>
        <v>0</v>
      </c>
    </row>
    <row r="90" spans="2:44" ht="15.75" thickBot="1" x14ac:dyDescent="0.3">
      <c r="B90" s="161" t="s">
        <v>22</v>
      </c>
      <c r="C90" s="163"/>
      <c r="D90" s="178">
        <f t="shared" si="30"/>
        <v>49.244919530291298</v>
      </c>
      <c r="E90" s="178"/>
      <c r="F90" s="178">
        <f t="shared" ref="F90:AR90" si="31">SUM(F81:F89)</f>
        <v>0</v>
      </c>
      <c r="G90" s="178">
        <f t="shared" si="31"/>
        <v>0</v>
      </c>
      <c r="H90" s="178">
        <f t="shared" si="31"/>
        <v>0</v>
      </c>
      <c r="I90" s="178">
        <f t="shared" si="31"/>
        <v>0</v>
      </c>
      <c r="J90" s="178">
        <f t="shared" si="31"/>
        <v>0</v>
      </c>
      <c r="K90" s="178">
        <f t="shared" si="31"/>
        <v>0</v>
      </c>
      <c r="L90" s="178">
        <f t="shared" si="31"/>
        <v>0</v>
      </c>
      <c r="M90" s="178">
        <f t="shared" si="31"/>
        <v>0</v>
      </c>
      <c r="N90" s="178">
        <f t="shared" si="31"/>
        <v>0</v>
      </c>
      <c r="O90" s="178">
        <f t="shared" si="31"/>
        <v>1.4417312498824417</v>
      </c>
      <c r="P90" s="178">
        <f t="shared" si="31"/>
        <v>1.8446581834392339</v>
      </c>
      <c r="Q90" s="178">
        <f t="shared" si="31"/>
        <v>1.9689294931319079</v>
      </c>
      <c r="R90" s="178">
        <f t="shared" si="31"/>
        <v>3.1791444268492226</v>
      </c>
      <c r="S90" s="178">
        <f t="shared" si="31"/>
        <v>2.0952861739836384</v>
      </c>
      <c r="T90" s="178">
        <f t="shared" si="31"/>
        <v>2.1520632942596207</v>
      </c>
      <c r="U90" s="178">
        <f t="shared" si="31"/>
        <v>2.2026214615524569</v>
      </c>
      <c r="V90" s="178">
        <f t="shared" si="31"/>
        <v>2.2487613195550242</v>
      </c>
      <c r="W90" s="178">
        <f t="shared" si="31"/>
        <v>2.898697109713384</v>
      </c>
      <c r="X90" s="178">
        <f t="shared" si="31"/>
        <v>2.3303403046458171</v>
      </c>
      <c r="Y90" s="178">
        <f t="shared" si="31"/>
        <v>2.3627046839085941</v>
      </c>
      <c r="Z90" s="178">
        <f t="shared" si="31"/>
        <v>2.3918388735326213</v>
      </c>
      <c r="AA90" s="178">
        <f t="shared" si="31"/>
        <v>2.4178230069712674</v>
      </c>
      <c r="AB90" s="178">
        <f t="shared" si="31"/>
        <v>2.4389486264549181</v>
      </c>
      <c r="AC90" s="178">
        <f t="shared" si="31"/>
        <v>2.4562431584428142</v>
      </c>
      <c r="AD90" s="178">
        <f t="shared" si="31"/>
        <v>2.4714350814050459</v>
      </c>
      <c r="AE90" s="178">
        <f t="shared" si="31"/>
        <v>2.4807669677268143</v>
      </c>
      <c r="AF90" s="178">
        <f t="shared" si="31"/>
        <v>2.4918638434125895</v>
      </c>
      <c r="AG90" s="178">
        <f t="shared" si="31"/>
        <v>3.2208327015490572</v>
      </c>
      <c r="AH90" s="178">
        <f t="shared" si="31"/>
        <v>4.1502295698748224</v>
      </c>
      <c r="AI90" s="178">
        <f t="shared" si="31"/>
        <v>0</v>
      </c>
      <c r="AJ90" s="178">
        <f t="shared" si="31"/>
        <v>0</v>
      </c>
      <c r="AK90" s="178">
        <f t="shared" si="31"/>
        <v>0</v>
      </c>
      <c r="AL90" s="178">
        <f t="shared" si="31"/>
        <v>0</v>
      </c>
      <c r="AM90" s="178">
        <f t="shared" si="31"/>
        <v>0</v>
      </c>
      <c r="AN90" s="178">
        <f t="shared" si="31"/>
        <v>0</v>
      </c>
      <c r="AO90" s="178">
        <f t="shared" si="31"/>
        <v>0</v>
      </c>
      <c r="AP90" s="178">
        <f t="shared" si="31"/>
        <v>0</v>
      </c>
      <c r="AQ90" s="178">
        <f t="shared" si="31"/>
        <v>0</v>
      </c>
      <c r="AR90" s="179">
        <f t="shared" si="31"/>
        <v>0</v>
      </c>
    </row>
    <row r="91" spans="2:44" ht="15" thickBot="1" x14ac:dyDescent="0.2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row>
    <row r="92" spans="2:44" ht="18" thickBot="1" x14ac:dyDescent="0.35">
      <c r="B92" s="42" t="s">
        <v>33</v>
      </c>
      <c r="C92" s="43"/>
      <c r="D92" s="43" t="s">
        <v>30</v>
      </c>
      <c r="E92" s="43"/>
      <c r="F92" s="82">
        <f t="shared" ref="F92:AR92" si="32">F80</f>
        <v>2018</v>
      </c>
      <c r="G92" s="82">
        <f t="shared" si="32"/>
        <v>2019</v>
      </c>
      <c r="H92" s="82">
        <f t="shared" si="32"/>
        <v>2020</v>
      </c>
      <c r="I92" s="82">
        <f t="shared" si="32"/>
        <v>2021</v>
      </c>
      <c r="J92" s="82">
        <f t="shared" si="32"/>
        <v>2022</v>
      </c>
      <c r="K92" s="82">
        <f t="shared" si="32"/>
        <v>2023</v>
      </c>
      <c r="L92" s="82">
        <f t="shared" si="32"/>
        <v>2024</v>
      </c>
      <c r="M92" s="82">
        <f t="shared" si="32"/>
        <v>2025</v>
      </c>
      <c r="N92" s="82">
        <f t="shared" si="32"/>
        <v>2026</v>
      </c>
      <c r="O92" s="82">
        <f t="shared" si="32"/>
        <v>2027</v>
      </c>
      <c r="P92" s="82">
        <f t="shared" si="32"/>
        <v>2028</v>
      </c>
      <c r="Q92" s="82">
        <f t="shared" si="32"/>
        <v>2029</v>
      </c>
      <c r="R92" s="82">
        <f t="shared" si="32"/>
        <v>2030</v>
      </c>
      <c r="S92" s="82">
        <f t="shared" si="32"/>
        <v>2031</v>
      </c>
      <c r="T92" s="82">
        <f t="shared" si="32"/>
        <v>2032</v>
      </c>
      <c r="U92" s="82">
        <f t="shared" si="32"/>
        <v>2033</v>
      </c>
      <c r="V92" s="82">
        <f t="shared" si="32"/>
        <v>2034</v>
      </c>
      <c r="W92" s="82">
        <f t="shared" si="32"/>
        <v>2035</v>
      </c>
      <c r="X92" s="82">
        <f t="shared" si="32"/>
        <v>2036</v>
      </c>
      <c r="Y92" s="82">
        <f t="shared" si="32"/>
        <v>2037</v>
      </c>
      <c r="Z92" s="82">
        <f t="shared" si="32"/>
        <v>2038</v>
      </c>
      <c r="AA92" s="82">
        <f t="shared" si="32"/>
        <v>2039</v>
      </c>
      <c r="AB92" s="82">
        <f t="shared" si="32"/>
        <v>2040</v>
      </c>
      <c r="AC92" s="82">
        <f t="shared" si="32"/>
        <v>2041</v>
      </c>
      <c r="AD92" s="82">
        <f t="shared" si="32"/>
        <v>2042</v>
      </c>
      <c r="AE92" s="82">
        <f t="shared" si="32"/>
        <v>2043</v>
      </c>
      <c r="AF92" s="82">
        <f t="shared" si="32"/>
        <v>2044</v>
      </c>
      <c r="AG92" s="82">
        <f t="shared" si="32"/>
        <v>2045</v>
      </c>
      <c r="AH92" s="82">
        <f t="shared" si="32"/>
        <v>2046</v>
      </c>
      <c r="AI92" s="82">
        <f t="shared" si="32"/>
        <v>2047</v>
      </c>
      <c r="AJ92" s="82">
        <f t="shared" si="32"/>
        <v>2048</v>
      </c>
      <c r="AK92" s="82">
        <f t="shared" si="32"/>
        <v>2049</v>
      </c>
      <c r="AL92" s="82">
        <f t="shared" si="32"/>
        <v>2050</v>
      </c>
      <c r="AM92" s="82">
        <f t="shared" si="32"/>
        <v>2051</v>
      </c>
      <c r="AN92" s="82">
        <f t="shared" si="32"/>
        <v>2052</v>
      </c>
      <c r="AO92" s="82">
        <f t="shared" si="32"/>
        <v>2053</v>
      </c>
      <c r="AP92" s="82">
        <f t="shared" si="32"/>
        <v>2054</v>
      </c>
      <c r="AQ92" s="82">
        <f t="shared" si="32"/>
        <v>2055</v>
      </c>
      <c r="AR92" s="162">
        <f t="shared" si="32"/>
        <v>2056</v>
      </c>
    </row>
    <row r="93" spans="2:44" ht="15" thickBot="1" x14ac:dyDescent="0.25">
      <c r="B93" s="44" t="s">
        <v>19</v>
      </c>
      <c r="D93" s="177">
        <f>SUM(F93:AR93)</f>
        <v>-23.93319059862807</v>
      </c>
      <c r="E93" s="177"/>
      <c r="F93" s="177">
        <f>-'Project Costs'!F$68/1000000</f>
        <v>0</v>
      </c>
      <c r="G93" s="177">
        <f>-'Project Costs'!G$68/1000000</f>
        <v>0</v>
      </c>
      <c r="H93" s="177">
        <f>-'Project Costs'!H$68/1000000</f>
        <v>0</v>
      </c>
      <c r="I93" s="177">
        <f>-'Project Costs'!I$68/1000000</f>
        <v>0</v>
      </c>
      <c r="J93" s="177">
        <f>-'Project Costs'!J$68/1000000</f>
        <v>0</v>
      </c>
      <c r="K93" s="177">
        <f>-'Project Costs'!K$68/1000000</f>
        <v>0</v>
      </c>
      <c r="L93" s="177">
        <f>-'Project Costs'!L$68/1000000</f>
        <v>-2.3237086109699892</v>
      </c>
      <c r="M93" s="177">
        <f>-'Project Costs'!M$68/1000000</f>
        <v>-10.9696582615832</v>
      </c>
      <c r="N93" s="177">
        <f>-'Project Costs'!N$68/1000000</f>
        <v>-10.63982372607488</v>
      </c>
      <c r="O93" s="177">
        <f>-'Project Costs'!O$68/1000000</f>
        <v>0</v>
      </c>
      <c r="P93" s="177">
        <f>-'Project Costs'!P$68/1000000</f>
        <v>0</v>
      </c>
      <c r="Q93" s="177">
        <f>-'Project Costs'!Q$68/1000000</f>
        <v>0</v>
      </c>
      <c r="R93" s="177">
        <f>-'Project Costs'!R$68/1000000</f>
        <v>0</v>
      </c>
      <c r="S93" s="177">
        <f>-'Project Costs'!S$68/1000000</f>
        <v>0</v>
      </c>
      <c r="T93" s="177">
        <f>-'Project Costs'!T$68/1000000</f>
        <v>0</v>
      </c>
      <c r="U93" s="177">
        <f>-'Project Costs'!U$68/1000000</f>
        <v>0</v>
      </c>
      <c r="V93" s="177">
        <f>-'Project Costs'!V$68/1000000</f>
        <v>0</v>
      </c>
      <c r="W93" s="177">
        <f>-'Project Costs'!W$68/1000000</f>
        <v>0</v>
      </c>
      <c r="X93" s="177">
        <f>-'Project Costs'!X$68/1000000</f>
        <v>0</v>
      </c>
      <c r="Y93" s="177">
        <f>-'Project Costs'!Y$68/1000000</f>
        <v>0</v>
      </c>
      <c r="Z93" s="177">
        <f>-'Project Costs'!Z$68/1000000</f>
        <v>0</v>
      </c>
      <c r="AA93" s="177">
        <f>-'Project Costs'!AA$68/1000000</f>
        <v>0</v>
      </c>
      <c r="AB93" s="177">
        <f>-'Project Costs'!AB$68/1000000</f>
        <v>0</v>
      </c>
      <c r="AC93" s="177">
        <f>-'Project Costs'!AC$68/1000000</f>
        <v>0</v>
      </c>
      <c r="AD93" s="177">
        <f>-'Project Costs'!AD$68/1000000</f>
        <v>0</v>
      </c>
      <c r="AE93" s="177">
        <f>-'Project Costs'!AE$68/1000000</f>
        <v>0</v>
      </c>
      <c r="AF93" s="177">
        <f>-'Project Costs'!AF$68/1000000</f>
        <v>0</v>
      </c>
      <c r="AG93" s="177">
        <f>-'Project Costs'!AG$68/1000000</f>
        <v>0</v>
      </c>
      <c r="AH93" s="177">
        <f>-'Project Costs'!AH$68/1000000</f>
        <v>0</v>
      </c>
      <c r="AI93" s="177">
        <f>-'Project Costs'!AI$68/1000000</f>
        <v>0</v>
      </c>
      <c r="AJ93" s="177">
        <f>-'Project Costs'!AJ$68/1000000</f>
        <v>0</v>
      </c>
      <c r="AK93" s="177">
        <f>-'Project Costs'!AK$68/1000000</f>
        <v>0</v>
      </c>
      <c r="AL93" s="177">
        <f>-'Project Costs'!AL$68/1000000</f>
        <v>0</v>
      </c>
      <c r="AM93" s="177">
        <f>-'Project Costs'!AM$68/1000000</f>
        <v>0</v>
      </c>
      <c r="AN93" s="177">
        <f>-'Project Costs'!AN$68/1000000</f>
        <v>0</v>
      </c>
      <c r="AO93" s="177">
        <f>-'Project Costs'!AO$68/1000000</f>
        <v>0</v>
      </c>
      <c r="AP93" s="177">
        <f>-'Project Costs'!AP$68/1000000</f>
        <v>0</v>
      </c>
      <c r="AQ93" s="177">
        <f>-'Project Costs'!AQ$68/1000000</f>
        <v>0</v>
      </c>
      <c r="AR93" s="177">
        <f>-'Project Costs'!AR$68/1000000</f>
        <v>0</v>
      </c>
    </row>
    <row r="94" spans="2:44" ht="15.75" thickBot="1" x14ac:dyDescent="0.3">
      <c r="B94" s="168" t="s">
        <v>23</v>
      </c>
      <c r="C94" s="166"/>
      <c r="D94" s="180">
        <f t="shared" ref="D94" si="33">SUM(F94:AR94)</f>
        <v>-23.93319059862807</v>
      </c>
      <c r="E94" s="180"/>
      <c r="F94" s="180">
        <f t="shared" ref="F94:AR94" si="34">SUM(F93:F93)</f>
        <v>0</v>
      </c>
      <c r="G94" s="180">
        <f t="shared" si="34"/>
        <v>0</v>
      </c>
      <c r="H94" s="180">
        <f t="shared" si="34"/>
        <v>0</v>
      </c>
      <c r="I94" s="180">
        <f t="shared" si="34"/>
        <v>0</v>
      </c>
      <c r="J94" s="180">
        <f t="shared" si="34"/>
        <v>0</v>
      </c>
      <c r="K94" s="180">
        <f t="shared" si="34"/>
        <v>0</v>
      </c>
      <c r="L94" s="180">
        <f t="shared" si="34"/>
        <v>-2.3237086109699892</v>
      </c>
      <c r="M94" s="180">
        <f t="shared" si="34"/>
        <v>-10.9696582615832</v>
      </c>
      <c r="N94" s="180">
        <f t="shared" si="34"/>
        <v>-10.63982372607488</v>
      </c>
      <c r="O94" s="180">
        <f t="shared" si="34"/>
        <v>0</v>
      </c>
      <c r="P94" s="180">
        <f t="shared" si="34"/>
        <v>0</v>
      </c>
      <c r="Q94" s="180">
        <f t="shared" si="34"/>
        <v>0</v>
      </c>
      <c r="R94" s="180">
        <f t="shared" si="34"/>
        <v>0</v>
      </c>
      <c r="S94" s="180">
        <f t="shared" si="34"/>
        <v>0</v>
      </c>
      <c r="T94" s="180">
        <f t="shared" si="34"/>
        <v>0</v>
      </c>
      <c r="U94" s="180">
        <f t="shared" si="34"/>
        <v>0</v>
      </c>
      <c r="V94" s="180">
        <f t="shared" si="34"/>
        <v>0</v>
      </c>
      <c r="W94" s="180">
        <f t="shared" si="34"/>
        <v>0</v>
      </c>
      <c r="X94" s="180">
        <f t="shared" si="34"/>
        <v>0</v>
      </c>
      <c r="Y94" s="180">
        <f t="shared" si="34"/>
        <v>0</v>
      </c>
      <c r="Z94" s="180">
        <f t="shared" si="34"/>
        <v>0</v>
      </c>
      <c r="AA94" s="180">
        <f t="shared" si="34"/>
        <v>0</v>
      </c>
      <c r="AB94" s="180">
        <f t="shared" si="34"/>
        <v>0</v>
      </c>
      <c r="AC94" s="180">
        <f t="shared" si="34"/>
        <v>0</v>
      </c>
      <c r="AD94" s="180">
        <f t="shared" si="34"/>
        <v>0</v>
      </c>
      <c r="AE94" s="180">
        <f t="shared" si="34"/>
        <v>0</v>
      </c>
      <c r="AF94" s="180">
        <f t="shared" si="34"/>
        <v>0</v>
      </c>
      <c r="AG94" s="180">
        <f t="shared" si="34"/>
        <v>0</v>
      </c>
      <c r="AH94" s="180">
        <f t="shared" si="34"/>
        <v>0</v>
      </c>
      <c r="AI94" s="180">
        <f t="shared" si="34"/>
        <v>0</v>
      </c>
      <c r="AJ94" s="180">
        <f t="shared" si="34"/>
        <v>0</v>
      </c>
      <c r="AK94" s="180">
        <f t="shared" si="34"/>
        <v>0</v>
      </c>
      <c r="AL94" s="180">
        <f t="shared" si="34"/>
        <v>0</v>
      </c>
      <c r="AM94" s="180">
        <f t="shared" si="34"/>
        <v>0</v>
      </c>
      <c r="AN94" s="180">
        <f t="shared" si="34"/>
        <v>0</v>
      </c>
      <c r="AO94" s="180">
        <f t="shared" si="34"/>
        <v>0</v>
      </c>
      <c r="AP94" s="180">
        <f t="shared" si="34"/>
        <v>0</v>
      </c>
      <c r="AQ94" s="180">
        <f t="shared" si="34"/>
        <v>0</v>
      </c>
      <c r="AR94" s="181">
        <f t="shared" si="34"/>
        <v>0</v>
      </c>
    </row>
    <row r="95" spans="2:44" ht="15.75" thickBot="1" x14ac:dyDescent="0.3">
      <c r="B95" s="2"/>
      <c r="C95" s="2"/>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64"/>
    </row>
    <row r="96" spans="2:44" ht="15.75" thickBot="1" x14ac:dyDescent="0.3">
      <c r="B96" s="165" t="s">
        <v>34</v>
      </c>
      <c r="C96" s="166"/>
      <c r="D96" s="180">
        <f t="shared" ref="D96" si="35">SUM(F96:AR96)</f>
        <v>25.311728931663218</v>
      </c>
      <c r="E96" s="180"/>
      <c r="F96" s="180">
        <f t="shared" ref="F96:AR96" si="36">F90+F94</f>
        <v>0</v>
      </c>
      <c r="G96" s="180">
        <f t="shared" si="36"/>
        <v>0</v>
      </c>
      <c r="H96" s="180">
        <f t="shared" si="36"/>
        <v>0</v>
      </c>
      <c r="I96" s="180">
        <f t="shared" si="36"/>
        <v>0</v>
      </c>
      <c r="J96" s="180">
        <f t="shared" si="36"/>
        <v>0</v>
      </c>
      <c r="K96" s="180">
        <f t="shared" si="36"/>
        <v>0</v>
      </c>
      <c r="L96" s="180">
        <f t="shared" si="36"/>
        <v>-2.3237086109699892</v>
      </c>
      <c r="M96" s="180">
        <f t="shared" si="36"/>
        <v>-10.9696582615832</v>
      </c>
      <c r="N96" s="180">
        <f t="shared" si="36"/>
        <v>-10.63982372607488</v>
      </c>
      <c r="O96" s="180">
        <f t="shared" si="36"/>
        <v>1.4417312498824417</v>
      </c>
      <c r="P96" s="180">
        <f t="shared" si="36"/>
        <v>1.8446581834392339</v>
      </c>
      <c r="Q96" s="180">
        <f t="shared" si="36"/>
        <v>1.9689294931319079</v>
      </c>
      <c r="R96" s="180">
        <f t="shared" si="36"/>
        <v>3.1791444268492226</v>
      </c>
      <c r="S96" s="180">
        <f t="shared" si="36"/>
        <v>2.0952861739836384</v>
      </c>
      <c r="T96" s="180">
        <f t="shared" si="36"/>
        <v>2.1520632942596207</v>
      </c>
      <c r="U96" s="180">
        <f t="shared" si="36"/>
        <v>2.2026214615524569</v>
      </c>
      <c r="V96" s="180">
        <f t="shared" si="36"/>
        <v>2.2487613195550242</v>
      </c>
      <c r="W96" s="180">
        <f t="shared" si="36"/>
        <v>2.898697109713384</v>
      </c>
      <c r="X96" s="180">
        <f t="shared" si="36"/>
        <v>2.3303403046458171</v>
      </c>
      <c r="Y96" s="180">
        <f t="shared" si="36"/>
        <v>2.3627046839085941</v>
      </c>
      <c r="Z96" s="180">
        <f t="shared" si="36"/>
        <v>2.3918388735326213</v>
      </c>
      <c r="AA96" s="180">
        <f t="shared" si="36"/>
        <v>2.4178230069712674</v>
      </c>
      <c r="AB96" s="180">
        <f t="shared" si="36"/>
        <v>2.4389486264549181</v>
      </c>
      <c r="AC96" s="180">
        <f t="shared" si="36"/>
        <v>2.4562431584428142</v>
      </c>
      <c r="AD96" s="180">
        <f t="shared" si="36"/>
        <v>2.4714350814050459</v>
      </c>
      <c r="AE96" s="180">
        <f t="shared" si="36"/>
        <v>2.4807669677268143</v>
      </c>
      <c r="AF96" s="180">
        <f t="shared" si="36"/>
        <v>2.4918638434125895</v>
      </c>
      <c r="AG96" s="180">
        <f t="shared" si="36"/>
        <v>3.2208327015490572</v>
      </c>
      <c r="AH96" s="180">
        <f t="shared" si="36"/>
        <v>4.1502295698748224</v>
      </c>
      <c r="AI96" s="180">
        <f t="shared" si="36"/>
        <v>0</v>
      </c>
      <c r="AJ96" s="180">
        <f t="shared" si="36"/>
        <v>0</v>
      </c>
      <c r="AK96" s="180">
        <f t="shared" si="36"/>
        <v>0</v>
      </c>
      <c r="AL96" s="180">
        <f t="shared" si="36"/>
        <v>0</v>
      </c>
      <c r="AM96" s="180">
        <f t="shared" si="36"/>
        <v>0</v>
      </c>
      <c r="AN96" s="180">
        <f t="shared" si="36"/>
        <v>0</v>
      </c>
      <c r="AO96" s="180">
        <f t="shared" si="36"/>
        <v>0</v>
      </c>
      <c r="AP96" s="180">
        <f t="shared" si="36"/>
        <v>0</v>
      </c>
      <c r="AQ96" s="180">
        <f t="shared" si="36"/>
        <v>0</v>
      </c>
      <c r="AR96" s="180">
        <f t="shared" si="36"/>
        <v>0</v>
      </c>
    </row>
  </sheetData>
  <mergeCells count="1">
    <mergeCell ref="B9:D9"/>
  </mergeCells>
  <conditionalFormatting sqref="C8">
    <cfRule type="cellIs" dxfId="1" priority="1" operator="equal">
      <formula>"YES"</formula>
    </cfRule>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8C91-A0C9-495D-833C-97F6592C9D61}">
  <sheetPr>
    <tabColor theme="9"/>
  </sheetPr>
  <dimension ref="A1:AS44"/>
  <sheetViews>
    <sheetView workbookViewId="0">
      <pane xSplit="4" ySplit="11" topLeftCell="E12" activePane="bottomRight" state="frozen"/>
      <selection pane="topRight" activeCell="E1" sqref="E1"/>
      <selection pane="bottomLeft" activeCell="A12" sqref="A12"/>
      <selection pane="bottomRight" activeCell="D4" sqref="D4"/>
    </sheetView>
  </sheetViews>
  <sheetFormatPr defaultColWidth="0" defaultRowHeight="14.25" x14ac:dyDescent="0.2"/>
  <cols>
    <col min="1" max="1" width="10.5703125" style="1" customWidth="1"/>
    <col min="2" max="2" width="43.8554687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1009</v>
      </c>
      <c r="C2" s="12"/>
    </row>
    <row r="3" spans="1:44" x14ac:dyDescent="0.2">
      <c r="A3" s="45">
        <f ca="1">Summary!A3</f>
        <v>45345</v>
      </c>
      <c r="C3" s="12"/>
      <c r="D3" s="12"/>
    </row>
    <row r="4" spans="1:44" x14ac:dyDescent="0.2">
      <c r="A4" s="46" t="str">
        <f>Summary!A4</f>
        <v>All $ values 2022, unless otherwise noted</v>
      </c>
      <c r="C4" s="449" t="s">
        <v>997</v>
      </c>
      <c r="D4" s="450">
        <f>Summary!$E$9</f>
        <v>2.0575994382092198</v>
      </c>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8" spans="1:44" x14ac:dyDescent="0.2">
      <c r="C18" s="18"/>
    </row>
    <row r="19" spans="1:44" x14ac:dyDescent="0.2">
      <c r="B19" s="1" t="s">
        <v>200</v>
      </c>
      <c r="C19" s="1" t="s">
        <v>38</v>
      </c>
      <c r="D19" s="1" t="s">
        <v>39</v>
      </c>
    </row>
    <row r="20" spans="1:44" s="9" customFormat="1" x14ac:dyDescent="0.2">
      <c r="A20" s="8" t="s">
        <v>201</v>
      </c>
    </row>
    <row r="21" spans="1:44" ht="15" x14ac:dyDescent="0.25">
      <c r="A21" s="2" t="s">
        <v>223</v>
      </c>
      <c r="C21" s="19"/>
      <c r="D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1:44" ht="15" x14ac:dyDescent="0.25">
      <c r="A22" s="2"/>
      <c r="B22" s="1" t="s">
        <v>291</v>
      </c>
      <c r="C22" s="76"/>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ht="15" x14ac:dyDescent="0.25">
      <c r="A23" s="2"/>
      <c r="B23" s="1" t="s">
        <v>292</v>
      </c>
      <c r="C23" s="76"/>
      <c r="D23" s="7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ht="15" x14ac:dyDescent="0.25">
      <c r="A24" s="2"/>
      <c r="B24" s="1" t="s">
        <v>293</v>
      </c>
      <c r="C24" s="76"/>
      <c r="D24" s="7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1:44" x14ac:dyDescent="0.2">
      <c r="B25" s="1" t="s">
        <v>262</v>
      </c>
      <c r="C25" s="19" t="s">
        <v>252</v>
      </c>
      <c r="D25" s="75">
        <f>SUM(F25:AR25)</f>
        <v>0</v>
      </c>
      <c r="F25" s="16">
        <v>0</v>
      </c>
      <c r="G25" s="16">
        <v>0</v>
      </c>
      <c r="H25" s="16">
        <v>0</v>
      </c>
      <c r="I25" s="16">
        <v>0</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6">
        <v>0</v>
      </c>
      <c r="AP25" s="16">
        <v>0</v>
      </c>
      <c r="AQ25" s="16">
        <v>0</v>
      </c>
      <c r="AR25" s="16">
        <v>0</v>
      </c>
    </row>
    <row r="26" spans="1:44" x14ac:dyDescent="0.2">
      <c r="C26" s="12"/>
    </row>
    <row r="27" spans="1:44" s="9" customFormat="1" x14ac:dyDescent="0.2">
      <c r="A27" s="8" t="s">
        <v>211</v>
      </c>
      <c r="B27" s="13"/>
      <c r="C27" s="13"/>
    </row>
    <row r="28" spans="1:44" x14ac:dyDescent="0.2">
      <c r="C28" s="19"/>
      <c r="D28" s="7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1:44" ht="15" x14ac:dyDescent="0.25">
      <c r="A29" s="2" t="s">
        <v>990</v>
      </c>
      <c r="C29" s="19"/>
      <c r="D29" s="440"/>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row>
    <row r="30" spans="1:44" ht="15" x14ac:dyDescent="0.25">
      <c r="A30" s="2"/>
      <c r="B30" s="1" t="str">
        <f>Traffic!B79</f>
        <v>Induced Pedestrian Trips</v>
      </c>
      <c r="C30" s="19" t="s">
        <v>168</v>
      </c>
      <c r="D30" s="239">
        <f>SUM(F30:AR30)</f>
        <v>3105.8420784294008</v>
      </c>
      <c r="F30" s="101">
        <f>Traffic!F79</f>
        <v>0</v>
      </c>
      <c r="G30" s="101">
        <f>Traffic!G79</f>
        <v>0</v>
      </c>
      <c r="H30" s="101">
        <f>Traffic!H79</f>
        <v>0</v>
      </c>
      <c r="I30" s="101">
        <f>Traffic!I79</f>
        <v>0</v>
      </c>
      <c r="J30" s="101">
        <f>Traffic!J79</f>
        <v>0</v>
      </c>
      <c r="K30" s="101">
        <f>Traffic!K79</f>
        <v>0</v>
      </c>
      <c r="L30" s="101">
        <f>Traffic!L79</f>
        <v>0</v>
      </c>
      <c r="M30" s="101">
        <f>Traffic!M79</f>
        <v>0</v>
      </c>
      <c r="N30" s="101">
        <f>Traffic!N79</f>
        <v>0</v>
      </c>
      <c r="O30" s="101">
        <f>Traffic!O79</f>
        <v>41.136790483707216</v>
      </c>
      <c r="P30" s="101">
        <f>Traffic!P79</f>
        <v>62.732350399900824</v>
      </c>
      <c r="Q30" s="101">
        <f>Traffic!Q79</f>
        <v>85.035484790505564</v>
      </c>
      <c r="R30" s="101">
        <f>Traffic!R79</f>
        <v>86.451013242695282</v>
      </c>
      <c r="S30" s="101">
        <f>Traffic!S79</f>
        <v>87.890105043808049</v>
      </c>
      <c r="T30" s="101">
        <f>Traffic!T79</f>
        <v>89.35315243704575</v>
      </c>
      <c r="U30" s="101">
        <f>Traffic!U79</f>
        <v>90.840554195018754</v>
      </c>
      <c r="V30" s="101">
        <f>Traffic!V79</f>
        <v>92.352715728436507</v>
      </c>
      <c r="W30" s="101">
        <f>Traffic!W79</f>
        <v>93.890049196607521</v>
      </c>
      <c r="X30" s="101">
        <f>Traffic!X79</f>
        <v>95.452973619778803</v>
      </c>
      <c r="Y30" s="101">
        <f>Traffic!Y79</f>
        <v>97.041914993345216</v>
      </c>
      <c r="Z30" s="101">
        <f>Traffic!Z79</f>
        <v>98.657306403960121</v>
      </c>
      <c r="AA30" s="101">
        <f>Traffic!AA79</f>
        <v>100.29958814757873</v>
      </c>
      <c r="AB30" s="101">
        <f>Traffic!AB79</f>
        <v>101.96920784946653</v>
      </c>
      <c r="AC30" s="101">
        <f>Traffic!AC79</f>
        <v>103.6666205862054</v>
      </c>
      <c r="AD30" s="101">
        <f>Traffic!AD79</f>
        <v>105.39228900973058</v>
      </c>
      <c r="AE30" s="101">
        <f>Traffic!AE79</f>
        <v>107.14668347343255</v>
      </c>
      <c r="AF30" s="101">
        <f>Traffic!AF79</f>
        <v>108.93028216035795</v>
      </c>
      <c r="AG30" s="101">
        <f>Traffic!AG79</f>
        <v>110.74357121354458</v>
      </c>
      <c r="AH30" s="101">
        <f>Traffic!AH79</f>
        <v>112.58704486852604</v>
      </c>
      <c r="AI30" s="101">
        <f>Traffic!AI79</f>
        <v>114.46120558804196</v>
      </c>
      <c r="AJ30" s="101">
        <f>Traffic!AJ79</f>
        <v>116.36656419899094</v>
      </c>
      <c r="AK30" s="101">
        <f>Traffic!AK79</f>
        <v>118.30364003166292</v>
      </c>
      <c r="AL30" s="101">
        <f>Traffic!AL79</f>
        <v>120.27296106128946</v>
      </c>
      <c r="AM30" s="101">
        <f>Traffic!AM79</f>
        <v>122.27506405195027</v>
      </c>
      <c r="AN30" s="101">
        <f>Traffic!AN79</f>
        <v>124.3104947028752</v>
      </c>
      <c r="AO30" s="101">
        <f>Traffic!AO79</f>
        <v>126.37980779718177</v>
      </c>
      <c r="AP30" s="101">
        <f>Traffic!AP79</f>
        <v>128.4835673530884</v>
      </c>
      <c r="AQ30" s="101">
        <f>Traffic!AQ79</f>
        <v>130.62234677764505</v>
      </c>
      <c r="AR30" s="101">
        <f>Traffic!AR79</f>
        <v>132.79672902302261</v>
      </c>
    </row>
    <row r="31" spans="1:44" x14ac:dyDescent="0.2">
      <c r="B31" s="1" t="str">
        <f>Inputs!C157</f>
        <v>Induced Active Transporation Mode - Walking</v>
      </c>
      <c r="C31" s="19" t="s">
        <v>995</v>
      </c>
      <c r="D31" s="441">
        <f>Inputs!E157</f>
        <v>7.63</v>
      </c>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row>
    <row r="32" spans="1:44" x14ac:dyDescent="0.2">
      <c r="B32" s="1" t="s">
        <v>996</v>
      </c>
      <c r="C32" s="19" t="s">
        <v>260</v>
      </c>
      <c r="D32" s="442">
        <f>SUM(F32:AR32)</f>
        <v>23697.575058416322</v>
      </c>
      <c r="F32" s="101">
        <f t="shared" ref="F32:AR32" si="13">F30*$D$31</f>
        <v>0</v>
      </c>
      <c r="G32" s="101">
        <f t="shared" si="13"/>
        <v>0</v>
      </c>
      <c r="H32" s="101">
        <f t="shared" si="13"/>
        <v>0</v>
      </c>
      <c r="I32" s="101">
        <f t="shared" si="13"/>
        <v>0</v>
      </c>
      <c r="J32" s="101">
        <f t="shared" si="13"/>
        <v>0</v>
      </c>
      <c r="K32" s="101">
        <f t="shared" si="13"/>
        <v>0</v>
      </c>
      <c r="L32" s="101">
        <f t="shared" si="13"/>
        <v>0</v>
      </c>
      <c r="M32" s="101">
        <f t="shared" si="13"/>
        <v>0</v>
      </c>
      <c r="N32" s="101">
        <f t="shared" si="13"/>
        <v>0</v>
      </c>
      <c r="O32" s="101">
        <f t="shared" si="13"/>
        <v>313.87371139068603</v>
      </c>
      <c r="P32" s="101">
        <f t="shared" si="13"/>
        <v>478.64783355124325</v>
      </c>
      <c r="Q32" s="101">
        <f t="shared" si="13"/>
        <v>648.82074895155745</v>
      </c>
      <c r="R32" s="101">
        <f t="shared" si="13"/>
        <v>659.62123104176499</v>
      </c>
      <c r="S32" s="101">
        <f t="shared" si="13"/>
        <v>670.60150148425544</v>
      </c>
      <c r="T32" s="101">
        <f t="shared" si="13"/>
        <v>681.76455309465905</v>
      </c>
      <c r="U32" s="101">
        <f t="shared" si="13"/>
        <v>693.11342850799304</v>
      </c>
      <c r="V32" s="101">
        <f t="shared" si="13"/>
        <v>704.65122100797055</v>
      </c>
      <c r="W32" s="101">
        <f t="shared" si="13"/>
        <v>716.38107537011535</v>
      </c>
      <c r="X32" s="101">
        <f t="shared" si="13"/>
        <v>728.30618871891227</v>
      </c>
      <c r="Y32" s="101">
        <f t="shared" si="13"/>
        <v>740.42981139922404</v>
      </c>
      <c r="Z32" s="101">
        <f t="shared" si="13"/>
        <v>752.7552478622157</v>
      </c>
      <c r="AA32" s="101">
        <f t="shared" si="13"/>
        <v>765.2858575660257</v>
      </c>
      <c r="AB32" s="101">
        <f t="shared" si="13"/>
        <v>778.02505589142959</v>
      </c>
      <c r="AC32" s="101">
        <f t="shared" si="13"/>
        <v>790.97631507274718</v>
      </c>
      <c r="AD32" s="101">
        <f t="shared" si="13"/>
        <v>804.14316514424434</v>
      </c>
      <c r="AE32" s="101">
        <f t="shared" si="13"/>
        <v>817.52919490229033</v>
      </c>
      <c r="AF32" s="101">
        <f t="shared" si="13"/>
        <v>831.13805288353115</v>
      </c>
      <c r="AG32" s="101">
        <f t="shared" si="13"/>
        <v>844.97344835934518</v>
      </c>
      <c r="AH32" s="101">
        <f t="shared" si="13"/>
        <v>859.0391523468536</v>
      </c>
      <c r="AI32" s="101">
        <f t="shared" si="13"/>
        <v>873.33899863676015</v>
      </c>
      <c r="AJ32" s="101">
        <f t="shared" si="13"/>
        <v>887.87688483830084</v>
      </c>
      <c r="AK32" s="101">
        <f t="shared" si="13"/>
        <v>902.65677344158814</v>
      </c>
      <c r="AL32" s="101">
        <f t="shared" si="13"/>
        <v>917.68269289763862</v>
      </c>
      <c r="AM32" s="101">
        <f t="shared" si="13"/>
        <v>932.95873871638048</v>
      </c>
      <c r="AN32" s="101">
        <f t="shared" si="13"/>
        <v>948.48907458293775</v>
      </c>
      <c r="AO32" s="101">
        <f t="shared" si="13"/>
        <v>964.27793349249691</v>
      </c>
      <c r="AP32" s="101">
        <f t="shared" si="13"/>
        <v>980.32961890406455</v>
      </c>
      <c r="AQ32" s="101">
        <f t="shared" si="13"/>
        <v>996.64850591343168</v>
      </c>
      <c r="AR32" s="101">
        <f t="shared" si="13"/>
        <v>1013.2390424456624</v>
      </c>
    </row>
    <row r="33" spans="1:44" x14ac:dyDescent="0.2">
      <c r="B33" s="1" t="s">
        <v>1012</v>
      </c>
      <c r="C33" s="76" t="s">
        <v>67</v>
      </c>
      <c r="D33" s="75">
        <f>Inputs!$E$153</f>
        <v>200</v>
      </c>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x14ac:dyDescent="0.2">
      <c r="B34" s="1" t="s">
        <v>996</v>
      </c>
      <c r="C34" s="19" t="s">
        <v>252</v>
      </c>
      <c r="D34" s="442">
        <f>SUM(F34:AR34)</f>
        <v>4739515.0116832657</v>
      </c>
      <c r="F34" s="101">
        <f t="shared" ref="F34:M34" si="14">F32*$D$33</f>
        <v>0</v>
      </c>
      <c r="G34" s="101">
        <f t="shared" si="14"/>
        <v>0</v>
      </c>
      <c r="H34" s="101">
        <f t="shared" si="14"/>
        <v>0</v>
      </c>
      <c r="I34" s="101">
        <f t="shared" si="14"/>
        <v>0</v>
      </c>
      <c r="J34" s="101">
        <f t="shared" si="14"/>
        <v>0</v>
      </c>
      <c r="K34" s="101">
        <f t="shared" si="14"/>
        <v>0</v>
      </c>
      <c r="L34" s="101">
        <f t="shared" si="14"/>
        <v>0</v>
      </c>
      <c r="M34" s="101">
        <f t="shared" si="14"/>
        <v>0</v>
      </c>
      <c r="N34" s="101">
        <f>N32*$D$33</f>
        <v>0</v>
      </c>
      <c r="O34" s="101">
        <f t="shared" ref="O34:AR34" si="15">O32*$D$33</f>
        <v>62774.742278137208</v>
      </c>
      <c r="P34" s="101">
        <f t="shared" si="15"/>
        <v>95729.566710248648</v>
      </c>
      <c r="Q34" s="101">
        <f t="shared" si="15"/>
        <v>129764.14979031149</v>
      </c>
      <c r="R34" s="101">
        <f t="shared" si="15"/>
        <v>131924.246208353</v>
      </c>
      <c r="S34" s="101">
        <f t="shared" si="15"/>
        <v>134120.30029685108</v>
      </c>
      <c r="T34" s="101">
        <f t="shared" si="15"/>
        <v>136352.91061893181</v>
      </c>
      <c r="U34" s="101">
        <f t="shared" si="15"/>
        <v>138622.68570159862</v>
      </c>
      <c r="V34" s="101">
        <f t="shared" si="15"/>
        <v>140930.24420159412</v>
      </c>
      <c r="W34" s="101">
        <f t="shared" si="15"/>
        <v>143276.21507402306</v>
      </c>
      <c r="X34" s="101">
        <f t="shared" si="15"/>
        <v>145661.23774378246</v>
      </c>
      <c r="Y34" s="101">
        <f t="shared" si="15"/>
        <v>148085.9622798448</v>
      </c>
      <c r="Z34" s="101">
        <f t="shared" si="15"/>
        <v>150551.04957244315</v>
      </c>
      <c r="AA34" s="101">
        <f t="shared" si="15"/>
        <v>153057.17151320513</v>
      </c>
      <c r="AB34" s="101">
        <f t="shared" si="15"/>
        <v>155605.01117828593</v>
      </c>
      <c r="AC34" s="101">
        <f t="shared" si="15"/>
        <v>158195.26301454945</v>
      </c>
      <c r="AD34" s="101">
        <f t="shared" si="15"/>
        <v>160828.63302884885</v>
      </c>
      <c r="AE34" s="101">
        <f t="shared" si="15"/>
        <v>163505.83898045807</v>
      </c>
      <c r="AF34" s="101">
        <f t="shared" si="15"/>
        <v>166227.61057670624</v>
      </c>
      <c r="AG34" s="101">
        <f t="shared" si="15"/>
        <v>168994.68967186904</v>
      </c>
      <c r="AH34" s="101">
        <f t="shared" si="15"/>
        <v>171807.83046937073</v>
      </c>
      <c r="AI34" s="101">
        <f t="shared" si="15"/>
        <v>174667.79972735205</v>
      </c>
      <c r="AJ34" s="101">
        <f t="shared" si="15"/>
        <v>177575.37696766018</v>
      </c>
      <c r="AK34" s="101">
        <f t="shared" si="15"/>
        <v>180531.35468831763</v>
      </c>
      <c r="AL34" s="101">
        <f t="shared" si="15"/>
        <v>183536.53857952773</v>
      </c>
      <c r="AM34" s="101">
        <f t="shared" si="15"/>
        <v>186591.74774327609</v>
      </c>
      <c r="AN34" s="101">
        <f t="shared" si="15"/>
        <v>189697.81491658755</v>
      </c>
      <c r="AO34" s="101">
        <f t="shared" si="15"/>
        <v>192855.58669849939</v>
      </c>
      <c r="AP34" s="101">
        <f t="shared" si="15"/>
        <v>196065.92378081291</v>
      </c>
      <c r="AQ34" s="101">
        <f t="shared" si="15"/>
        <v>199329.70118268635</v>
      </c>
      <c r="AR34" s="101">
        <f t="shared" si="15"/>
        <v>202647.8084891325</v>
      </c>
    </row>
    <row r="35" spans="1:44" x14ac:dyDescent="0.2">
      <c r="C35" s="19"/>
      <c r="D35" s="7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ht="15" x14ac:dyDescent="0.25">
      <c r="A36" s="2" t="s">
        <v>239</v>
      </c>
      <c r="C36" s="19" t="s">
        <v>252</v>
      </c>
      <c r="D36" s="75">
        <f>SUM(F36:AR36)</f>
        <v>4739515.0116832657</v>
      </c>
      <c r="F36" s="16">
        <f t="shared" ref="F36:AR36" si="16">F34-F25</f>
        <v>0</v>
      </c>
      <c r="G36" s="16">
        <f t="shared" si="16"/>
        <v>0</v>
      </c>
      <c r="H36" s="16">
        <f t="shared" si="16"/>
        <v>0</v>
      </c>
      <c r="I36" s="16">
        <f t="shared" si="16"/>
        <v>0</v>
      </c>
      <c r="J36" s="16">
        <f t="shared" si="16"/>
        <v>0</v>
      </c>
      <c r="K36" s="16">
        <f t="shared" si="16"/>
        <v>0</v>
      </c>
      <c r="L36" s="16">
        <f t="shared" si="16"/>
        <v>0</v>
      </c>
      <c r="M36" s="16">
        <f t="shared" si="16"/>
        <v>0</v>
      </c>
      <c r="N36" s="16">
        <f t="shared" si="16"/>
        <v>0</v>
      </c>
      <c r="O36" s="16">
        <f t="shared" si="16"/>
        <v>62774.742278137208</v>
      </c>
      <c r="P36" s="16">
        <f t="shared" si="16"/>
        <v>95729.566710248648</v>
      </c>
      <c r="Q36" s="16">
        <f t="shared" si="16"/>
        <v>129764.14979031149</v>
      </c>
      <c r="R36" s="16">
        <f t="shared" si="16"/>
        <v>131924.246208353</v>
      </c>
      <c r="S36" s="16">
        <f t="shared" si="16"/>
        <v>134120.30029685108</v>
      </c>
      <c r="T36" s="16">
        <f t="shared" si="16"/>
        <v>136352.91061893181</v>
      </c>
      <c r="U36" s="16">
        <f t="shared" si="16"/>
        <v>138622.68570159862</v>
      </c>
      <c r="V36" s="16">
        <f t="shared" si="16"/>
        <v>140930.24420159412</v>
      </c>
      <c r="W36" s="16">
        <f t="shared" si="16"/>
        <v>143276.21507402306</v>
      </c>
      <c r="X36" s="16">
        <f t="shared" si="16"/>
        <v>145661.23774378246</v>
      </c>
      <c r="Y36" s="16">
        <f t="shared" si="16"/>
        <v>148085.9622798448</v>
      </c>
      <c r="Z36" s="16">
        <f t="shared" si="16"/>
        <v>150551.04957244315</v>
      </c>
      <c r="AA36" s="16">
        <f t="shared" si="16"/>
        <v>153057.17151320513</v>
      </c>
      <c r="AB36" s="16">
        <f t="shared" si="16"/>
        <v>155605.01117828593</v>
      </c>
      <c r="AC36" s="16">
        <f t="shared" si="16"/>
        <v>158195.26301454945</v>
      </c>
      <c r="AD36" s="16">
        <f t="shared" si="16"/>
        <v>160828.63302884885</v>
      </c>
      <c r="AE36" s="16">
        <f t="shared" si="16"/>
        <v>163505.83898045807</v>
      </c>
      <c r="AF36" s="16">
        <f t="shared" si="16"/>
        <v>166227.61057670624</v>
      </c>
      <c r="AG36" s="16">
        <f t="shared" si="16"/>
        <v>168994.68967186904</v>
      </c>
      <c r="AH36" s="16">
        <f t="shared" si="16"/>
        <v>171807.83046937073</v>
      </c>
      <c r="AI36" s="16">
        <f t="shared" si="16"/>
        <v>174667.79972735205</v>
      </c>
      <c r="AJ36" s="16">
        <f t="shared" si="16"/>
        <v>177575.37696766018</v>
      </c>
      <c r="AK36" s="16">
        <f t="shared" si="16"/>
        <v>180531.35468831763</v>
      </c>
      <c r="AL36" s="16">
        <f t="shared" si="16"/>
        <v>183536.53857952773</v>
      </c>
      <c r="AM36" s="16">
        <f t="shared" si="16"/>
        <v>186591.74774327609</v>
      </c>
      <c r="AN36" s="16">
        <f t="shared" si="16"/>
        <v>189697.81491658755</v>
      </c>
      <c r="AO36" s="16">
        <f t="shared" si="16"/>
        <v>192855.58669849939</v>
      </c>
      <c r="AP36" s="16">
        <f t="shared" si="16"/>
        <v>196065.92378081291</v>
      </c>
      <c r="AQ36" s="16">
        <f t="shared" si="16"/>
        <v>199329.70118268635</v>
      </c>
      <c r="AR36" s="16">
        <f t="shared" si="16"/>
        <v>202647.8084891325</v>
      </c>
    </row>
    <row r="37" spans="1:44" x14ac:dyDescent="0.2">
      <c r="C37" s="19"/>
      <c r="D37" s="7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x14ac:dyDescent="0.2">
      <c r="C38" s="76"/>
      <c r="D38" s="75"/>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s="9" customFormat="1" x14ac:dyDescent="0.2">
      <c r="A39" s="8" t="s">
        <v>238</v>
      </c>
      <c r="B39" s="8"/>
      <c r="C39" s="13"/>
    </row>
    <row r="40" spans="1:44" ht="15" x14ac:dyDescent="0.25">
      <c r="A40" s="2" t="s">
        <v>239</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1:44" x14ac:dyDescent="0.2">
      <c r="B41" s="1" t="s">
        <v>209</v>
      </c>
      <c r="C41" s="76" t="s">
        <v>72</v>
      </c>
      <c r="D41" s="75">
        <f>SUM(F41:AR41)</f>
        <v>2856015.3589094128</v>
      </c>
      <c r="F41" s="16">
        <f t="shared" ref="F41:AR41" si="17">(F$36-F$25)*F15*F$11</f>
        <v>0</v>
      </c>
      <c r="G41" s="16">
        <f t="shared" si="17"/>
        <v>0</v>
      </c>
      <c r="H41" s="16">
        <f t="shared" si="17"/>
        <v>0</v>
      </c>
      <c r="I41" s="16">
        <f t="shared" si="17"/>
        <v>0</v>
      </c>
      <c r="J41" s="16">
        <f t="shared" si="17"/>
        <v>0</v>
      </c>
      <c r="K41" s="16">
        <f t="shared" si="17"/>
        <v>0</v>
      </c>
      <c r="L41" s="16">
        <f t="shared" si="17"/>
        <v>0</v>
      </c>
      <c r="M41" s="16">
        <f t="shared" si="17"/>
        <v>0</v>
      </c>
      <c r="N41" s="16">
        <f t="shared" si="17"/>
        <v>0</v>
      </c>
      <c r="O41" s="16">
        <f t="shared" si="17"/>
        <v>62774.742278137208</v>
      </c>
      <c r="P41" s="16">
        <f t="shared" si="17"/>
        <v>95729.566710248648</v>
      </c>
      <c r="Q41" s="16">
        <f t="shared" si="17"/>
        <v>129764.14979031149</v>
      </c>
      <c r="R41" s="16">
        <f t="shared" si="17"/>
        <v>131924.246208353</v>
      </c>
      <c r="S41" s="16">
        <f t="shared" si="17"/>
        <v>134120.30029685108</v>
      </c>
      <c r="T41" s="16">
        <f t="shared" si="17"/>
        <v>136352.91061893181</v>
      </c>
      <c r="U41" s="16">
        <f t="shared" si="17"/>
        <v>138622.68570159862</v>
      </c>
      <c r="V41" s="16">
        <f t="shared" si="17"/>
        <v>140930.24420159412</v>
      </c>
      <c r="W41" s="16">
        <f t="shared" si="17"/>
        <v>143276.21507402306</v>
      </c>
      <c r="X41" s="16">
        <f t="shared" si="17"/>
        <v>145661.23774378246</v>
      </c>
      <c r="Y41" s="16">
        <f t="shared" si="17"/>
        <v>148085.9622798448</v>
      </c>
      <c r="Z41" s="16">
        <f t="shared" si="17"/>
        <v>150551.04957244315</v>
      </c>
      <c r="AA41" s="16">
        <f t="shared" si="17"/>
        <v>153057.17151320513</v>
      </c>
      <c r="AB41" s="16">
        <f t="shared" si="17"/>
        <v>155605.01117828593</v>
      </c>
      <c r="AC41" s="16">
        <f t="shared" si="17"/>
        <v>158195.26301454945</v>
      </c>
      <c r="AD41" s="16">
        <f t="shared" si="17"/>
        <v>160828.63302884885</v>
      </c>
      <c r="AE41" s="16">
        <f t="shared" si="17"/>
        <v>163505.83898045807</v>
      </c>
      <c r="AF41" s="16">
        <f t="shared" si="17"/>
        <v>166227.61057670624</v>
      </c>
      <c r="AG41" s="16">
        <f t="shared" si="17"/>
        <v>168994.68967186904</v>
      </c>
      <c r="AH41" s="16">
        <f t="shared" si="17"/>
        <v>171807.83046937073</v>
      </c>
      <c r="AI41" s="16">
        <f t="shared" si="17"/>
        <v>0</v>
      </c>
      <c r="AJ41" s="16">
        <f t="shared" si="17"/>
        <v>0</v>
      </c>
      <c r="AK41" s="16">
        <f t="shared" si="17"/>
        <v>0</v>
      </c>
      <c r="AL41" s="16">
        <f t="shared" si="17"/>
        <v>0</v>
      </c>
      <c r="AM41" s="16">
        <f t="shared" si="17"/>
        <v>0</v>
      </c>
      <c r="AN41" s="16">
        <f t="shared" si="17"/>
        <v>0</v>
      </c>
      <c r="AO41" s="16">
        <f t="shared" si="17"/>
        <v>0</v>
      </c>
      <c r="AP41" s="16">
        <f t="shared" si="17"/>
        <v>0</v>
      </c>
      <c r="AQ41" s="16">
        <f t="shared" si="17"/>
        <v>0</v>
      </c>
      <c r="AR41" s="16">
        <f t="shared" si="17"/>
        <v>0</v>
      </c>
    </row>
    <row r="42" spans="1:44" x14ac:dyDescent="0.2">
      <c r="B42" s="1" t="str">
        <f>Inputs!$C$30</f>
        <v>2% Discount Factor</v>
      </c>
      <c r="C42" s="76" t="s">
        <v>72</v>
      </c>
      <c r="D42" s="75">
        <f>SUM(F42:AR42)</f>
        <v>2077875.5750778562</v>
      </c>
      <c r="F42" s="16">
        <f t="shared" ref="F42:AR42" si="18">(F$36-F$25)*F16*F$11</f>
        <v>0</v>
      </c>
      <c r="G42" s="16">
        <f t="shared" si="18"/>
        <v>0</v>
      </c>
      <c r="H42" s="16">
        <f t="shared" si="18"/>
        <v>0</v>
      </c>
      <c r="I42" s="16">
        <f t="shared" si="18"/>
        <v>0</v>
      </c>
      <c r="J42" s="16">
        <f t="shared" si="18"/>
        <v>0</v>
      </c>
      <c r="K42" s="16">
        <f t="shared" si="18"/>
        <v>0</v>
      </c>
      <c r="L42" s="16">
        <f t="shared" si="18"/>
        <v>0</v>
      </c>
      <c r="M42" s="16">
        <f t="shared" si="18"/>
        <v>0</v>
      </c>
      <c r="N42" s="16">
        <f t="shared" si="18"/>
        <v>0</v>
      </c>
      <c r="O42" s="16">
        <f t="shared" si="18"/>
        <v>55742.174667099476</v>
      </c>
      <c r="P42" s="16">
        <f t="shared" si="18"/>
        <v>83338.34869390665</v>
      </c>
      <c r="Q42" s="16">
        <f t="shared" si="18"/>
        <v>110752.45237170219</v>
      </c>
      <c r="R42" s="16">
        <f t="shared" si="18"/>
        <v>110388.30771112046</v>
      </c>
      <c r="S42" s="16">
        <f t="shared" si="18"/>
        <v>110025.36032726707</v>
      </c>
      <c r="T42" s="16">
        <f t="shared" si="18"/>
        <v>109663.60628359779</v>
      </c>
      <c r="U42" s="16">
        <f t="shared" si="18"/>
        <v>109303.04165651137</v>
      </c>
      <c r="V42" s="16">
        <f t="shared" si="18"/>
        <v>108943.66253530713</v>
      </c>
      <c r="W42" s="16">
        <f t="shared" si="18"/>
        <v>108585.46502214228</v>
      </c>
      <c r="X42" s="16">
        <f t="shared" si="18"/>
        <v>108228.44523199003</v>
      </c>
      <c r="Y42" s="16">
        <f t="shared" si="18"/>
        <v>107872.59929259698</v>
      </c>
      <c r="Z42" s="16">
        <f t="shared" si="18"/>
        <v>107517.92334444156</v>
      </c>
      <c r="AA42" s="16">
        <f t="shared" si="18"/>
        <v>107164.41354069191</v>
      </c>
      <c r="AB42" s="16">
        <f t="shared" si="18"/>
        <v>106812.06604716422</v>
      </c>
      <c r="AC42" s="16">
        <f t="shared" si="18"/>
        <v>106460.87704228116</v>
      </c>
      <c r="AD42" s="16">
        <f t="shared" si="18"/>
        <v>106110.84271703042</v>
      </c>
      <c r="AE42" s="16">
        <f t="shared" si="18"/>
        <v>105761.95927492339</v>
      </c>
      <c r="AF42" s="16">
        <f t="shared" si="18"/>
        <v>105414.22293195405</v>
      </c>
      <c r="AG42" s="16">
        <f t="shared" si="18"/>
        <v>105067.62991655775</v>
      </c>
      <c r="AH42" s="16">
        <f t="shared" si="18"/>
        <v>104722.17646957058</v>
      </c>
      <c r="AI42" s="16">
        <f t="shared" si="18"/>
        <v>0</v>
      </c>
      <c r="AJ42" s="16">
        <f t="shared" si="18"/>
        <v>0</v>
      </c>
      <c r="AK42" s="16">
        <f t="shared" si="18"/>
        <v>0</v>
      </c>
      <c r="AL42" s="16">
        <f t="shared" si="18"/>
        <v>0</v>
      </c>
      <c r="AM42" s="16">
        <f t="shared" si="18"/>
        <v>0</v>
      </c>
      <c r="AN42" s="16">
        <f t="shared" si="18"/>
        <v>0</v>
      </c>
      <c r="AO42" s="16">
        <f t="shared" si="18"/>
        <v>0</v>
      </c>
      <c r="AP42" s="16">
        <f t="shared" si="18"/>
        <v>0</v>
      </c>
      <c r="AQ42" s="16">
        <f t="shared" si="18"/>
        <v>0</v>
      </c>
      <c r="AR42" s="16">
        <f t="shared" si="18"/>
        <v>0</v>
      </c>
    </row>
    <row r="43" spans="1:44" x14ac:dyDescent="0.2">
      <c r="B43" s="1" t="str">
        <f>Inputs!$C$31</f>
        <v>3.1% Discount Factor</v>
      </c>
      <c r="C43" s="76" t="s">
        <v>72</v>
      </c>
      <c r="D43" s="75">
        <f>SUM(F43:AR43)</f>
        <v>1757942.0596630261</v>
      </c>
      <c r="F43" s="16">
        <f t="shared" ref="F43:AR43" si="19">(F$36-F$25)*F17*F$11</f>
        <v>0</v>
      </c>
      <c r="G43" s="16">
        <f t="shared" si="19"/>
        <v>0</v>
      </c>
      <c r="H43" s="16">
        <f t="shared" si="19"/>
        <v>0</v>
      </c>
      <c r="I43" s="16">
        <f t="shared" si="19"/>
        <v>0</v>
      </c>
      <c r="J43" s="16">
        <f t="shared" si="19"/>
        <v>0</v>
      </c>
      <c r="K43" s="16">
        <f t="shared" si="19"/>
        <v>0</v>
      </c>
      <c r="L43" s="16">
        <f t="shared" si="19"/>
        <v>0</v>
      </c>
      <c r="M43" s="16">
        <f t="shared" si="19"/>
        <v>0</v>
      </c>
      <c r="N43" s="16">
        <f t="shared" si="19"/>
        <v>0</v>
      </c>
      <c r="O43" s="16">
        <f t="shared" si="19"/>
        <v>52267.646680684731</v>
      </c>
      <c r="P43" s="16">
        <f t="shared" si="19"/>
        <v>77309.957804764534</v>
      </c>
      <c r="Q43" s="16">
        <f t="shared" si="19"/>
        <v>101644.85562445872</v>
      </c>
      <c r="R43" s="16">
        <f t="shared" si="19"/>
        <v>100229.74693319837</v>
      </c>
      <c r="S43" s="16">
        <f t="shared" si="19"/>
        <v>98834.339510593258</v>
      </c>
      <c r="T43" s="16">
        <f t="shared" si="19"/>
        <v>97458.359073834567</v>
      </c>
      <c r="U43" s="16">
        <f t="shared" si="19"/>
        <v>96101.535158703045</v>
      </c>
      <c r="V43" s="16">
        <f t="shared" si="19"/>
        <v>94763.601066406336</v>
      </c>
      <c r="W43" s="16">
        <f t="shared" si="19"/>
        <v>93444.293811156196</v>
      </c>
      <c r="X43" s="16">
        <f t="shared" si="19"/>
        <v>92143.354068475979</v>
      </c>
      <c r="Y43" s="16">
        <f t="shared" si="19"/>
        <v>90860.526124227254</v>
      </c>
      <c r="Z43" s="16">
        <f t="shared" si="19"/>
        <v>89595.557824346644</v>
      </c>
      <c r="AA43" s="16">
        <f t="shared" si="19"/>
        <v>88348.200525281878</v>
      </c>
      <c r="AB43" s="16">
        <f t="shared" si="19"/>
        <v>87118.209045118332</v>
      </c>
      <c r="AC43" s="16">
        <f t="shared" si="19"/>
        <v>85905.341615385696</v>
      </c>
      <c r="AD43" s="16">
        <f t="shared" si="19"/>
        <v>84709.359833535724</v>
      </c>
      <c r="AE43" s="16">
        <f t="shared" si="19"/>
        <v>83530.028616081661</v>
      </c>
      <c r="AF43" s="16">
        <f t="shared" si="19"/>
        <v>82367.11615238979</v>
      </c>
      <c r="AG43" s="16">
        <f t="shared" si="19"/>
        <v>81220.393859114687</v>
      </c>
      <c r="AH43" s="16">
        <f t="shared" si="19"/>
        <v>80089.636335268442</v>
      </c>
      <c r="AI43" s="16">
        <f t="shared" si="19"/>
        <v>0</v>
      </c>
      <c r="AJ43" s="16">
        <f t="shared" si="19"/>
        <v>0</v>
      </c>
      <c r="AK43" s="16">
        <f t="shared" si="19"/>
        <v>0</v>
      </c>
      <c r="AL43" s="16">
        <f t="shared" si="19"/>
        <v>0</v>
      </c>
      <c r="AM43" s="16">
        <f t="shared" si="19"/>
        <v>0</v>
      </c>
      <c r="AN43" s="16">
        <f t="shared" si="19"/>
        <v>0</v>
      </c>
      <c r="AO43" s="16">
        <f t="shared" si="19"/>
        <v>0</v>
      </c>
      <c r="AP43" s="16">
        <f t="shared" si="19"/>
        <v>0</v>
      </c>
      <c r="AQ43" s="16">
        <f t="shared" si="19"/>
        <v>0</v>
      </c>
      <c r="AR43" s="16">
        <f t="shared" si="19"/>
        <v>0</v>
      </c>
    </row>
    <row r="44" spans="1:44" x14ac:dyDescent="0.2">
      <c r="C44" s="76"/>
      <c r="D44" s="75"/>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83CC-ADBA-43EC-99E9-7C887FC483DF}">
  <sheetPr>
    <tabColor theme="9"/>
  </sheetPr>
  <dimension ref="A1:AS48"/>
  <sheetViews>
    <sheetView workbookViewId="0">
      <pane xSplit="4" ySplit="11" topLeftCell="E12" activePane="bottomRight" state="frozen"/>
      <selection pane="topRight" activeCell="E1" sqref="E1"/>
      <selection pane="bottomLeft" activeCell="A12" sqref="A12"/>
      <selection pane="bottomRight" activeCell="C3" sqref="C3:D3"/>
    </sheetView>
  </sheetViews>
  <sheetFormatPr defaultColWidth="0" defaultRowHeight="14.25" x14ac:dyDescent="0.2"/>
  <cols>
    <col min="1" max="1" width="10.42578125"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305</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177</v>
      </c>
    </row>
    <row r="22" spans="1:44" x14ac:dyDescent="0.2">
      <c r="C22" s="76"/>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ht="15" x14ac:dyDescent="0.25">
      <c r="B23" s="2" t="s">
        <v>184</v>
      </c>
      <c r="C23" s="76"/>
      <c r="D23" s="7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x14ac:dyDescent="0.2">
      <c r="B24" s="1" t="s">
        <v>178</v>
      </c>
      <c r="C24" s="19" t="s">
        <v>179</v>
      </c>
      <c r="D24" s="75">
        <f>Inputs!E162</f>
        <v>10</v>
      </c>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row>
    <row r="25" spans="1:44" x14ac:dyDescent="0.2">
      <c r="B25" s="1" t="s">
        <v>181</v>
      </c>
      <c r="C25" s="19" t="s">
        <v>182</v>
      </c>
      <c r="D25" s="75">
        <f>Inputs!E163</f>
        <v>4</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1:44" x14ac:dyDescent="0.2">
      <c r="B26" s="1" t="s">
        <v>183</v>
      </c>
      <c r="C26" s="19" t="s">
        <v>179</v>
      </c>
      <c r="D26" s="75">
        <f>Inputs!E164</f>
        <v>276</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1:44" x14ac:dyDescent="0.2">
      <c r="B27" s="1" t="s">
        <v>184</v>
      </c>
      <c r="C27" s="19" t="s">
        <v>185</v>
      </c>
      <c r="D27" s="17">
        <f>Inputs!E165</f>
        <v>3.6231884057971016E-2</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x14ac:dyDescent="0.2">
      <c r="B28" s="1" t="s">
        <v>184</v>
      </c>
      <c r="C28" s="19" t="s">
        <v>186</v>
      </c>
      <c r="D28" s="17">
        <f>Inputs!E166</f>
        <v>9.057971014492754E-3</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1:44" x14ac:dyDescent="0.2">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1:44" ht="15" x14ac:dyDescent="0.25">
      <c r="A30" s="2"/>
      <c r="B30" s="2" t="s">
        <v>306</v>
      </c>
      <c r="C30" s="19"/>
      <c r="D30" s="17"/>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row>
    <row r="31" spans="1:44" x14ac:dyDescent="0.2">
      <c r="B31" s="1" t="s">
        <v>187</v>
      </c>
      <c r="C31" s="19" t="s">
        <v>72</v>
      </c>
      <c r="D31" s="75">
        <f>Inputs!E167</f>
        <v>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44" x14ac:dyDescent="0.2">
      <c r="B32" s="1" t="s">
        <v>307</v>
      </c>
      <c r="C32" s="19" t="s">
        <v>72</v>
      </c>
      <c r="D32" s="75">
        <f>Inputs!E168</f>
        <v>187060.86046250002</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1:44" x14ac:dyDescent="0.2">
      <c r="B33" s="1" t="s">
        <v>190</v>
      </c>
      <c r="C33" s="19" t="s">
        <v>104</v>
      </c>
      <c r="D33" s="75">
        <f>Inputs!E169</f>
        <v>187060.86046250002</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ht="15" x14ac:dyDescent="0.25">
      <c r="A34" s="2"/>
      <c r="B34" s="1" t="s">
        <v>190</v>
      </c>
      <c r="C34" s="19" t="s">
        <v>308</v>
      </c>
      <c r="D34" s="75">
        <f>SUM(F34:AR34)</f>
        <v>66081.282228600525</v>
      </c>
      <c r="F34" s="16">
        <f>$D$28*$D$33</f>
        <v>1694.3918520153989</v>
      </c>
      <c r="G34" s="16">
        <f t="shared" ref="G34:AR34" si="13">$D$28*$D$33</f>
        <v>1694.3918520153989</v>
      </c>
      <c r="H34" s="16">
        <f t="shared" si="13"/>
        <v>1694.3918520153989</v>
      </c>
      <c r="I34" s="16">
        <f t="shared" si="13"/>
        <v>1694.3918520153989</v>
      </c>
      <c r="J34" s="16">
        <f t="shared" si="13"/>
        <v>1694.3918520153989</v>
      </c>
      <c r="K34" s="16">
        <f t="shared" si="13"/>
        <v>1694.3918520153989</v>
      </c>
      <c r="L34" s="16">
        <f t="shared" si="13"/>
        <v>1694.3918520153989</v>
      </c>
      <c r="M34" s="16">
        <f t="shared" si="13"/>
        <v>1694.3918520153989</v>
      </c>
      <c r="N34" s="16">
        <f t="shared" si="13"/>
        <v>1694.3918520153989</v>
      </c>
      <c r="O34" s="16">
        <f t="shared" si="13"/>
        <v>1694.3918520153989</v>
      </c>
      <c r="P34" s="16">
        <f t="shared" si="13"/>
        <v>1694.3918520153989</v>
      </c>
      <c r="Q34" s="16">
        <f t="shared" si="13"/>
        <v>1694.3918520153989</v>
      </c>
      <c r="R34" s="16">
        <f t="shared" si="13"/>
        <v>1694.3918520153989</v>
      </c>
      <c r="S34" s="16">
        <f t="shared" si="13"/>
        <v>1694.3918520153989</v>
      </c>
      <c r="T34" s="16">
        <f t="shared" si="13"/>
        <v>1694.3918520153989</v>
      </c>
      <c r="U34" s="16">
        <f t="shared" si="13"/>
        <v>1694.3918520153989</v>
      </c>
      <c r="V34" s="16">
        <f t="shared" si="13"/>
        <v>1694.3918520153989</v>
      </c>
      <c r="W34" s="16">
        <f t="shared" si="13"/>
        <v>1694.3918520153989</v>
      </c>
      <c r="X34" s="16">
        <f t="shared" si="13"/>
        <v>1694.3918520153989</v>
      </c>
      <c r="Y34" s="16">
        <f t="shared" si="13"/>
        <v>1694.3918520153989</v>
      </c>
      <c r="Z34" s="16">
        <f t="shared" si="13"/>
        <v>1694.3918520153989</v>
      </c>
      <c r="AA34" s="16">
        <f t="shared" si="13"/>
        <v>1694.3918520153989</v>
      </c>
      <c r="AB34" s="16">
        <f t="shared" si="13"/>
        <v>1694.3918520153989</v>
      </c>
      <c r="AC34" s="16">
        <f t="shared" si="13"/>
        <v>1694.3918520153989</v>
      </c>
      <c r="AD34" s="16">
        <f t="shared" si="13"/>
        <v>1694.3918520153989</v>
      </c>
      <c r="AE34" s="16">
        <f t="shared" si="13"/>
        <v>1694.3918520153989</v>
      </c>
      <c r="AF34" s="16">
        <f t="shared" si="13"/>
        <v>1694.3918520153989</v>
      </c>
      <c r="AG34" s="16">
        <f t="shared" si="13"/>
        <v>1694.3918520153989</v>
      </c>
      <c r="AH34" s="16">
        <f t="shared" si="13"/>
        <v>1694.3918520153989</v>
      </c>
      <c r="AI34" s="16">
        <f t="shared" si="13"/>
        <v>1694.3918520153989</v>
      </c>
      <c r="AJ34" s="16">
        <f t="shared" si="13"/>
        <v>1694.3918520153989</v>
      </c>
      <c r="AK34" s="16">
        <f t="shared" si="13"/>
        <v>1694.3918520153989</v>
      </c>
      <c r="AL34" s="16">
        <f t="shared" si="13"/>
        <v>1694.3918520153989</v>
      </c>
      <c r="AM34" s="16">
        <f t="shared" si="13"/>
        <v>1694.3918520153989</v>
      </c>
      <c r="AN34" s="16">
        <f t="shared" si="13"/>
        <v>1694.3918520153989</v>
      </c>
      <c r="AO34" s="16">
        <f t="shared" si="13"/>
        <v>1694.3918520153989</v>
      </c>
      <c r="AP34" s="16">
        <f t="shared" si="13"/>
        <v>1694.3918520153989</v>
      </c>
      <c r="AQ34" s="16">
        <f t="shared" si="13"/>
        <v>1694.3918520153989</v>
      </c>
      <c r="AR34" s="16">
        <f t="shared" si="13"/>
        <v>1694.3918520153989</v>
      </c>
    </row>
    <row r="35" spans="1:44" x14ac:dyDescent="0.2">
      <c r="C35" s="76"/>
      <c r="D35" s="7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ht="15" x14ac:dyDescent="0.25">
      <c r="A36" s="2" t="s">
        <v>261</v>
      </c>
      <c r="C36" s="76"/>
      <c r="D36" s="7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1:44" x14ac:dyDescent="0.2">
      <c r="B37" s="1" t="s">
        <v>262</v>
      </c>
      <c r="C37" s="19" t="s">
        <v>252</v>
      </c>
      <c r="D37" s="75">
        <f>SUM(F37:AR37)</f>
        <v>66081.282228600525</v>
      </c>
      <c r="F37" s="16">
        <f t="shared" ref="F37" si="14">F34</f>
        <v>1694.3918520153989</v>
      </c>
      <c r="G37" s="16">
        <f>G34</f>
        <v>1694.3918520153989</v>
      </c>
      <c r="H37" s="16">
        <f t="shared" ref="H37:AR37" si="15">H34</f>
        <v>1694.3918520153989</v>
      </c>
      <c r="I37" s="16">
        <f t="shared" si="15"/>
        <v>1694.3918520153989</v>
      </c>
      <c r="J37" s="16">
        <f t="shared" si="15"/>
        <v>1694.3918520153989</v>
      </c>
      <c r="K37" s="16">
        <f t="shared" si="15"/>
        <v>1694.3918520153989</v>
      </c>
      <c r="L37" s="16">
        <f t="shared" si="15"/>
        <v>1694.3918520153989</v>
      </c>
      <c r="M37" s="16">
        <f t="shared" si="15"/>
        <v>1694.3918520153989</v>
      </c>
      <c r="N37" s="16">
        <f t="shared" si="15"/>
        <v>1694.3918520153989</v>
      </c>
      <c r="O37" s="16">
        <f t="shared" si="15"/>
        <v>1694.3918520153989</v>
      </c>
      <c r="P37" s="16">
        <f t="shared" si="15"/>
        <v>1694.3918520153989</v>
      </c>
      <c r="Q37" s="16">
        <f t="shared" si="15"/>
        <v>1694.3918520153989</v>
      </c>
      <c r="R37" s="16">
        <f t="shared" si="15"/>
        <v>1694.3918520153989</v>
      </c>
      <c r="S37" s="16">
        <f t="shared" si="15"/>
        <v>1694.3918520153989</v>
      </c>
      <c r="T37" s="16">
        <f t="shared" si="15"/>
        <v>1694.3918520153989</v>
      </c>
      <c r="U37" s="16">
        <f t="shared" si="15"/>
        <v>1694.3918520153989</v>
      </c>
      <c r="V37" s="16">
        <f t="shared" si="15"/>
        <v>1694.3918520153989</v>
      </c>
      <c r="W37" s="16">
        <f t="shared" si="15"/>
        <v>1694.3918520153989</v>
      </c>
      <c r="X37" s="16">
        <f t="shared" si="15"/>
        <v>1694.3918520153989</v>
      </c>
      <c r="Y37" s="16">
        <f t="shared" si="15"/>
        <v>1694.3918520153989</v>
      </c>
      <c r="Z37" s="16">
        <f t="shared" si="15"/>
        <v>1694.3918520153989</v>
      </c>
      <c r="AA37" s="16">
        <f t="shared" si="15"/>
        <v>1694.3918520153989</v>
      </c>
      <c r="AB37" s="16">
        <f t="shared" si="15"/>
        <v>1694.3918520153989</v>
      </c>
      <c r="AC37" s="16">
        <f t="shared" si="15"/>
        <v>1694.3918520153989</v>
      </c>
      <c r="AD37" s="16">
        <f t="shared" si="15"/>
        <v>1694.3918520153989</v>
      </c>
      <c r="AE37" s="16">
        <f t="shared" si="15"/>
        <v>1694.3918520153989</v>
      </c>
      <c r="AF37" s="16">
        <f t="shared" si="15"/>
        <v>1694.3918520153989</v>
      </c>
      <c r="AG37" s="16">
        <f t="shared" si="15"/>
        <v>1694.3918520153989</v>
      </c>
      <c r="AH37" s="16">
        <f t="shared" si="15"/>
        <v>1694.3918520153989</v>
      </c>
      <c r="AI37" s="16">
        <f t="shared" si="15"/>
        <v>1694.3918520153989</v>
      </c>
      <c r="AJ37" s="16">
        <f t="shared" si="15"/>
        <v>1694.3918520153989</v>
      </c>
      <c r="AK37" s="16">
        <f t="shared" si="15"/>
        <v>1694.3918520153989</v>
      </c>
      <c r="AL37" s="16">
        <f t="shared" si="15"/>
        <v>1694.3918520153989</v>
      </c>
      <c r="AM37" s="16">
        <f t="shared" si="15"/>
        <v>1694.3918520153989</v>
      </c>
      <c r="AN37" s="16">
        <f t="shared" si="15"/>
        <v>1694.3918520153989</v>
      </c>
      <c r="AO37" s="16">
        <f t="shared" si="15"/>
        <v>1694.3918520153989</v>
      </c>
      <c r="AP37" s="16">
        <f t="shared" si="15"/>
        <v>1694.3918520153989</v>
      </c>
      <c r="AQ37" s="16">
        <f t="shared" si="15"/>
        <v>1694.3918520153989</v>
      </c>
      <c r="AR37" s="16">
        <f t="shared" si="15"/>
        <v>1694.3918520153989</v>
      </c>
    </row>
    <row r="38" spans="1:44" x14ac:dyDescent="0.2">
      <c r="C38" s="12"/>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row>
    <row r="39" spans="1:44" s="9" customFormat="1" x14ac:dyDescent="0.2">
      <c r="A39" s="8" t="s">
        <v>211</v>
      </c>
      <c r="B39" s="13"/>
      <c r="C39" s="13"/>
    </row>
    <row r="40" spans="1:44" ht="15" x14ac:dyDescent="0.25">
      <c r="A40" s="2" t="s">
        <v>177</v>
      </c>
    </row>
    <row r="41" spans="1:44" x14ac:dyDescent="0.2">
      <c r="B41" s="1" t="s">
        <v>190</v>
      </c>
      <c r="C41" s="19" t="s">
        <v>308</v>
      </c>
      <c r="D41" s="75">
        <f>SUM(F41:AR41)</f>
        <v>0</v>
      </c>
      <c r="F41" s="16">
        <v>0</v>
      </c>
      <c r="G41" s="16">
        <v>0</v>
      </c>
      <c r="H41" s="16">
        <v>0</v>
      </c>
      <c r="I41" s="16">
        <v>0</v>
      </c>
      <c r="J41" s="16">
        <v>0</v>
      </c>
      <c r="K41" s="16">
        <v>0</v>
      </c>
      <c r="L41" s="16">
        <v>0</v>
      </c>
      <c r="M41" s="16">
        <v>0</v>
      </c>
      <c r="N41" s="16">
        <v>0</v>
      </c>
      <c r="O41" s="16">
        <v>0</v>
      </c>
      <c r="P41" s="16">
        <v>0</v>
      </c>
      <c r="Q41" s="16">
        <v>0</v>
      </c>
      <c r="R41" s="16">
        <v>0</v>
      </c>
      <c r="S41" s="16">
        <v>0</v>
      </c>
      <c r="T41" s="16">
        <v>0</v>
      </c>
      <c r="U41" s="16">
        <v>0</v>
      </c>
      <c r="V41" s="16">
        <v>0</v>
      </c>
      <c r="W41" s="16">
        <v>0</v>
      </c>
      <c r="X41" s="16">
        <v>0</v>
      </c>
      <c r="Y41" s="16">
        <v>0</v>
      </c>
      <c r="Z41" s="16">
        <v>0</v>
      </c>
      <c r="AA41" s="16">
        <v>0</v>
      </c>
      <c r="AB41" s="16">
        <v>0</v>
      </c>
      <c r="AC41" s="16">
        <v>0</v>
      </c>
      <c r="AD41" s="16">
        <v>0</v>
      </c>
      <c r="AE41" s="16">
        <v>0</v>
      </c>
      <c r="AF41" s="16">
        <v>0</v>
      </c>
      <c r="AG41" s="16">
        <v>0</v>
      </c>
      <c r="AH41" s="16">
        <v>0</v>
      </c>
      <c r="AI41" s="16">
        <v>0</v>
      </c>
      <c r="AJ41" s="16">
        <v>0</v>
      </c>
      <c r="AK41" s="16">
        <v>0</v>
      </c>
      <c r="AL41" s="16">
        <v>0</v>
      </c>
      <c r="AM41" s="16">
        <v>0</v>
      </c>
      <c r="AN41" s="16">
        <v>0</v>
      </c>
      <c r="AO41" s="16">
        <v>0</v>
      </c>
      <c r="AP41" s="16">
        <v>0</v>
      </c>
      <c r="AQ41" s="16">
        <v>0</v>
      </c>
      <c r="AR41" s="16">
        <v>0</v>
      </c>
    </row>
    <row r="42" spans="1:44" x14ac:dyDescent="0.2">
      <c r="C42" s="76"/>
      <c r="D42" s="75"/>
    </row>
    <row r="43" spans="1:44" s="9" customFormat="1" x14ac:dyDescent="0.2">
      <c r="A43" s="8" t="s">
        <v>238</v>
      </c>
      <c r="B43" s="8"/>
      <c r="C43" s="13"/>
    </row>
    <row r="44" spans="1:44" ht="15" x14ac:dyDescent="0.25">
      <c r="A44" s="2" t="s">
        <v>239</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1:44" x14ac:dyDescent="0.2">
      <c r="B45" s="1" t="s">
        <v>209</v>
      </c>
      <c r="C45" s="76" t="s">
        <v>72</v>
      </c>
      <c r="D45" s="75">
        <f>SUM(F45:AR45)</f>
        <v>33887.83704030799</v>
      </c>
      <c r="F45" s="16">
        <f>(F$37-F$41)*F$11*F15</f>
        <v>0</v>
      </c>
      <c r="G45" s="16">
        <f t="shared" ref="G45:AR45" si="16">(G$37-G$41)*G$11*G15</f>
        <v>0</v>
      </c>
      <c r="H45" s="16">
        <f t="shared" si="16"/>
        <v>0</v>
      </c>
      <c r="I45" s="16">
        <f t="shared" si="16"/>
        <v>0</v>
      </c>
      <c r="J45" s="16">
        <f t="shared" si="16"/>
        <v>0</v>
      </c>
      <c r="K45" s="16">
        <f t="shared" si="16"/>
        <v>0</v>
      </c>
      <c r="L45" s="16">
        <f t="shared" si="16"/>
        <v>0</v>
      </c>
      <c r="M45" s="16">
        <f t="shared" si="16"/>
        <v>0</v>
      </c>
      <c r="N45" s="16">
        <f t="shared" si="16"/>
        <v>0</v>
      </c>
      <c r="O45" s="16">
        <f t="shared" si="16"/>
        <v>1694.3918520153989</v>
      </c>
      <c r="P45" s="16">
        <f t="shared" si="16"/>
        <v>1694.3918520153989</v>
      </c>
      <c r="Q45" s="16">
        <f t="shared" si="16"/>
        <v>1694.3918520153989</v>
      </c>
      <c r="R45" s="16">
        <f t="shared" si="16"/>
        <v>1694.3918520153989</v>
      </c>
      <c r="S45" s="16">
        <f t="shared" si="16"/>
        <v>1694.3918520153989</v>
      </c>
      <c r="T45" s="16">
        <f t="shared" si="16"/>
        <v>1694.3918520153989</v>
      </c>
      <c r="U45" s="16">
        <f t="shared" si="16"/>
        <v>1694.3918520153989</v>
      </c>
      <c r="V45" s="16">
        <f t="shared" si="16"/>
        <v>1694.3918520153989</v>
      </c>
      <c r="W45" s="16">
        <f t="shared" si="16"/>
        <v>1694.3918520153989</v>
      </c>
      <c r="X45" s="16">
        <f t="shared" si="16"/>
        <v>1694.3918520153989</v>
      </c>
      <c r="Y45" s="16">
        <f t="shared" si="16"/>
        <v>1694.3918520153989</v>
      </c>
      <c r="Z45" s="16">
        <f t="shared" si="16"/>
        <v>1694.3918520153989</v>
      </c>
      <c r="AA45" s="16">
        <f t="shared" si="16"/>
        <v>1694.3918520153989</v>
      </c>
      <c r="AB45" s="16">
        <f t="shared" si="16"/>
        <v>1694.3918520153989</v>
      </c>
      <c r="AC45" s="16">
        <f t="shared" si="16"/>
        <v>1694.3918520153989</v>
      </c>
      <c r="AD45" s="16">
        <f t="shared" si="16"/>
        <v>1694.3918520153989</v>
      </c>
      <c r="AE45" s="16">
        <f t="shared" si="16"/>
        <v>1694.3918520153989</v>
      </c>
      <c r="AF45" s="16">
        <f t="shared" si="16"/>
        <v>1694.3918520153989</v>
      </c>
      <c r="AG45" s="16">
        <f t="shared" si="16"/>
        <v>1694.3918520153989</v>
      </c>
      <c r="AH45" s="16">
        <f t="shared" si="16"/>
        <v>1694.3918520153989</v>
      </c>
      <c r="AI45" s="16">
        <f t="shared" si="16"/>
        <v>0</v>
      </c>
      <c r="AJ45" s="16">
        <f t="shared" si="16"/>
        <v>0</v>
      </c>
      <c r="AK45" s="16">
        <f t="shared" si="16"/>
        <v>0</v>
      </c>
      <c r="AL45" s="16">
        <f t="shared" si="16"/>
        <v>0</v>
      </c>
      <c r="AM45" s="16">
        <f t="shared" si="16"/>
        <v>0</v>
      </c>
      <c r="AN45" s="16">
        <f t="shared" si="16"/>
        <v>0</v>
      </c>
      <c r="AO45" s="16">
        <f t="shared" si="16"/>
        <v>0</v>
      </c>
      <c r="AP45" s="16">
        <f t="shared" si="16"/>
        <v>0</v>
      </c>
      <c r="AQ45" s="16">
        <f t="shared" si="16"/>
        <v>0</v>
      </c>
      <c r="AR45" s="16">
        <f t="shared" si="16"/>
        <v>0</v>
      </c>
    </row>
    <row r="46" spans="1:44" x14ac:dyDescent="0.2">
      <c r="B46" s="1" t="str">
        <f>Inputs!$C$30</f>
        <v>2% Discount Factor</v>
      </c>
      <c r="C46" s="76" t="s">
        <v>72</v>
      </c>
      <c r="D46" s="75">
        <f>SUM(F46:AR46)</f>
        <v>25093.93818600745</v>
      </c>
      <c r="F46" s="16">
        <f t="shared" ref="F46:AR46" si="17">(F$37-F$41)*F$11*F16</f>
        <v>0</v>
      </c>
      <c r="G46" s="16">
        <f t="shared" si="17"/>
        <v>0</v>
      </c>
      <c r="H46" s="16">
        <f t="shared" si="17"/>
        <v>0</v>
      </c>
      <c r="I46" s="16">
        <f t="shared" si="17"/>
        <v>0</v>
      </c>
      <c r="J46" s="16">
        <f t="shared" si="17"/>
        <v>0</v>
      </c>
      <c r="K46" s="16">
        <f t="shared" si="17"/>
        <v>0</v>
      </c>
      <c r="L46" s="16">
        <f t="shared" si="17"/>
        <v>0</v>
      </c>
      <c r="M46" s="16">
        <f t="shared" si="17"/>
        <v>0</v>
      </c>
      <c r="N46" s="16">
        <f t="shared" si="17"/>
        <v>0</v>
      </c>
      <c r="O46" s="16">
        <f t="shared" si="17"/>
        <v>1504.5714747991353</v>
      </c>
      <c r="P46" s="16">
        <f t="shared" si="17"/>
        <v>1475.0700733324859</v>
      </c>
      <c r="Q46" s="16">
        <f t="shared" si="17"/>
        <v>1446.1471307181234</v>
      </c>
      <c r="R46" s="16">
        <f t="shared" si="17"/>
        <v>1417.7913046256112</v>
      </c>
      <c r="S46" s="16">
        <f t="shared" si="17"/>
        <v>1389.9914751231483</v>
      </c>
      <c r="T46" s="16">
        <f t="shared" si="17"/>
        <v>1362.7367403168123</v>
      </c>
      <c r="U46" s="16">
        <f t="shared" si="17"/>
        <v>1336.0164120753059</v>
      </c>
      <c r="V46" s="16">
        <f t="shared" si="17"/>
        <v>1309.8200118385353</v>
      </c>
      <c r="W46" s="16">
        <f t="shared" si="17"/>
        <v>1284.1372665083677</v>
      </c>
      <c r="X46" s="16">
        <f t="shared" si="17"/>
        <v>1258.9581044199685</v>
      </c>
      <c r="Y46" s="16">
        <f t="shared" si="17"/>
        <v>1234.2726513921259</v>
      </c>
      <c r="Z46" s="16">
        <f t="shared" si="17"/>
        <v>1210.0712268550253</v>
      </c>
      <c r="AA46" s="16">
        <f t="shared" si="17"/>
        <v>1186.3443400539466</v>
      </c>
      <c r="AB46" s="16">
        <f t="shared" si="17"/>
        <v>1163.0826863273987</v>
      </c>
      <c r="AC46" s="16">
        <f t="shared" si="17"/>
        <v>1140.2771434582339</v>
      </c>
      <c r="AD46" s="16">
        <f t="shared" si="17"/>
        <v>1117.9187680963078</v>
      </c>
      <c r="AE46" s="16">
        <f t="shared" si="17"/>
        <v>1095.9987922512821</v>
      </c>
      <c r="AF46" s="16">
        <f t="shared" si="17"/>
        <v>1074.5086198541983</v>
      </c>
      <c r="AG46" s="16">
        <f t="shared" si="17"/>
        <v>1053.4398233864688</v>
      </c>
      <c r="AH46" s="16">
        <f t="shared" si="17"/>
        <v>1032.7841405749696</v>
      </c>
      <c r="AI46" s="16">
        <f t="shared" si="17"/>
        <v>0</v>
      </c>
      <c r="AJ46" s="16">
        <f t="shared" si="17"/>
        <v>0</v>
      </c>
      <c r="AK46" s="16">
        <f t="shared" si="17"/>
        <v>0</v>
      </c>
      <c r="AL46" s="16">
        <f t="shared" si="17"/>
        <v>0</v>
      </c>
      <c r="AM46" s="16">
        <f t="shared" si="17"/>
        <v>0</v>
      </c>
      <c r="AN46" s="16">
        <f t="shared" si="17"/>
        <v>0</v>
      </c>
      <c r="AO46" s="16">
        <f t="shared" si="17"/>
        <v>0</v>
      </c>
      <c r="AP46" s="16">
        <f t="shared" si="17"/>
        <v>0</v>
      </c>
      <c r="AQ46" s="16">
        <f t="shared" si="17"/>
        <v>0</v>
      </c>
      <c r="AR46" s="16">
        <f t="shared" si="17"/>
        <v>0</v>
      </c>
    </row>
    <row r="47" spans="1:44" x14ac:dyDescent="0.2">
      <c r="B47" s="1" t="str">
        <f>Inputs!$C$31</f>
        <v>3.1% Discount Factor</v>
      </c>
      <c r="C47" s="76" t="s">
        <v>72</v>
      </c>
      <c r="D47" s="75">
        <f>SUM(F47:AR47)</f>
        <v>21440.904959613756</v>
      </c>
      <c r="F47" s="16">
        <f t="shared" ref="F47:AR47" si="18">(F$37-F$41)*F$11*F17</f>
        <v>0</v>
      </c>
      <c r="G47" s="16">
        <f t="shared" si="18"/>
        <v>0</v>
      </c>
      <c r="H47" s="16">
        <f t="shared" si="18"/>
        <v>0</v>
      </c>
      <c r="I47" s="16">
        <f t="shared" si="18"/>
        <v>0</v>
      </c>
      <c r="J47" s="16">
        <f t="shared" si="18"/>
        <v>0</v>
      </c>
      <c r="K47" s="16">
        <f t="shared" si="18"/>
        <v>0</v>
      </c>
      <c r="L47" s="16">
        <f t="shared" si="18"/>
        <v>0</v>
      </c>
      <c r="M47" s="16">
        <f t="shared" si="18"/>
        <v>0</v>
      </c>
      <c r="N47" s="16">
        <f t="shared" si="18"/>
        <v>0</v>
      </c>
      <c r="O47" s="16">
        <f t="shared" si="18"/>
        <v>1410.7883433018201</v>
      </c>
      <c r="P47" s="16">
        <f t="shared" si="18"/>
        <v>1368.3689071792633</v>
      </c>
      <c r="Q47" s="16">
        <f t="shared" si="18"/>
        <v>1327.22493421849</v>
      </c>
      <c r="R47" s="16">
        <f t="shared" si="18"/>
        <v>1287.3180739267607</v>
      </c>
      <c r="S47" s="16">
        <f t="shared" si="18"/>
        <v>1248.6111289299326</v>
      </c>
      <c r="T47" s="16">
        <f t="shared" si="18"/>
        <v>1211.0680203006139</v>
      </c>
      <c r="U47" s="16">
        <f t="shared" si="18"/>
        <v>1174.6537539288204</v>
      </c>
      <c r="V47" s="16">
        <f t="shared" si="18"/>
        <v>1139.3343879038025</v>
      </c>
      <c r="W47" s="16">
        <f t="shared" si="18"/>
        <v>1105.0770008766274</v>
      </c>
      <c r="X47" s="16">
        <f t="shared" si="18"/>
        <v>1071.8496613740324</v>
      </c>
      <c r="Y47" s="16">
        <f t="shared" si="18"/>
        <v>1039.6213980349489</v>
      </c>
      <c r="Z47" s="16">
        <f t="shared" si="18"/>
        <v>1008.3621707419484</v>
      </c>
      <c r="AA47" s="16">
        <f t="shared" si="18"/>
        <v>978.04284262070667</v>
      </c>
      <c r="AB47" s="16">
        <f t="shared" si="18"/>
        <v>948.63515288138387</v>
      </c>
      <c r="AC47" s="16">
        <f t="shared" si="18"/>
        <v>920.11169047660906</v>
      </c>
      <c r="AD47" s="16">
        <f t="shared" si="18"/>
        <v>892.44586855151215</v>
      </c>
      <c r="AE47" s="16">
        <f t="shared" si="18"/>
        <v>865.61189966199061</v>
      </c>
      <c r="AF47" s="16">
        <f t="shared" si="18"/>
        <v>839.58477173810911</v>
      </c>
      <c r="AG47" s="16">
        <f t="shared" si="18"/>
        <v>814.34022477023211</v>
      </c>
      <c r="AH47" s="16">
        <f t="shared" si="18"/>
        <v>789.85472819615143</v>
      </c>
      <c r="AI47" s="16">
        <f t="shared" si="18"/>
        <v>0</v>
      </c>
      <c r="AJ47" s="16">
        <f t="shared" si="18"/>
        <v>0</v>
      </c>
      <c r="AK47" s="16">
        <f t="shared" si="18"/>
        <v>0</v>
      </c>
      <c r="AL47" s="16">
        <f t="shared" si="18"/>
        <v>0</v>
      </c>
      <c r="AM47" s="16">
        <f t="shared" si="18"/>
        <v>0</v>
      </c>
      <c r="AN47" s="16">
        <f t="shared" si="18"/>
        <v>0</v>
      </c>
      <c r="AO47" s="16">
        <f t="shared" si="18"/>
        <v>0</v>
      </c>
      <c r="AP47" s="16">
        <f t="shared" si="18"/>
        <v>0</v>
      </c>
      <c r="AQ47" s="16">
        <f t="shared" si="18"/>
        <v>0</v>
      </c>
      <c r="AR47" s="16">
        <f t="shared" si="18"/>
        <v>0</v>
      </c>
    </row>
    <row r="48" spans="1:44" x14ac:dyDescent="0.2">
      <c r="C48" s="76"/>
      <c r="D48" s="7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77F-C55F-40E8-9639-AAA7A25FE009}">
  <sheetPr>
    <tabColor theme="9"/>
  </sheetPr>
  <dimension ref="A1:AS57"/>
  <sheetViews>
    <sheetView workbookViewId="0">
      <pane xSplit="4" ySplit="11" topLeftCell="Z12" activePane="bottomRight" state="frozen"/>
      <selection pane="topRight" activeCell="E1" sqref="E1"/>
      <selection pane="bottomLeft" activeCell="A12" sqref="A12"/>
      <selection pane="bottomRight" activeCell="C3" sqref="C3:D3"/>
    </sheetView>
  </sheetViews>
  <sheetFormatPr defaultColWidth="0" defaultRowHeight="14.25" x14ac:dyDescent="0.2"/>
  <cols>
    <col min="1" max="1" width="11" style="1" customWidth="1"/>
    <col min="2" max="2" width="32.5703125" style="1" bestFit="1" customWidth="1"/>
    <col min="3" max="3" width="15.42578125" style="1" bestFit="1" customWidth="1"/>
    <col min="4" max="4" width="15.7109375" style="1" bestFit="1" customWidth="1"/>
    <col min="5" max="5" width="1.5703125" style="1" customWidth="1"/>
    <col min="6" max="33" width="14.42578125" style="1" customWidth="1"/>
    <col min="34" max="34" width="15.7109375" style="1" bestFit="1" customWidth="1"/>
    <col min="35"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309</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hidden="1"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hidden="1"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hidden="1" x14ac:dyDescent="0.2">
      <c r="B10" s="1" t="s">
        <v>196</v>
      </c>
      <c r="C10" s="19" t="s">
        <v>51</v>
      </c>
      <c r="F10" s="1">
        <f t="shared" ref="F10:I10" si="4">F7-$I$7+1</f>
        <v>-2</v>
      </c>
      <c r="G10" s="1">
        <f t="shared" si="4"/>
        <v>-1</v>
      </c>
      <c r="H10" s="1">
        <f t="shared" si="4"/>
        <v>0</v>
      </c>
      <c r="I10" s="1">
        <f t="shared" si="4"/>
        <v>1</v>
      </c>
      <c r="J10" s="1">
        <f>J7-$I$7+1</f>
        <v>2</v>
      </c>
      <c r="K10" s="1">
        <f t="shared" ref="K10:AR10" si="5">K7-$I$7+1</f>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hidden="1"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H16" si="9">MIN(1,IF(F10=0,1,1/(1+$D16)^(F$10-1)))</f>
        <v>1</v>
      </c>
      <c r="G16" s="3">
        <f t="shared" si="9"/>
        <v>1</v>
      </c>
      <c r="H16" s="3">
        <f t="shared" si="9"/>
        <v>1</v>
      </c>
      <c r="I16" s="3">
        <f>MIN(1,IF(I10=0,1,1/(1+$D16)^(I$10-1)))</f>
        <v>1</v>
      </c>
      <c r="J16" s="3">
        <f t="shared" ref="J16:AR16" si="10">MIN(1,IF(J10=0,1,1/(1+$D16)^(J$10-1)))</f>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209</v>
      </c>
    </row>
    <row r="22" spans="1:44" x14ac:dyDescent="0.2">
      <c r="B22" s="58" t="s">
        <v>16</v>
      </c>
      <c r="C22" s="84" t="s">
        <v>72</v>
      </c>
      <c r="D22" s="85">
        <f>SUM(F22:AR22)</f>
        <v>0</v>
      </c>
      <c r="E22" s="58"/>
      <c r="F22" s="86">
        <f>IF(F7=Inputs!$E$26,Inputs!$E$40,0)</f>
        <v>0</v>
      </c>
      <c r="G22" s="86">
        <f>IF(G7=Inputs!$E$26,Inputs!$E$40,0)</f>
        <v>0</v>
      </c>
      <c r="H22" s="86">
        <f>IF(H7=Inputs!$E$26,Inputs!$E$40,0)</f>
        <v>0</v>
      </c>
      <c r="I22" s="86">
        <f>IF(I7=Inputs!$E$26,Inputs!$E$40,0)</f>
        <v>0</v>
      </c>
      <c r="J22" s="86">
        <f>IF(J7=Inputs!$E$26,Inputs!$E$40,0)</f>
        <v>0</v>
      </c>
      <c r="K22" s="86">
        <f>IF(K7=Inputs!$E$26,Inputs!$E$40,0)</f>
        <v>0</v>
      </c>
      <c r="L22" s="86">
        <f>IF(L7=Inputs!$E$26,Inputs!$E$40,0)</f>
        <v>0</v>
      </c>
      <c r="M22" s="86">
        <f>IF(M7=Inputs!$E$26,Inputs!$E$40,0)</f>
        <v>0</v>
      </c>
      <c r="N22" s="86">
        <f>IF(N7=Inputs!$E$26,Inputs!$E$40,0)</f>
        <v>0</v>
      </c>
      <c r="O22" s="86">
        <f>IF(O7=Inputs!$E$26,Inputs!$E$40,0)</f>
        <v>0</v>
      </c>
      <c r="P22" s="86">
        <f>IF(P7=Inputs!$E$26,Inputs!$E$40,0)</f>
        <v>0</v>
      </c>
      <c r="Q22" s="86">
        <f>IF(Q7=Inputs!$E$26,Inputs!$E$40,0)</f>
        <v>0</v>
      </c>
      <c r="R22" s="86">
        <f>IF(R7=Inputs!$E$26,Inputs!$E$40,0)</f>
        <v>0</v>
      </c>
      <c r="S22" s="86">
        <f>IF(S7=Inputs!$E$26,Inputs!$E$40,0)</f>
        <v>0</v>
      </c>
      <c r="T22" s="86">
        <f>IF(T7=Inputs!$E$26,Inputs!$E$40,0)</f>
        <v>0</v>
      </c>
      <c r="U22" s="86">
        <f>IF(U7=Inputs!$E$26,Inputs!$E$40,0)</f>
        <v>0</v>
      </c>
      <c r="V22" s="86">
        <f>IF(V7=Inputs!$E$26,Inputs!$E$40,0)</f>
        <v>0</v>
      </c>
      <c r="W22" s="86">
        <f>IF(W7=Inputs!$E$26,Inputs!$E$40,0)</f>
        <v>0</v>
      </c>
      <c r="X22" s="86">
        <f>IF(X7=Inputs!$E$26,Inputs!$E$40,0)</f>
        <v>0</v>
      </c>
      <c r="Y22" s="86">
        <f>IF(Y7=Inputs!$E$26,Inputs!$E$40,0)</f>
        <v>0</v>
      </c>
      <c r="Z22" s="86">
        <f>IF(Z7=Inputs!$E$26,Inputs!$E$40,0)</f>
        <v>0</v>
      </c>
      <c r="AA22" s="86">
        <f>IF(AA7=Inputs!$E$26,Inputs!$E$40,0)</f>
        <v>0</v>
      </c>
      <c r="AB22" s="86">
        <f>IF(AB7=Inputs!$E$26,Inputs!$E$40,0)</f>
        <v>0</v>
      </c>
      <c r="AC22" s="86">
        <f>IF(AC7=Inputs!$E$26,Inputs!$E$40,0)</f>
        <v>0</v>
      </c>
      <c r="AD22" s="86">
        <f>IF(AD7=Inputs!$E$26,Inputs!$E$40,0)</f>
        <v>0</v>
      </c>
      <c r="AE22" s="86">
        <f>IF(AE7=Inputs!$E$26,Inputs!$E$40,0)</f>
        <v>0</v>
      </c>
      <c r="AF22" s="86">
        <f>IF(AF7=Inputs!$E$26,Inputs!$E$40,0)</f>
        <v>0</v>
      </c>
      <c r="AG22" s="86">
        <f>IF(AG7=Inputs!$E$26,Inputs!$E$40,0)</f>
        <v>0</v>
      </c>
      <c r="AH22" s="86">
        <f>IF(AH7=Inputs!$E$26,Inputs!$E$40,0)</f>
        <v>0</v>
      </c>
      <c r="AI22" s="86">
        <f>IF(AI7=Inputs!$E$26,Inputs!$E$40,0)</f>
        <v>0</v>
      </c>
      <c r="AJ22" s="86">
        <f>IF(AJ7=Inputs!$E$26,Inputs!$E$40,0)</f>
        <v>0</v>
      </c>
      <c r="AK22" s="86">
        <f>IF(AK7=Inputs!$E$26,Inputs!$E$40,0)</f>
        <v>0</v>
      </c>
      <c r="AL22" s="86">
        <f>IF(AL7=Inputs!$E$26,Inputs!$E$40,0)</f>
        <v>0</v>
      </c>
      <c r="AM22" s="86">
        <f>IF(AM7=Inputs!$E$26,Inputs!$E$40,0)</f>
        <v>0</v>
      </c>
      <c r="AN22" s="86">
        <f>IF(AN7=Inputs!$E$26,Inputs!$E$40,0)</f>
        <v>0</v>
      </c>
      <c r="AO22" s="86">
        <f>IF(AO7=Inputs!$E$26,Inputs!$E$40,0)</f>
        <v>0</v>
      </c>
      <c r="AP22" s="86">
        <f>IF(AP7=Inputs!$E$26,Inputs!$E$40,0)</f>
        <v>0</v>
      </c>
      <c r="AQ22" s="86">
        <f>IF(AQ7=Inputs!$E$26,Inputs!$E$40,0)</f>
        <v>0</v>
      </c>
      <c r="AR22" s="86">
        <f>IF(AR7=Inputs!$E$26,Inputs!$E$40,0)</f>
        <v>0</v>
      </c>
    </row>
    <row r="23" spans="1:44" x14ac:dyDescent="0.2">
      <c r="B23" s="1" t="s">
        <v>207</v>
      </c>
      <c r="C23" s="76" t="s">
        <v>72</v>
      </c>
      <c r="D23" s="75">
        <f>SUM(F23:AR23)</f>
        <v>0</v>
      </c>
      <c r="F23" s="16">
        <f t="shared" ref="F23:AR23" si="13">SUM(F22:F22)</f>
        <v>0</v>
      </c>
      <c r="G23" s="16">
        <f t="shared" si="13"/>
        <v>0</v>
      </c>
      <c r="H23" s="16">
        <f t="shared" si="13"/>
        <v>0</v>
      </c>
      <c r="I23" s="16">
        <f t="shared" si="13"/>
        <v>0</v>
      </c>
      <c r="J23" s="16">
        <f t="shared" si="13"/>
        <v>0</v>
      </c>
      <c r="K23" s="16">
        <f t="shared" si="13"/>
        <v>0</v>
      </c>
      <c r="L23" s="16">
        <f t="shared" si="13"/>
        <v>0</v>
      </c>
      <c r="M23" s="16">
        <f t="shared" si="13"/>
        <v>0</v>
      </c>
      <c r="N23" s="16">
        <f t="shared" si="13"/>
        <v>0</v>
      </c>
      <c r="O23" s="16">
        <f t="shared" si="13"/>
        <v>0</v>
      </c>
      <c r="P23" s="16">
        <f t="shared" si="13"/>
        <v>0</v>
      </c>
      <c r="Q23" s="16">
        <f t="shared" si="13"/>
        <v>0</v>
      </c>
      <c r="R23" s="16">
        <f t="shared" si="13"/>
        <v>0</v>
      </c>
      <c r="S23" s="16">
        <f t="shared" si="13"/>
        <v>0</v>
      </c>
      <c r="T23" s="16">
        <f t="shared" si="13"/>
        <v>0</v>
      </c>
      <c r="U23" s="16">
        <f t="shared" si="13"/>
        <v>0</v>
      </c>
      <c r="V23" s="16">
        <f t="shared" si="13"/>
        <v>0</v>
      </c>
      <c r="W23" s="16">
        <f t="shared" si="13"/>
        <v>0</v>
      </c>
      <c r="X23" s="16">
        <f t="shared" si="13"/>
        <v>0</v>
      </c>
      <c r="Y23" s="16">
        <f t="shared" si="13"/>
        <v>0</v>
      </c>
      <c r="Z23" s="16">
        <f t="shared" si="13"/>
        <v>0</v>
      </c>
      <c r="AA23" s="16">
        <f t="shared" si="13"/>
        <v>0</v>
      </c>
      <c r="AB23" s="16">
        <f t="shared" si="13"/>
        <v>0</v>
      </c>
      <c r="AC23" s="16">
        <f t="shared" si="13"/>
        <v>0</v>
      </c>
      <c r="AD23" s="16">
        <f t="shared" si="13"/>
        <v>0</v>
      </c>
      <c r="AE23" s="16">
        <f t="shared" si="13"/>
        <v>0</v>
      </c>
      <c r="AF23" s="16">
        <f t="shared" si="13"/>
        <v>0</v>
      </c>
      <c r="AG23" s="16">
        <f t="shared" si="13"/>
        <v>0</v>
      </c>
      <c r="AH23" s="16">
        <f t="shared" si="13"/>
        <v>0</v>
      </c>
      <c r="AI23" s="16">
        <f t="shared" si="13"/>
        <v>0</v>
      </c>
      <c r="AJ23" s="16">
        <f t="shared" si="13"/>
        <v>0</v>
      </c>
      <c r="AK23" s="16">
        <f t="shared" si="13"/>
        <v>0</v>
      </c>
      <c r="AL23" s="16">
        <f t="shared" si="13"/>
        <v>0</v>
      </c>
      <c r="AM23" s="16">
        <f t="shared" si="13"/>
        <v>0</v>
      </c>
      <c r="AN23" s="16">
        <f t="shared" si="13"/>
        <v>0</v>
      </c>
      <c r="AO23" s="16">
        <f t="shared" si="13"/>
        <v>0</v>
      </c>
      <c r="AP23" s="16">
        <f t="shared" si="13"/>
        <v>0</v>
      </c>
      <c r="AQ23" s="16">
        <f t="shared" si="13"/>
        <v>0</v>
      </c>
      <c r="AR23" s="16">
        <f t="shared" si="13"/>
        <v>0</v>
      </c>
    </row>
    <row r="24" spans="1:44" x14ac:dyDescent="0.2">
      <c r="C24" s="12"/>
    </row>
    <row r="25" spans="1:44" ht="15" x14ac:dyDescent="0.25">
      <c r="A25" s="2" t="s">
        <v>208</v>
      </c>
      <c r="C25" s="12"/>
    </row>
    <row r="26" spans="1:44" x14ac:dyDescent="0.2">
      <c r="B26" s="1" t="s">
        <v>209</v>
      </c>
      <c r="C26" s="76" t="s">
        <v>72</v>
      </c>
      <c r="D26" s="75">
        <f>SUM(F26:AR26)</f>
        <v>0</v>
      </c>
      <c r="E26" s="16"/>
      <c r="F26" s="16">
        <f>F23*F$15</f>
        <v>0</v>
      </c>
      <c r="G26" s="16">
        <f t="shared" ref="G26:AR26" si="14">G23*G$15</f>
        <v>0</v>
      </c>
      <c r="H26" s="16">
        <f t="shared" si="14"/>
        <v>0</v>
      </c>
      <c r="I26" s="16">
        <f t="shared" si="14"/>
        <v>0</v>
      </c>
      <c r="J26" s="16">
        <f t="shared" si="14"/>
        <v>0</v>
      </c>
      <c r="K26" s="16">
        <f t="shared" si="14"/>
        <v>0</v>
      </c>
      <c r="L26" s="16">
        <f t="shared" si="14"/>
        <v>0</v>
      </c>
      <c r="M26" s="16">
        <f t="shared" si="14"/>
        <v>0</v>
      </c>
      <c r="N26" s="16">
        <f t="shared" si="14"/>
        <v>0</v>
      </c>
      <c r="O26" s="16">
        <f t="shared" si="14"/>
        <v>0</v>
      </c>
      <c r="P26" s="16">
        <f t="shared" si="14"/>
        <v>0</v>
      </c>
      <c r="Q26" s="16">
        <f t="shared" si="14"/>
        <v>0</v>
      </c>
      <c r="R26" s="16">
        <f t="shared" si="14"/>
        <v>0</v>
      </c>
      <c r="S26" s="16">
        <f t="shared" si="14"/>
        <v>0</v>
      </c>
      <c r="T26" s="16">
        <f t="shared" si="14"/>
        <v>0</v>
      </c>
      <c r="U26" s="16">
        <f t="shared" si="14"/>
        <v>0</v>
      </c>
      <c r="V26" s="16">
        <f t="shared" si="14"/>
        <v>0</v>
      </c>
      <c r="W26" s="16">
        <f t="shared" si="14"/>
        <v>0</v>
      </c>
      <c r="X26" s="16">
        <f t="shared" si="14"/>
        <v>0</v>
      </c>
      <c r="Y26" s="16">
        <f t="shared" si="14"/>
        <v>0</v>
      </c>
      <c r="Z26" s="16">
        <f t="shared" si="14"/>
        <v>0</v>
      </c>
      <c r="AA26" s="16">
        <f t="shared" si="14"/>
        <v>0</v>
      </c>
      <c r="AB26" s="16">
        <f t="shared" si="14"/>
        <v>0</v>
      </c>
      <c r="AC26" s="16">
        <f t="shared" si="14"/>
        <v>0</v>
      </c>
      <c r="AD26" s="16">
        <f t="shared" si="14"/>
        <v>0</v>
      </c>
      <c r="AE26" s="16">
        <f t="shared" si="14"/>
        <v>0</v>
      </c>
      <c r="AF26" s="16">
        <f t="shared" si="14"/>
        <v>0</v>
      </c>
      <c r="AG26" s="16">
        <f t="shared" si="14"/>
        <v>0</v>
      </c>
      <c r="AH26" s="16">
        <f t="shared" si="14"/>
        <v>0</v>
      </c>
      <c r="AI26" s="16">
        <f t="shared" si="14"/>
        <v>0</v>
      </c>
      <c r="AJ26" s="16">
        <f t="shared" si="14"/>
        <v>0</v>
      </c>
      <c r="AK26" s="16">
        <f t="shared" si="14"/>
        <v>0</v>
      </c>
      <c r="AL26" s="16">
        <f t="shared" si="14"/>
        <v>0</v>
      </c>
      <c r="AM26" s="16">
        <f t="shared" si="14"/>
        <v>0</v>
      </c>
      <c r="AN26" s="16">
        <f t="shared" si="14"/>
        <v>0</v>
      </c>
      <c r="AO26" s="16">
        <f t="shared" si="14"/>
        <v>0</v>
      </c>
      <c r="AP26" s="16">
        <f t="shared" si="14"/>
        <v>0</v>
      </c>
      <c r="AQ26" s="16">
        <f t="shared" si="14"/>
        <v>0</v>
      </c>
      <c r="AR26" s="16">
        <f t="shared" si="14"/>
        <v>0</v>
      </c>
    </row>
    <row r="27" spans="1:44" x14ac:dyDescent="0.2">
      <c r="B27" s="1" t="str">
        <f>Inputs!$C$30</f>
        <v>2% Discount Factor</v>
      </c>
      <c r="C27" s="76" t="s">
        <v>72</v>
      </c>
      <c r="D27" s="75">
        <f>SUM(F27:AR27)</f>
        <v>0</v>
      </c>
      <c r="E27" s="16"/>
      <c r="F27" s="16">
        <f>F23*F$16</f>
        <v>0</v>
      </c>
      <c r="G27" s="16">
        <f t="shared" ref="G27:AR27" si="15">G23*G$16</f>
        <v>0</v>
      </c>
      <c r="H27" s="16">
        <f t="shared" si="15"/>
        <v>0</v>
      </c>
      <c r="I27" s="16">
        <f t="shared" si="15"/>
        <v>0</v>
      </c>
      <c r="J27" s="16">
        <f t="shared" si="15"/>
        <v>0</v>
      </c>
      <c r="K27" s="16">
        <f t="shared" si="15"/>
        <v>0</v>
      </c>
      <c r="L27" s="16">
        <f t="shared" si="15"/>
        <v>0</v>
      </c>
      <c r="M27" s="16">
        <f t="shared" si="15"/>
        <v>0</v>
      </c>
      <c r="N27" s="16">
        <f t="shared" si="15"/>
        <v>0</v>
      </c>
      <c r="O27" s="16">
        <f t="shared" si="15"/>
        <v>0</v>
      </c>
      <c r="P27" s="16">
        <f t="shared" si="15"/>
        <v>0</v>
      </c>
      <c r="Q27" s="16">
        <f t="shared" si="15"/>
        <v>0</v>
      </c>
      <c r="R27" s="16">
        <f t="shared" si="15"/>
        <v>0</v>
      </c>
      <c r="S27" s="16">
        <f t="shared" si="15"/>
        <v>0</v>
      </c>
      <c r="T27" s="16">
        <f t="shared" si="15"/>
        <v>0</v>
      </c>
      <c r="U27" s="16">
        <f t="shared" si="15"/>
        <v>0</v>
      </c>
      <c r="V27" s="16">
        <f t="shared" si="15"/>
        <v>0</v>
      </c>
      <c r="W27" s="16">
        <f t="shared" si="15"/>
        <v>0</v>
      </c>
      <c r="X27" s="16">
        <f t="shared" si="15"/>
        <v>0</v>
      </c>
      <c r="Y27" s="16">
        <f t="shared" si="15"/>
        <v>0</v>
      </c>
      <c r="Z27" s="16">
        <f t="shared" si="15"/>
        <v>0</v>
      </c>
      <c r="AA27" s="16">
        <f t="shared" si="15"/>
        <v>0</v>
      </c>
      <c r="AB27" s="16">
        <f t="shared" si="15"/>
        <v>0</v>
      </c>
      <c r="AC27" s="16">
        <f t="shared" si="15"/>
        <v>0</v>
      </c>
      <c r="AD27" s="16">
        <f t="shared" si="15"/>
        <v>0</v>
      </c>
      <c r="AE27" s="16">
        <f t="shared" si="15"/>
        <v>0</v>
      </c>
      <c r="AF27" s="16">
        <f t="shared" si="15"/>
        <v>0</v>
      </c>
      <c r="AG27" s="16">
        <f t="shared" si="15"/>
        <v>0</v>
      </c>
      <c r="AH27" s="16">
        <f t="shared" si="15"/>
        <v>0</v>
      </c>
      <c r="AI27" s="16">
        <f t="shared" si="15"/>
        <v>0</v>
      </c>
      <c r="AJ27" s="16">
        <f t="shared" si="15"/>
        <v>0</v>
      </c>
      <c r="AK27" s="16">
        <f t="shared" si="15"/>
        <v>0</v>
      </c>
      <c r="AL27" s="16">
        <f t="shared" si="15"/>
        <v>0</v>
      </c>
      <c r="AM27" s="16">
        <f t="shared" si="15"/>
        <v>0</v>
      </c>
      <c r="AN27" s="16">
        <f t="shared" si="15"/>
        <v>0</v>
      </c>
      <c r="AO27" s="16">
        <f t="shared" si="15"/>
        <v>0</v>
      </c>
      <c r="AP27" s="16">
        <f t="shared" si="15"/>
        <v>0</v>
      </c>
      <c r="AQ27" s="16">
        <f t="shared" si="15"/>
        <v>0</v>
      </c>
      <c r="AR27" s="16">
        <f t="shared" si="15"/>
        <v>0</v>
      </c>
    </row>
    <row r="28" spans="1:44" x14ac:dyDescent="0.2">
      <c r="B28" s="1" t="str">
        <f>Inputs!$C$31</f>
        <v>3.1% Discount Factor</v>
      </c>
      <c r="C28" s="76" t="s">
        <v>72</v>
      </c>
      <c r="D28" s="75">
        <f>SUM(F28:AR28)</f>
        <v>0</v>
      </c>
      <c r="E28" s="16"/>
      <c r="F28" s="16">
        <f>F23*F$17</f>
        <v>0</v>
      </c>
      <c r="G28" s="16">
        <f t="shared" ref="G28:AR28" si="16">G23*G$17</f>
        <v>0</v>
      </c>
      <c r="H28" s="16">
        <f t="shared" si="16"/>
        <v>0</v>
      </c>
      <c r="I28" s="16">
        <f t="shared" si="16"/>
        <v>0</v>
      </c>
      <c r="J28" s="16">
        <f t="shared" si="16"/>
        <v>0</v>
      </c>
      <c r="K28" s="16">
        <f t="shared" si="16"/>
        <v>0</v>
      </c>
      <c r="L28" s="16">
        <f t="shared" si="16"/>
        <v>0</v>
      </c>
      <c r="M28" s="16">
        <f t="shared" si="16"/>
        <v>0</v>
      </c>
      <c r="N28" s="16">
        <f t="shared" si="16"/>
        <v>0</v>
      </c>
      <c r="O28" s="16">
        <f t="shared" si="16"/>
        <v>0</v>
      </c>
      <c r="P28" s="16">
        <f t="shared" si="16"/>
        <v>0</v>
      </c>
      <c r="Q28" s="16">
        <f t="shared" si="16"/>
        <v>0</v>
      </c>
      <c r="R28" s="16">
        <f t="shared" si="16"/>
        <v>0</v>
      </c>
      <c r="S28" s="16">
        <f t="shared" si="16"/>
        <v>0</v>
      </c>
      <c r="T28" s="16">
        <f t="shared" si="16"/>
        <v>0</v>
      </c>
      <c r="U28" s="16">
        <f t="shared" si="16"/>
        <v>0</v>
      </c>
      <c r="V28" s="16">
        <f t="shared" si="16"/>
        <v>0</v>
      </c>
      <c r="W28" s="16">
        <f t="shared" si="16"/>
        <v>0</v>
      </c>
      <c r="X28" s="16">
        <f t="shared" si="16"/>
        <v>0</v>
      </c>
      <c r="Y28" s="16">
        <f t="shared" si="16"/>
        <v>0</v>
      </c>
      <c r="Z28" s="16">
        <f t="shared" si="16"/>
        <v>0</v>
      </c>
      <c r="AA28" s="16">
        <f t="shared" si="16"/>
        <v>0</v>
      </c>
      <c r="AB28" s="16">
        <f t="shared" si="16"/>
        <v>0</v>
      </c>
      <c r="AC28" s="16">
        <f t="shared" si="16"/>
        <v>0</v>
      </c>
      <c r="AD28" s="16">
        <f t="shared" si="16"/>
        <v>0</v>
      </c>
      <c r="AE28" s="16">
        <f t="shared" si="16"/>
        <v>0</v>
      </c>
      <c r="AF28" s="16">
        <f t="shared" si="16"/>
        <v>0</v>
      </c>
      <c r="AG28" s="16">
        <f t="shared" si="16"/>
        <v>0</v>
      </c>
      <c r="AH28" s="16">
        <f t="shared" si="16"/>
        <v>0</v>
      </c>
      <c r="AI28" s="16">
        <f t="shared" si="16"/>
        <v>0</v>
      </c>
      <c r="AJ28" s="16">
        <f t="shared" si="16"/>
        <v>0</v>
      </c>
      <c r="AK28" s="16">
        <f t="shared" si="16"/>
        <v>0</v>
      </c>
      <c r="AL28" s="16">
        <f t="shared" si="16"/>
        <v>0</v>
      </c>
      <c r="AM28" s="16">
        <f t="shared" si="16"/>
        <v>0</v>
      </c>
      <c r="AN28" s="16">
        <f t="shared" si="16"/>
        <v>0</v>
      </c>
      <c r="AO28" s="16">
        <f t="shared" si="16"/>
        <v>0</v>
      </c>
      <c r="AP28" s="16">
        <f t="shared" si="16"/>
        <v>0</v>
      </c>
      <c r="AQ28" s="16">
        <f t="shared" si="16"/>
        <v>0</v>
      </c>
      <c r="AR28" s="16">
        <f t="shared" si="16"/>
        <v>0</v>
      </c>
    </row>
    <row r="29" spans="1:44" x14ac:dyDescent="0.2">
      <c r="C29" s="12"/>
    </row>
    <row r="30" spans="1:44" s="9" customFormat="1" x14ac:dyDescent="0.2">
      <c r="A30" s="8" t="s">
        <v>211</v>
      </c>
      <c r="B30" s="13"/>
      <c r="C30" s="13"/>
    </row>
    <row r="31" spans="1:44" ht="15" x14ac:dyDescent="0.25">
      <c r="A31" s="2" t="s">
        <v>209</v>
      </c>
    </row>
    <row r="32" spans="1:44" x14ac:dyDescent="0.2">
      <c r="B32" s="1" t="s">
        <v>310</v>
      </c>
      <c r="C32" s="76" t="s">
        <v>72</v>
      </c>
      <c r="D32" s="75">
        <f>Inputs!E38</f>
        <v>7022864.7404078525</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1:44" x14ac:dyDescent="0.2">
      <c r="B33" s="58" t="s">
        <v>311</v>
      </c>
      <c r="C33" s="84" t="s">
        <v>72</v>
      </c>
      <c r="D33" s="85">
        <f>SUM(F33:AR33)</f>
        <v>3511432.3702039262</v>
      </c>
      <c r="E33" s="58"/>
      <c r="F33" s="86">
        <f>MAX(0,-IF(F13=Inputs!$E$23,'Residual Value'!$D$32*(Inputs!$E$23-Inputs!$E$39)/Inputs!$E$39,0))</f>
        <v>0</v>
      </c>
      <c r="G33" s="86">
        <f>MAX(0,-IF(G13=Inputs!$E$23,'Residual Value'!$D$32*(Inputs!$E$23-Inputs!$E$39)/Inputs!$E$39,0))</f>
        <v>0</v>
      </c>
      <c r="H33" s="86">
        <f>MAX(0,-IF(H13=Inputs!$E$23,'Residual Value'!$D$32*(Inputs!$E$23-Inputs!$E$39)/Inputs!$E$39,0))</f>
        <v>0</v>
      </c>
      <c r="I33" s="86">
        <f>MAX(0,-IF(I13=Inputs!$E$23,'Residual Value'!$D$32*(Inputs!$E$23-Inputs!$E$39)/Inputs!$E$39,0))</f>
        <v>0</v>
      </c>
      <c r="J33" s="86">
        <f>MAX(0,-IF(J13=Inputs!$E$23,'Residual Value'!$D$32*(Inputs!$E$23-Inputs!$E$39)/Inputs!$E$39,0))</f>
        <v>0</v>
      </c>
      <c r="K33" s="86">
        <f>MAX(0,-IF(K13=Inputs!$E$23,'Residual Value'!$D$32*(Inputs!$E$23-Inputs!$E$39)/Inputs!$E$39,0))</f>
        <v>0</v>
      </c>
      <c r="L33" s="86">
        <f>MAX(0,-IF(L13=Inputs!$E$23,'Residual Value'!$D$32*(Inputs!$E$23-Inputs!$E$39)/Inputs!$E$39,0))</f>
        <v>0</v>
      </c>
      <c r="M33" s="86">
        <f>MAX(0,-IF(M13=Inputs!$E$23,'Residual Value'!$D$32*(Inputs!$E$23-Inputs!$E$39)/Inputs!$E$39,0))</f>
        <v>0</v>
      </c>
      <c r="N33" s="86">
        <f>MAX(0,-IF(N13=Inputs!$E$23,'Residual Value'!$D$32*(Inputs!$E$23-Inputs!$E$39)/Inputs!$E$39,0))</f>
        <v>0</v>
      </c>
      <c r="O33" s="86">
        <f>MAX(0,-IF(O13=Inputs!$E$23,'Residual Value'!$D$32*(Inputs!$E$23-Inputs!$E$39)/Inputs!$E$39,0))</f>
        <v>0</v>
      </c>
      <c r="P33" s="86">
        <f>MAX(0,-IF(P13=Inputs!$E$23,'Residual Value'!$D$32*(Inputs!$E$23-Inputs!$E$39)/Inputs!$E$39,0))</f>
        <v>0</v>
      </c>
      <c r="Q33" s="86">
        <f>MAX(0,-IF(Q13=Inputs!$E$23,'Residual Value'!$D$32*(Inputs!$E$23-Inputs!$E$39)/Inputs!$E$39,0))</f>
        <v>0</v>
      </c>
      <c r="R33" s="86">
        <f>MAX(0,-IF(R13=Inputs!$E$23,'Residual Value'!$D$32*(Inputs!$E$23-Inputs!$E$39)/Inputs!$E$39,0))</f>
        <v>0</v>
      </c>
      <c r="S33" s="86">
        <f>MAX(0,-IF(S13=Inputs!$E$23,'Residual Value'!$D$32*(Inputs!$E$23-Inputs!$E$39)/Inputs!$E$39,0))</f>
        <v>0</v>
      </c>
      <c r="T33" s="86">
        <f>MAX(0,-IF(T13=Inputs!$E$23,'Residual Value'!$D$32*(Inputs!$E$23-Inputs!$E$39)/Inputs!$E$39,0))</f>
        <v>0</v>
      </c>
      <c r="U33" s="86">
        <f>MAX(0,-IF(U13=Inputs!$E$23,'Residual Value'!$D$32*(Inputs!$E$23-Inputs!$E$39)/Inputs!$E$39,0))</f>
        <v>0</v>
      </c>
      <c r="V33" s="86">
        <f>MAX(0,-IF(V13=Inputs!$E$23,'Residual Value'!$D$32*(Inputs!$E$23-Inputs!$E$39)/Inputs!$E$39,0))</f>
        <v>0</v>
      </c>
      <c r="W33" s="86">
        <f>MAX(0,-IF(W13=Inputs!$E$23,'Residual Value'!$D$32*(Inputs!$E$23-Inputs!$E$39)/Inputs!$E$39,0))</f>
        <v>0</v>
      </c>
      <c r="X33" s="86">
        <f>MAX(0,-IF(X13=Inputs!$E$23,'Residual Value'!$D$32*(Inputs!$E$23-Inputs!$E$39)/Inputs!$E$39,0))</f>
        <v>0</v>
      </c>
      <c r="Y33" s="86">
        <f>MAX(0,-IF(Y13=Inputs!$E$23,'Residual Value'!$D$32*(Inputs!$E$23-Inputs!$E$39)/Inputs!$E$39,0))</f>
        <v>0</v>
      </c>
      <c r="Z33" s="86">
        <f>MAX(0,-IF(Z13=Inputs!$E$23,'Residual Value'!$D$32*(Inputs!$E$23-Inputs!$E$39)/Inputs!$E$39,0))</f>
        <v>0</v>
      </c>
      <c r="AA33" s="86">
        <f>MAX(0,-IF(AA13=Inputs!$E$23,'Residual Value'!$D$32*(Inputs!$E$23-Inputs!$E$39)/Inputs!$E$39,0))</f>
        <v>0</v>
      </c>
      <c r="AB33" s="86">
        <f>MAX(0,-IF(AB13=Inputs!$E$23,'Residual Value'!$D$32*(Inputs!$E$23-Inputs!$E$39)/Inputs!$E$39,0))</f>
        <v>0</v>
      </c>
      <c r="AC33" s="86">
        <f>MAX(0,-IF(AC13=Inputs!$E$23,'Residual Value'!$D$32*(Inputs!$E$23-Inputs!$E$39)/Inputs!$E$39,0))</f>
        <v>0</v>
      </c>
      <c r="AD33" s="86">
        <f>MAX(0,-IF(AD13=Inputs!$E$23,'Residual Value'!$D$32*(Inputs!$E$23-Inputs!$E$39)/Inputs!$E$39,0))</f>
        <v>0</v>
      </c>
      <c r="AE33" s="86">
        <f>MAX(0,-IF(AE13=Inputs!$E$23,'Residual Value'!$D$32*(Inputs!$E$23-Inputs!$E$39)/Inputs!$E$39,0))</f>
        <v>0</v>
      </c>
      <c r="AF33" s="86">
        <f>MAX(0,-IF(AF13=Inputs!$E$23,'Residual Value'!$D$32*(Inputs!$E$23-Inputs!$E$39)/Inputs!$E$39,0))</f>
        <v>0</v>
      </c>
      <c r="AG33" s="86">
        <f>MAX(0,-IF(AG13=Inputs!$E$23,'Residual Value'!$D$32*(Inputs!$E$23-Inputs!$E$39)/Inputs!$E$39,0))</f>
        <v>0</v>
      </c>
      <c r="AH33" s="86">
        <f>MAX(0,-IF(AH13=Inputs!$E$23,'Residual Value'!$D$32*(Inputs!$E$23-Inputs!$E$39)/Inputs!$E$39,0))</f>
        <v>3511432.3702039262</v>
      </c>
      <c r="AI33" s="86">
        <f>MAX(0,-IF(AI13=Inputs!$E$23,'Residual Value'!$D$32*(Inputs!$E$23-Inputs!$E$39)/Inputs!$E$39,0))</f>
        <v>0</v>
      </c>
      <c r="AJ33" s="86">
        <f>MAX(0,-IF(AJ13=Inputs!$E$23,'Residual Value'!$D$32*(Inputs!$E$23-Inputs!$E$39)/Inputs!$E$39,0))</f>
        <v>0</v>
      </c>
      <c r="AK33" s="86">
        <f>MAX(0,-IF(AK13=Inputs!$E$23,'Residual Value'!$D$32*(Inputs!$E$23-Inputs!$E$39)/Inputs!$E$39,0))</f>
        <v>0</v>
      </c>
      <c r="AL33" s="86">
        <f>MAX(0,-IF(AL13=Inputs!$E$23,'Residual Value'!$D$32*(Inputs!$E$23-Inputs!$E$39)/Inputs!$E$39,0))</f>
        <v>0</v>
      </c>
      <c r="AM33" s="86">
        <f>MAX(0,-IF(AM13=Inputs!$E$23,'Residual Value'!$D$32*(Inputs!$E$23-Inputs!$E$39)/Inputs!$E$39,0))</f>
        <v>0</v>
      </c>
      <c r="AN33" s="86">
        <f>MAX(0,-IF(AN13=Inputs!$E$23,'Residual Value'!$D$32*(Inputs!$E$23-Inputs!$E$39)/Inputs!$E$39,0))</f>
        <v>0</v>
      </c>
      <c r="AO33" s="86">
        <f>MAX(0,-IF(AO13=Inputs!$E$23,'Residual Value'!$D$32*(Inputs!$E$23-Inputs!$E$39)/Inputs!$E$39,0))</f>
        <v>0</v>
      </c>
      <c r="AP33" s="86">
        <f>MAX(0,-IF(AP13=Inputs!$E$23,'Residual Value'!$D$32*(Inputs!$E$23-Inputs!$E$39)/Inputs!$E$39,0))</f>
        <v>0</v>
      </c>
      <c r="AQ33" s="86">
        <f>MAX(0,-IF(AQ13=Inputs!$E$23,'Residual Value'!$D$32*(Inputs!$E$23-Inputs!$E$39)/Inputs!$E$39,0))</f>
        <v>0</v>
      </c>
      <c r="AR33" s="86">
        <f>MAX(0,-IF(AR13=Inputs!$E$23,'Residual Value'!$D$32*(Inputs!$E$23-Inputs!$E$39)/Inputs!$E$39,0))</f>
        <v>0</v>
      </c>
    </row>
    <row r="34" spans="1:44" x14ac:dyDescent="0.2">
      <c r="B34" s="1" t="s">
        <v>207</v>
      </c>
      <c r="C34" s="76" t="s">
        <v>72</v>
      </c>
      <c r="D34" s="75">
        <f>SUM(F34:AR34)</f>
        <v>3511432.3702039262</v>
      </c>
      <c r="F34" s="16">
        <f t="shared" ref="F34:AR34" si="17">F33</f>
        <v>0</v>
      </c>
      <c r="G34" s="16">
        <f t="shared" si="17"/>
        <v>0</v>
      </c>
      <c r="H34" s="16">
        <f t="shared" si="17"/>
        <v>0</v>
      </c>
      <c r="I34" s="16">
        <f t="shared" si="17"/>
        <v>0</v>
      </c>
      <c r="J34" s="16">
        <f t="shared" si="17"/>
        <v>0</v>
      </c>
      <c r="K34" s="16">
        <f t="shared" si="17"/>
        <v>0</v>
      </c>
      <c r="L34" s="16">
        <f t="shared" si="17"/>
        <v>0</v>
      </c>
      <c r="M34" s="16">
        <f t="shared" si="17"/>
        <v>0</v>
      </c>
      <c r="N34" s="16">
        <f t="shared" si="17"/>
        <v>0</v>
      </c>
      <c r="O34" s="16">
        <f t="shared" si="17"/>
        <v>0</v>
      </c>
      <c r="P34" s="16">
        <f t="shared" si="17"/>
        <v>0</v>
      </c>
      <c r="Q34" s="16">
        <f t="shared" si="17"/>
        <v>0</v>
      </c>
      <c r="R34" s="16">
        <f t="shared" si="17"/>
        <v>0</v>
      </c>
      <c r="S34" s="16">
        <f t="shared" si="17"/>
        <v>0</v>
      </c>
      <c r="T34" s="16">
        <f t="shared" si="17"/>
        <v>0</v>
      </c>
      <c r="U34" s="16">
        <f t="shared" si="17"/>
        <v>0</v>
      </c>
      <c r="V34" s="16">
        <f t="shared" si="17"/>
        <v>0</v>
      </c>
      <c r="W34" s="16">
        <f t="shared" si="17"/>
        <v>0</v>
      </c>
      <c r="X34" s="16">
        <f t="shared" si="17"/>
        <v>0</v>
      </c>
      <c r="Y34" s="16">
        <f t="shared" si="17"/>
        <v>0</v>
      </c>
      <c r="Z34" s="16">
        <f t="shared" si="17"/>
        <v>0</v>
      </c>
      <c r="AA34" s="16">
        <f t="shared" si="17"/>
        <v>0</v>
      </c>
      <c r="AB34" s="16">
        <f t="shared" si="17"/>
        <v>0</v>
      </c>
      <c r="AC34" s="16">
        <f t="shared" si="17"/>
        <v>0</v>
      </c>
      <c r="AD34" s="16">
        <f t="shared" si="17"/>
        <v>0</v>
      </c>
      <c r="AE34" s="16">
        <f t="shared" si="17"/>
        <v>0</v>
      </c>
      <c r="AF34" s="16">
        <f t="shared" si="17"/>
        <v>0</v>
      </c>
      <c r="AG34" s="16">
        <f t="shared" si="17"/>
        <v>0</v>
      </c>
      <c r="AH34" s="16">
        <f t="shared" si="17"/>
        <v>3511432.3702039262</v>
      </c>
      <c r="AI34" s="16">
        <f t="shared" si="17"/>
        <v>0</v>
      </c>
      <c r="AJ34" s="16">
        <f t="shared" si="17"/>
        <v>0</v>
      </c>
      <c r="AK34" s="16">
        <f t="shared" si="17"/>
        <v>0</v>
      </c>
      <c r="AL34" s="16">
        <f t="shared" si="17"/>
        <v>0</v>
      </c>
      <c r="AM34" s="16">
        <f t="shared" si="17"/>
        <v>0</v>
      </c>
      <c r="AN34" s="16">
        <f t="shared" si="17"/>
        <v>0</v>
      </c>
      <c r="AO34" s="16">
        <f t="shared" si="17"/>
        <v>0</v>
      </c>
      <c r="AP34" s="16">
        <f t="shared" si="17"/>
        <v>0</v>
      </c>
      <c r="AQ34" s="16">
        <f t="shared" si="17"/>
        <v>0</v>
      </c>
      <c r="AR34" s="16">
        <f t="shared" si="17"/>
        <v>0</v>
      </c>
    </row>
    <row r="35" spans="1:44" x14ac:dyDescent="0.2">
      <c r="C35" s="76"/>
      <c r="D35" s="7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x14ac:dyDescent="0.2">
      <c r="C36" s="12"/>
    </row>
    <row r="37" spans="1:44" ht="15" x14ac:dyDescent="0.25">
      <c r="A37" s="2" t="s">
        <v>208</v>
      </c>
      <c r="C37" s="12"/>
    </row>
    <row r="38" spans="1:44" x14ac:dyDescent="0.2">
      <c r="B38" s="1" t="s">
        <v>209</v>
      </c>
      <c r="C38" s="76" t="s">
        <v>72</v>
      </c>
      <c r="D38" s="75">
        <f>SUM(F38:AR38)</f>
        <v>3511432.3702039262</v>
      </c>
      <c r="E38" s="16"/>
      <c r="F38" s="16">
        <f>F$15*F$34</f>
        <v>0</v>
      </c>
      <c r="G38" s="16">
        <f t="shared" ref="G38:AR38" si="18">G$15*G$34</f>
        <v>0</v>
      </c>
      <c r="H38" s="16">
        <f t="shared" si="18"/>
        <v>0</v>
      </c>
      <c r="I38" s="16">
        <f t="shared" si="18"/>
        <v>0</v>
      </c>
      <c r="J38" s="16">
        <f t="shared" si="18"/>
        <v>0</v>
      </c>
      <c r="K38" s="16">
        <f t="shared" si="18"/>
        <v>0</v>
      </c>
      <c r="L38" s="16">
        <f t="shared" si="18"/>
        <v>0</v>
      </c>
      <c r="M38" s="16">
        <f t="shared" si="18"/>
        <v>0</v>
      </c>
      <c r="N38" s="16">
        <f t="shared" si="18"/>
        <v>0</v>
      </c>
      <c r="O38" s="16">
        <f t="shared" si="18"/>
        <v>0</v>
      </c>
      <c r="P38" s="16">
        <f t="shared" si="18"/>
        <v>0</v>
      </c>
      <c r="Q38" s="16">
        <f t="shared" si="18"/>
        <v>0</v>
      </c>
      <c r="R38" s="16">
        <f t="shared" si="18"/>
        <v>0</v>
      </c>
      <c r="S38" s="16">
        <f t="shared" si="18"/>
        <v>0</v>
      </c>
      <c r="T38" s="16">
        <f t="shared" si="18"/>
        <v>0</v>
      </c>
      <c r="U38" s="16">
        <f t="shared" si="18"/>
        <v>0</v>
      </c>
      <c r="V38" s="16">
        <f t="shared" si="18"/>
        <v>0</v>
      </c>
      <c r="W38" s="16">
        <f t="shared" si="18"/>
        <v>0</v>
      </c>
      <c r="X38" s="16">
        <f t="shared" si="18"/>
        <v>0</v>
      </c>
      <c r="Y38" s="16">
        <f t="shared" si="18"/>
        <v>0</v>
      </c>
      <c r="Z38" s="16">
        <f t="shared" si="18"/>
        <v>0</v>
      </c>
      <c r="AA38" s="16">
        <f t="shared" si="18"/>
        <v>0</v>
      </c>
      <c r="AB38" s="16">
        <f t="shared" si="18"/>
        <v>0</v>
      </c>
      <c r="AC38" s="16">
        <f t="shared" si="18"/>
        <v>0</v>
      </c>
      <c r="AD38" s="16">
        <f t="shared" si="18"/>
        <v>0</v>
      </c>
      <c r="AE38" s="16">
        <f t="shared" si="18"/>
        <v>0</v>
      </c>
      <c r="AF38" s="16">
        <f t="shared" si="18"/>
        <v>0</v>
      </c>
      <c r="AG38" s="16">
        <f t="shared" si="18"/>
        <v>0</v>
      </c>
      <c r="AH38" s="16">
        <f t="shared" si="18"/>
        <v>3511432.3702039262</v>
      </c>
      <c r="AI38" s="16">
        <f t="shared" si="18"/>
        <v>0</v>
      </c>
      <c r="AJ38" s="16">
        <f t="shared" si="18"/>
        <v>0</v>
      </c>
      <c r="AK38" s="16">
        <f t="shared" si="18"/>
        <v>0</v>
      </c>
      <c r="AL38" s="16">
        <f t="shared" si="18"/>
        <v>0</v>
      </c>
      <c r="AM38" s="16">
        <f t="shared" si="18"/>
        <v>0</v>
      </c>
      <c r="AN38" s="16">
        <f t="shared" si="18"/>
        <v>0</v>
      </c>
      <c r="AO38" s="16">
        <f t="shared" si="18"/>
        <v>0</v>
      </c>
      <c r="AP38" s="16">
        <f t="shared" si="18"/>
        <v>0</v>
      </c>
      <c r="AQ38" s="16">
        <f t="shared" si="18"/>
        <v>0</v>
      </c>
      <c r="AR38" s="16">
        <f t="shared" si="18"/>
        <v>0</v>
      </c>
    </row>
    <row r="39" spans="1:44" x14ac:dyDescent="0.2">
      <c r="B39" s="1" t="str">
        <f>Inputs!$C$30</f>
        <v>2% Discount Factor</v>
      </c>
      <c r="C39" s="76" t="s">
        <v>72</v>
      </c>
      <c r="D39" s="75">
        <f>SUM(F39:AR39)</f>
        <v>2140326.4294115785</v>
      </c>
      <c r="E39" s="16"/>
      <c r="F39" s="16">
        <f>F$16*F$34</f>
        <v>0</v>
      </c>
      <c r="G39" s="16">
        <f t="shared" ref="G39:AR39" si="19">G$16*G$34</f>
        <v>0</v>
      </c>
      <c r="H39" s="16">
        <f t="shared" si="19"/>
        <v>0</v>
      </c>
      <c r="I39" s="16">
        <f t="shared" si="19"/>
        <v>0</v>
      </c>
      <c r="J39" s="16">
        <f t="shared" si="19"/>
        <v>0</v>
      </c>
      <c r="K39" s="16">
        <f t="shared" si="19"/>
        <v>0</v>
      </c>
      <c r="L39" s="16">
        <f t="shared" si="19"/>
        <v>0</v>
      </c>
      <c r="M39" s="16">
        <f t="shared" si="19"/>
        <v>0</v>
      </c>
      <c r="N39" s="16">
        <f t="shared" si="19"/>
        <v>0</v>
      </c>
      <c r="O39" s="16">
        <f t="shared" si="19"/>
        <v>0</v>
      </c>
      <c r="P39" s="16">
        <f t="shared" si="19"/>
        <v>0</v>
      </c>
      <c r="Q39" s="16">
        <f t="shared" si="19"/>
        <v>0</v>
      </c>
      <c r="R39" s="16">
        <f t="shared" si="19"/>
        <v>0</v>
      </c>
      <c r="S39" s="16">
        <f t="shared" si="19"/>
        <v>0</v>
      </c>
      <c r="T39" s="16">
        <f t="shared" si="19"/>
        <v>0</v>
      </c>
      <c r="U39" s="16">
        <f t="shared" si="19"/>
        <v>0</v>
      </c>
      <c r="V39" s="16">
        <f t="shared" si="19"/>
        <v>0</v>
      </c>
      <c r="W39" s="16">
        <f t="shared" si="19"/>
        <v>0</v>
      </c>
      <c r="X39" s="16">
        <f t="shared" si="19"/>
        <v>0</v>
      </c>
      <c r="Y39" s="16">
        <f t="shared" si="19"/>
        <v>0</v>
      </c>
      <c r="Z39" s="16">
        <f t="shared" si="19"/>
        <v>0</v>
      </c>
      <c r="AA39" s="16">
        <f t="shared" si="19"/>
        <v>0</v>
      </c>
      <c r="AB39" s="16">
        <f t="shared" si="19"/>
        <v>0</v>
      </c>
      <c r="AC39" s="16">
        <f t="shared" si="19"/>
        <v>0</v>
      </c>
      <c r="AD39" s="16">
        <f t="shared" si="19"/>
        <v>0</v>
      </c>
      <c r="AE39" s="16">
        <f t="shared" si="19"/>
        <v>0</v>
      </c>
      <c r="AF39" s="16">
        <f t="shared" si="19"/>
        <v>0</v>
      </c>
      <c r="AG39" s="16">
        <f t="shared" si="19"/>
        <v>0</v>
      </c>
      <c r="AH39" s="16">
        <f t="shared" si="19"/>
        <v>2140326.4294115785</v>
      </c>
      <c r="AI39" s="16">
        <f t="shared" si="19"/>
        <v>0</v>
      </c>
      <c r="AJ39" s="16">
        <f t="shared" si="19"/>
        <v>0</v>
      </c>
      <c r="AK39" s="16">
        <f t="shared" si="19"/>
        <v>0</v>
      </c>
      <c r="AL39" s="16">
        <f t="shared" si="19"/>
        <v>0</v>
      </c>
      <c r="AM39" s="16">
        <f t="shared" si="19"/>
        <v>0</v>
      </c>
      <c r="AN39" s="16">
        <f t="shared" si="19"/>
        <v>0</v>
      </c>
      <c r="AO39" s="16">
        <f t="shared" si="19"/>
        <v>0</v>
      </c>
      <c r="AP39" s="16">
        <f t="shared" si="19"/>
        <v>0</v>
      </c>
      <c r="AQ39" s="16">
        <f t="shared" si="19"/>
        <v>0</v>
      </c>
      <c r="AR39" s="16">
        <f t="shared" si="19"/>
        <v>0</v>
      </c>
    </row>
    <row r="40" spans="1:44" x14ac:dyDescent="0.2">
      <c r="B40" s="1" t="str">
        <f>Inputs!$C$31</f>
        <v>3.1% Discount Factor</v>
      </c>
      <c r="C40" s="76" t="s">
        <v>72</v>
      </c>
      <c r="D40" s="75">
        <f>SUM(F40:AR40)</f>
        <v>1636883.1430861859</v>
      </c>
      <c r="E40" s="16"/>
      <c r="F40" s="16">
        <f>F$17*F$34</f>
        <v>0</v>
      </c>
      <c r="G40" s="16">
        <f t="shared" ref="G40:AR40" si="20">G$17*G$34</f>
        <v>0</v>
      </c>
      <c r="H40" s="16">
        <f t="shared" si="20"/>
        <v>0</v>
      </c>
      <c r="I40" s="16">
        <f t="shared" si="20"/>
        <v>0</v>
      </c>
      <c r="J40" s="16">
        <f t="shared" si="20"/>
        <v>0</v>
      </c>
      <c r="K40" s="16">
        <f t="shared" si="20"/>
        <v>0</v>
      </c>
      <c r="L40" s="16">
        <f t="shared" si="20"/>
        <v>0</v>
      </c>
      <c r="M40" s="16">
        <f t="shared" si="20"/>
        <v>0</v>
      </c>
      <c r="N40" s="16">
        <f t="shared" si="20"/>
        <v>0</v>
      </c>
      <c r="O40" s="16">
        <f t="shared" si="20"/>
        <v>0</v>
      </c>
      <c r="P40" s="16">
        <f t="shared" si="20"/>
        <v>0</v>
      </c>
      <c r="Q40" s="16">
        <f t="shared" si="20"/>
        <v>0</v>
      </c>
      <c r="R40" s="16">
        <f t="shared" si="20"/>
        <v>0</v>
      </c>
      <c r="S40" s="16">
        <f t="shared" si="20"/>
        <v>0</v>
      </c>
      <c r="T40" s="16">
        <f t="shared" si="20"/>
        <v>0</v>
      </c>
      <c r="U40" s="16">
        <f t="shared" si="20"/>
        <v>0</v>
      </c>
      <c r="V40" s="16">
        <f t="shared" si="20"/>
        <v>0</v>
      </c>
      <c r="W40" s="16">
        <f t="shared" si="20"/>
        <v>0</v>
      </c>
      <c r="X40" s="16">
        <f t="shared" si="20"/>
        <v>0</v>
      </c>
      <c r="Y40" s="16">
        <f t="shared" si="20"/>
        <v>0</v>
      </c>
      <c r="Z40" s="16">
        <f t="shared" si="20"/>
        <v>0</v>
      </c>
      <c r="AA40" s="16">
        <f t="shared" si="20"/>
        <v>0</v>
      </c>
      <c r="AB40" s="16">
        <f t="shared" si="20"/>
        <v>0</v>
      </c>
      <c r="AC40" s="16">
        <f t="shared" si="20"/>
        <v>0</v>
      </c>
      <c r="AD40" s="16">
        <f t="shared" si="20"/>
        <v>0</v>
      </c>
      <c r="AE40" s="16">
        <f t="shared" si="20"/>
        <v>0</v>
      </c>
      <c r="AF40" s="16">
        <f t="shared" si="20"/>
        <v>0</v>
      </c>
      <c r="AG40" s="16">
        <f t="shared" si="20"/>
        <v>0</v>
      </c>
      <c r="AH40" s="16">
        <f t="shared" si="20"/>
        <v>1636883.1430861859</v>
      </c>
      <c r="AI40" s="16">
        <f t="shared" si="20"/>
        <v>0</v>
      </c>
      <c r="AJ40" s="16">
        <f t="shared" si="20"/>
        <v>0</v>
      </c>
      <c r="AK40" s="16">
        <f t="shared" si="20"/>
        <v>0</v>
      </c>
      <c r="AL40" s="16">
        <f t="shared" si="20"/>
        <v>0</v>
      </c>
      <c r="AM40" s="16">
        <f t="shared" si="20"/>
        <v>0</v>
      </c>
      <c r="AN40" s="16">
        <f t="shared" si="20"/>
        <v>0</v>
      </c>
      <c r="AO40" s="16">
        <f t="shared" si="20"/>
        <v>0</v>
      </c>
      <c r="AP40" s="16">
        <f t="shared" si="20"/>
        <v>0</v>
      </c>
      <c r="AQ40" s="16">
        <f t="shared" si="20"/>
        <v>0</v>
      </c>
      <c r="AR40" s="16">
        <f t="shared" si="20"/>
        <v>0</v>
      </c>
    </row>
    <row r="41" spans="1:44" x14ac:dyDescent="0.2">
      <c r="C41" s="12"/>
    </row>
    <row r="42" spans="1:44" s="9" customFormat="1" x14ac:dyDescent="0.2">
      <c r="B42" s="8" t="s">
        <v>312</v>
      </c>
      <c r="C42" s="13"/>
    </row>
    <row r="43" spans="1:44" ht="15" x14ac:dyDescent="0.25">
      <c r="A43" s="2" t="s">
        <v>313</v>
      </c>
      <c r="C43" s="12"/>
    </row>
    <row r="44" spans="1:44" x14ac:dyDescent="0.2">
      <c r="B44" s="1" t="s">
        <v>209</v>
      </c>
      <c r="C44" s="76" t="s">
        <v>72</v>
      </c>
      <c r="D44" s="75">
        <f>SUM(F44:AR44)</f>
        <v>0</v>
      </c>
      <c r="E44" s="6"/>
      <c r="F44" s="16">
        <f t="shared" ref="F44:AR44" si="21">F26</f>
        <v>0</v>
      </c>
      <c r="G44" s="16">
        <f t="shared" si="21"/>
        <v>0</v>
      </c>
      <c r="H44" s="16">
        <f t="shared" si="21"/>
        <v>0</v>
      </c>
      <c r="I44" s="16">
        <f t="shared" si="21"/>
        <v>0</v>
      </c>
      <c r="J44" s="16">
        <f t="shared" si="21"/>
        <v>0</v>
      </c>
      <c r="K44" s="16">
        <f t="shared" si="21"/>
        <v>0</v>
      </c>
      <c r="L44" s="16">
        <f t="shared" si="21"/>
        <v>0</v>
      </c>
      <c r="M44" s="16">
        <f t="shared" si="21"/>
        <v>0</v>
      </c>
      <c r="N44" s="16">
        <f t="shared" si="21"/>
        <v>0</v>
      </c>
      <c r="O44" s="16">
        <f t="shared" si="21"/>
        <v>0</v>
      </c>
      <c r="P44" s="16">
        <f t="shared" si="21"/>
        <v>0</v>
      </c>
      <c r="Q44" s="16">
        <f t="shared" si="21"/>
        <v>0</v>
      </c>
      <c r="R44" s="16">
        <f t="shared" si="21"/>
        <v>0</v>
      </c>
      <c r="S44" s="16">
        <f t="shared" si="21"/>
        <v>0</v>
      </c>
      <c r="T44" s="16">
        <f t="shared" si="21"/>
        <v>0</v>
      </c>
      <c r="U44" s="16">
        <f t="shared" si="21"/>
        <v>0</v>
      </c>
      <c r="V44" s="16">
        <f t="shared" si="21"/>
        <v>0</v>
      </c>
      <c r="W44" s="16">
        <f t="shared" si="21"/>
        <v>0</v>
      </c>
      <c r="X44" s="16">
        <f t="shared" si="21"/>
        <v>0</v>
      </c>
      <c r="Y44" s="16">
        <f t="shared" si="21"/>
        <v>0</v>
      </c>
      <c r="Z44" s="16">
        <f t="shared" si="21"/>
        <v>0</v>
      </c>
      <c r="AA44" s="16">
        <f t="shared" si="21"/>
        <v>0</v>
      </c>
      <c r="AB44" s="16">
        <f t="shared" si="21"/>
        <v>0</v>
      </c>
      <c r="AC44" s="16">
        <f t="shared" si="21"/>
        <v>0</v>
      </c>
      <c r="AD44" s="16">
        <f t="shared" si="21"/>
        <v>0</v>
      </c>
      <c r="AE44" s="16">
        <f t="shared" si="21"/>
        <v>0</v>
      </c>
      <c r="AF44" s="16">
        <f t="shared" si="21"/>
        <v>0</v>
      </c>
      <c r="AG44" s="16">
        <f t="shared" si="21"/>
        <v>0</v>
      </c>
      <c r="AH44" s="16">
        <f t="shared" si="21"/>
        <v>0</v>
      </c>
      <c r="AI44" s="16">
        <f t="shared" si="21"/>
        <v>0</v>
      </c>
      <c r="AJ44" s="16">
        <f t="shared" si="21"/>
        <v>0</v>
      </c>
      <c r="AK44" s="16">
        <f t="shared" si="21"/>
        <v>0</v>
      </c>
      <c r="AL44" s="16">
        <f t="shared" si="21"/>
        <v>0</v>
      </c>
      <c r="AM44" s="16">
        <f t="shared" si="21"/>
        <v>0</v>
      </c>
      <c r="AN44" s="16">
        <f t="shared" si="21"/>
        <v>0</v>
      </c>
      <c r="AO44" s="16">
        <f t="shared" si="21"/>
        <v>0</v>
      </c>
      <c r="AP44" s="16">
        <f t="shared" si="21"/>
        <v>0</v>
      </c>
      <c r="AQ44" s="16">
        <f t="shared" si="21"/>
        <v>0</v>
      </c>
      <c r="AR44" s="16">
        <f t="shared" si="21"/>
        <v>0</v>
      </c>
    </row>
    <row r="45" spans="1:44" x14ac:dyDescent="0.2">
      <c r="B45" s="1" t="str">
        <f>Inputs!$C$30</f>
        <v>2% Discount Factor</v>
      </c>
      <c r="C45" s="76" t="s">
        <v>72</v>
      </c>
      <c r="D45" s="75">
        <f>SUM(F45:AR45)</f>
        <v>0</v>
      </c>
      <c r="E45" s="6"/>
      <c r="F45" s="16">
        <f t="shared" ref="F45:AR45" si="22">F27</f>
        <v>0</v>
      </c>
      <c r="G45" s="16">
        <f t="shared" si="22"/>
        <v>0</v>
      </c>
      <c r="H45" s="16">
        <f t="shared" si="22"/>
        <v>0</v>
      </c>
      <c r="I45" s="16">
        <f t="shared" si="22"/>
        <v>0</v>
      </c>
      <c r="J45" s="16">
        <f t="shared" si="22"/>
        <v>0</v>
      </c>
      <c r="K45" s="16">
        <f t="shared" si="22"/>
        <v>0</v>
      </c>
      <c r="L45" s="16">
        <f t="shared" si="22"/>
        <v>0</v>
      </c>
      <c r="M45" s="16">
        <f t="shared" si="22"/>
        <v>0</v>
      </c>
      <c r="N45" s="16">
        <f t="shared" si="22"/>
        <v>0</v>
      </c>
      <c r="O45" s="16">
        <f t="shared" si="22"/>
        <v>0</v>
      </c>
      <c r="P45" s="16">
        <f t="shared" si="22"/>
        <v>0</v>
      </c>
      <c r="Q45" s="16">
        <f t="shared" si="22"/>
        <v>0</v>
      </c>
      <c r="R45" s="16">
        <f t="shared" si="22"/>
        <v>0</v>
      </c>
      <c r="S45" s="16">
        <f t="shared" si="22"/>
        <v>0</v>
      </c>
      <c r="T45" s="16">
        <f t="shared" si="22"/>
        <v>0</v>
      </c>
      <c r="U45" s="16">
        <f t="shared" si="22"/>
        <v>0</v>
      </c>
      <c r="V45" s="16">
        <f t="shared" si="22"/>
        <v>0</v>
      </c>
      <c r="W45" s="16">
        <f t="shared" si="22"/>
        <v>0</v>
      </c>
      <c r="X45" s="16">
        <f t="shared" si="22"/>
        <v>0</v>
      </c>
      <c r="Y45" s="16">
        <f t="shared" si="22"/>
        <v>0</v>
      </c>
      <c r="Z45" s="16">
        <f t="shared" si="22"/>
        <v>0</v>
      </c>
      <c r="AA45" s="16">
        <f t="shared" si="22"/>
        <v>0</v>
      </c>
      <c r="AB45" s="16">
        <f t="shared" si="22"/>
        <v>0</v>
      </c>
      <c r="AC45" s="16">
        <f t="shared" si="22"/>
        <v>0</v>
      </c>
      <c r="AD45" s="16">
        <f t="shared" si="22"/>
        <v>0</v>
      </c>
      <c r="AE45" s="16">
        <f t="shared" si="22"/>
        <v>0</v>
      </c>
      <c r="AF45" s="16">
        <f t="shared" si="22"/>
        <v>0</v>
      </c>
      <c r="AG45" s="16">
        <f t="shared" si="22"/>
        <v>0</v>
      </c>
      <c r="AH45" s="16">
        <f t="shared" si="22"/>
        <v>0</v>
      </c>
      <c r="AI45" s="16">
        <f t="shared" si="22"/>
        <v>0</v>
      </c>
      <c r="AJ45" s="16">
        <f t="shared" si="22"/>
        <v>0</v>
      </c>
      <c r="AK45" s="16">
        <f t="shared" si="22"/>
        <v>0</v>
      </c>
      <c r="AL45" s="16">
        <f t="shared" si="22"/>
        <v>0</v>
      </c>
      <c r="AM45" s="16">
        <f t="shared" si="22"/>
        <v>0</v>
      </c>
      <c r="AN45" s="16">
        <f t="shared" si="22"/>
        <v>0</v>
      </c>
      <c r="AO45" s="16">
        <f t="shared" si="22"/>
        <v>0</v>
      </c>
      <c r="AP45" s="16">
        <f t="shared" si="22"/>
        <v>0</v>
      </c>
      <c r="AQ45" s="16">
        <f t="shared" si="22"/>
        <v>0</v>
      </c>
      <c r="AR45" s="16">
        <f t="shared" si="22"/>
        <v>0</v>
      </c>
    </row>
    <row r="46" spans="1:44" x14ac:dyDescent="0.2">
      <c r="B46" s="1" t="str">
        <f>Inputs!$C$31</f>
        <v>3.1% Discount Factor</v>
      </c>
      <c r="C46" s="76" t="s">
        <v>72</v>
      </c>
      <c r="D46" s="75">
        <f>SUM(F46:AR46)</f>
        <v>0</v>
      </c>
      <c r="E46" s="6"/>
      <c r="F46" s="16">
        <f t="shared" ref="F46:AR46" si="23">F28</f>
        <v>0</v>
      </c>
      <c r="G46" s="16">
        <f t="shared" si="23"/>
        <v>0</v>
      </c>
      <c r="H46" s="16">
        <f t="shared" si="23"/>
        <v>0</v>
      </c>
      <c r="I46" s="16">
        <f t="shared" si="23"/>
        <v>0</v>
      </c>
      <c r="J46" s="16">
        <f t="shared" si="23"/>
        <v>0</v>
      </c>
      <c r="K46" s="16">
        <f t="shared" si="23"/>
        <v>0</v>
      </c>
      <c r="L46" s="16">
        <f t="shared" si="23"/>
        <v>0</v>
      </c>
      <c r="M46" s="16">
        <f t="shared" si="23"/>
        <v>0</v>
      </c>
      <c r="N46" s="16">
        <f t="shared" si="23"/>
        <v>0</v>
      </c>
      <c r="O46" s="16">
        <f t="shared" si="23"/>
        <v>0</v>
      </c>
      <c r="P46" s="16">
        <f t="shared" si="23"/>
        <v>0</v>
      </c>
      <c r="Q46" s="16">
        <f t="shared" si="23"/>
        <v>0</v>
      </c>
      <c r="R46" s="16">
        <f t="shared" si="23"/>
        <v>0</v>
      </c>
      <c r="S46" s="16">
        <f t="shared" si="23"/>
        <v>0</v>
      </c>
      <c r="T46" s="16">
        <f t="shared" si="23"/>
        <v>0</v>
      </c>
      <c r="U46" s="16">
        <f t="shared" si="23"/>
        <v>0</v>
      </c>
      <c r="V46" s="16">
        <f t="shared" si="23"/>
        <v>0</v>
      </c>
      <c r="W46" s="16">
        <f t="shared" si="23"/>
        <v>0</v>
      </c>
      <c r="X46" s="16">
        <f t="shared" si="23"/>
        <v>0</v>
      </c>
      <c r="Y46" s="16">
        <f t="shared" si="23"/>
        <v>0</v>
      </c>
      <c r="Z46" s="16">
        <f t="shared" si="23"/>
        <v>0</v>
      </c>
      <c r="AA46" s="16">
        <f t="shared" si="23"/>
        <v>0</v>
      </c>
      <c r="AB46" s="16">
        <f t="shared" si="23"/>
        <v>0</v>
      </c>
      <c r="AC46" s="16">
        <f t="shared" si="23"/>
        <v>0</v>
      </c>
      <c r="AD46" s="16">
        <f t="shared" si="23"/>
        <v>0</v>
      </c>
      <c r="AE46" s="16">
        <f t="shared" si="23"/>
        <v>0</v>
      </c>
      <c r="AF46" s="16">
        <f t="shared" si="23"/>
        <v>0</v>
      </c>
      <c r="AG46" s="16">
        <f t="shared" si="23"/>
        <v>0</v>
      </c>
      <c r="AH46" s="16">
        <f t="shared" si="23"/>
        <v>0</v>
      </c>
      <c r="AI46" s="16">
        <f t="shared" si="23"/>
        <v>0</v>
      </c>
      <c r="AJ46" s="16">
        <f t="shared" si="23"/>
        <v>0</v>
      </c>
      <c r="AK46" s="16">
        <f t="shared" si="23"/>
        <v>0</v>
      </c>
      <c r="AL46" s="16">
        <f t="shared" si="23"/>
        <v>0</v>
      </c>
      <c r="AM46" s="16">
        <f t="shared" si="23"/>
        <v>0</v>
      </c>
      <c r="AN46" s="16">
        <f t="shared" si="23"/>
        <v>0</v>
      </c>
      <c r="AO46" s="16">
        <f t="shared" si="23"/>
        <v>0</v>
      </c>
      <c r="AP46" s="16">
        <f t="shared" si="23"/>
        <v>0</v>
      </c>
      <c r="AQ46" s="16">
        <f t="shared" si="23"/>
        <v>0</v>
      </c>
      <c r="AR46" s="16">
        <f t="shared" si="23"/>
        <v>0</v>
      </c>
    </row>
    <row r="47" spans="1:44" x14ac:dyDescent="0.2">
      <c r="C47" s="76"/>
      <c r="D47" s="6"/>
      <c r="E47" s="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1:44" ht="15" x14ac:dyDescent="0.25">
      <c r="A48" s="2" t="s">
        <v>314</v>
      </c>
      <c r="C48" s="12"/>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1:44" x14ac:dyDescent="0.2">
      <c r="B49" s="1" t="s">
        <v>209</v>
      </c>
      <c r="C49" s="76" t="s">
        <v>72</v>
      </c>
      <c r="D49" s="75">
        <f>SUM(F49:AR49)</f>
        <v>3511432.3702039262</v>
      </c>
      <c r="F49" s="16">
        <f>F38</f>
        <v>0</v>
      </c>
      <c r="G49" s="16">
        <f t="shared" ref="G49:AR49" si="24">G38</f>
        <v>0</v>
      </c>
      <c r="H49" s="16">
        <f t="shared" si="24"/>
        <v>0</v>
      </c>
      <c r="I49" s="16">
        <f t="shared" si="24"/>
        <v>0</v>
      </c>
      <c r="J49" s="16">
        <f t="shared" si="24"/>
        <v>0</v>
      </c>
      <c r="K49" s="16">
        <f t="shared" si="24"/>
        <v>0</v>
      </c>
      <c r="L49" s="16">
        <f t="shared" si="24"/>
        <v>0</v>
      </c>
      <c r="M49" s="16">
        <f t="shared" si="24"/>
        <v>0</v>
      </c>
      <c r="N49" s="16">
        <f t="shared" si="24"/>
        <v>0</v>
      </c>
      <c r="O49" s="16">
        <f t="shared" si="24"/>
        <v>0</v>
      </c>
      <c r="P49" s="16">
        <f t="shared" si="24"/>
        <v>0</v>
      </c>
      <c r="Q49" s="16">
        <f t="shared" si="24"/>
        <v>0</v>
      </c>
      <c r="R49" s="16">
        <f t="shared" si="24"/>
        <v>0</v>
      </c>
      <c r="S49" s="16">
        <f t="shared" si="24"/>
        <v>0</v>
      </c>
      <c r="T49" s="16">
        <f t="shared" si="24"/>
        <v>0</v>
      </c>
      <c r="U49" s="16">
        <f t="shared" si="24"/>
        <v>0</v>
      </c>
      <c r="V49" s="16">
        <f t="shared" si="24"/>
        <v>0</v>
      </c>
      <c r="W49" s="16">
        <f t="shared" si="24"/>
        <v>0</v>
      </c>
      <c r="X49" s="16">
        <f t="shared" si="24"/>
        <v>0</v>
      </c>
      <c r="Y49" s="16">
        <f t="shared" si="24"/>
        <v>0</v>
      </c>
      <c r="Z49" s="16">
        <f t="shared" si="24"/>
        <v>0</v>
      </c>
      <c r="AA49" s="16">
        <f t="shared" si="24"/>
        <v>0</v>
      </c>
      <c r="AB49" s="16">
        <f t="shared" si="24"/>
        <v>0</v>
      </c>
      <c r="AC49" s="16">
        <f t="shared" si="24"/>
        <v>0</v>
      </c>
      <c r="AD49" s="16">
        <f t="shared" si="24"/>
        <v>0</v>
      </c>
      <c r="AE49" s="16">
        <f t="shared" si="24"/>
        <v>0</v>
      </c>
      <c r="AF49" s="16">
        <f t="shared" si="24"/>
        <v>0</v>
      </c>
      <c r="AG49" s="16">
        <f t="shared" si="24"/>
        <v>0</v>
      </c>
      <c r="AH49" s="16">
        <f t="shared" si="24"/>
        <v>3511432.3702039262</v>
      </c>
      <c r="AI49" s="16">
        <f t="shared" si="24"/>
        <v>0</v>
      </c>
      <c r="AJ49" s="16">
        <f t="shared" si="24"/>
        <v>0</v>
      </c>
      <c r="AK49" s="16">
        <f t="shared" si="24"/>
        <v>0</v>
      </c>
      <c r="AL49" s="16">
        <f t="shared" si="24"/>
        <v>0</v>
      </c>
      <c r="AM49" s="16">
        <f t="shared" si="24"/>
        <v>0</v>
      </c>
      <c r="AN49" s="16">
        <f t="shared" si="24"/>
        <v>0</v>
      </c>
      <c r="AO49" s="16">
        <f t="shared" si="24"/>
        <v>0</v>
      </c>
      <c r="AP49" s="16">
        <f t="shared" si="24"/>
        <v>0</v>
      </c>
      <c r="AQ49" s="16">
        <f t="shared" si="24"/>
        <v>0</v>
      </c>
      <c r="AR49" s="16">
        <f t="shared" si="24"/>
        <v>0</v>
      </c>
    </row>
    <row r="50" spans="1:44" x14ac:dyDescent="0.2">
      <c r="B50" s="1" t="str">
        <f>Inputs!$C$30</f>
        <v>2% Discount Factor</v>
      </c>
      <c r="C50" s="76" t="s">
        <v>72</v>
      </c>
      <c r="D50" s="75">
        <f>SUM(F50:AR50)</f>
        <v>2140326.4294115785</v>
      </c>
      <c r="F50" s="16">
        <f t="shared" ref="F50:AR51" si="25">F39</f>
        <v>0</v>
      </c>
      <c r="G50" s="16">
        <f t="shared" si="25"/>
        <v>0</v>
      </c>
      <c r="H50" s="16">
        <f t="shared" si="25"/>
        <v>0</v>
      </c>
      <c r="I50" s="16">
        <f t="shared" si="25"/>
        <v>0</v>
      </c>
      <c r="J50" s="16">
        <f t="shared" si="25"/>
        <v>0</v>
      </c>
      <c r="K50" s="16">
        <f t="shared" si="25"/>
        <v>0</v>
      </c>
      <c r="L50" s="16">
        <f t="shared" si="25"/>
        <v>0</v>
      </c>
      <c r="M50" s="16">
        <f t="shared" si="25"/>
        <v>0</v>
      </c>
      <c r="N50" s="16">
        <f t="shared" si="25"/>
        <v>0</v>
      </c>
      <c r="O50" s="16">
        <f t="shared" si="25"/>
        <v>0</v>
      </c>
      <c r="P50" s="16">
        <f t="shared" si="25"/>
        <v>0</v>
      </c>
      <c r="Q50" s="16">
        <f t="shared" si="25"/>
        <v>0</v>
      </c>
      <c r="R50" s="16">
        <f t="shared" si="25"/>
        <v>0</v>
      </c>
      <c r="S50" s="16">
        <f t="shared" si="25"/>
        <v>0</v>
      </c>
      <c r="T50" s="16">
        <f t="shared" si="25"/>
        <v>0</v>
      </c>
      <c r="U50" s="16">
        <f t="shared" si="25"/>
        <v>0</v>
      </c>
      <c r="V50" s="16">
        <f t="shared" si="25"/>
        <v>0</v>
      </c>
      <c r="W50" s="16">
        <f t="shared" si="25"/>
        <v>0</v>
      </c>
      <c r="X50" s="16">
        <f t="shared" si="25"/>
        <v>0</v>
      </c>
      <c r="Y50" s="16">
        <f t="shared" si="25"/>
        <v>0</v>
      </c>
      <c r="Z50" s="16">
        <f t="shared" si="25"/>
        <v>0</v>
      </c>
      <c r="AA50" s="16">
        <f t="shared" si="25"/>
        <v>0</v>
      </c>
      <c r="AB50" s="16">
        <f t="shared" si="25"/>
        <v>0</v>
      </c>
      <c r="AC50" s="16">
        <f t="shared" si="25"/>
        <v>0</v>
      </c>
      <c r="AD50" s="16">
        <f t="shared" si="25"/>
        <v>0</v>
      </c>
      <c r="AE50" s="16">
        <f t="shared" si="25"/>
        <v>0</v>
      </c>
      <c r="AF50" s="16">
        <f t="shared" si="25"/>
        <v>0</v>
      </c>
      <c r="AG50" s="16">
        <f t="shared" si="25"/>
        <v>0</v>
      </c>
      <c r="AH50" s="16">
        <f t="shared" si="25"/>
        <v>2140326.4294115785</v>
      </c>
      <c r="AI50" s="16">
        <f t="shared" si="25"/>
        <v>0</v>
      </c>
      <c r="AJ50" s="16">
        <f t="shared" si="25"/>
        <v>0</v>
      </c>
      <c r="AK50" s="16">
        <f t="shared" si="25"/>
        <v>0</v>
      </c>
      <c r="AL50" s="16">
        <f t="shared" si="25"/>
        <v>0</v>
      </c>
      <c r="AM50" s="16">
        <f t="shared" si="25"/>
        <v>0</v>
      </c>
      <c r="AN50" s="16">
        <f t="shared" si="25"/>
        <v>0</v>
      </c>
      <c r="AO50" s="16">
        <f t="shared" si="25"/>
        <v>0</v>
      </c>
      <c r="AP50" s="16">
        <f t="shared" si="25"/>
        <v>0</v>
      </c>
      <c r="AQ50" s="16">
        <f t="shared" si="25"/>
        <v>0</v>
      </c>
      <c r="AR50" s="16">
        <f t="shared" si="25"/>
        <v>0</v>
      </c>
    </row>
    <row r="51" spans="1:44" x14ac:dyDescent="0.2">
      <c r="B51" s="1" t="str">
        <f>Inputs!$C$31</f>
        <v>3.1% Discount Factor</v>
      </c>
      <c r="C51" s="76" t="s">
        <v>72</v>
      </c>
      <c r="D51" s="75">
        <f>SUM(F51:AR51)</f>
        <v>1636883.1430861859</v>
      </c>
      <c r="F51" s="16">
        <f t="shared" si="25"/>
        <v>0</v>
      </c>
      <c r="G51" s="16">
        <f t="shared" si="25"/>
        <v>0</v>
      </c>
      <c r="H51" s="16">
        <f t="shared" si="25"/>
        <v>0</v>
      </c>
      <c r="I51" s="16">
        <f t="shared" si="25"/>
        <v>0</v>
      </c>
      <c r="J51" s="16">
        <f t="shared" si="25"/>
        <v>0</v>
      </c>
      <c r="K51" s="16">
        <f t="shared" si="25"/>
        <v>0</v>
      </c>
      <c r="L51" s="16">
        <f t="shared" si="25"/>
        <v>0</v>
      </c>
      <c r="M51" s="16">
        <f t="shared" si="25"/>
        <v>0</v>
      </c>
      <c r="N51" s="16">
        <f t="shared" si="25"/>
        <v>0</v>
      </c>
      <c r="O51" s="16">
        <f t="shared" si="25"/>
        <v>0</v>
      </c>
      <c r="P51" s="16">
        <f t="shared" si="25"/>
        <v>0</v>
      </c>
      <c r="Q51" s="16">
        <f t="shared" si="25"/>
        <v>0</v>
      </c>
      <c r="R51" s="16">
        <f t="shared" si="25"/>
        <v>0</v>
      </c>
      <c r="S51" s="16">
        <f t="shared" si="25"/>
        <v>0</v>
      </c>
      <c r="T51" s="16">
        <f t="shared" si="25"/>
        <v>0</v>
      </c>
      <c r="U51" s="16">
        <f t="shared" si="25"/>
        <v>0</v>
      </c>
      <c r="V51" s="16">
        <f t="shared" si="25"/>
        <v>0</v>
      </c>
      <c r="W51" s="16">
        <f t="shared" si="25"/>
        <v>0</v>
      </c>
      <c r="X51" s="16">
        <f t="shared" si="25"/>
        <v>0</v>
      </c>
      <c r="Y51" s="16">
        <f t="shared" si="25"/>
        <v>0</v>
      </c>
      <c r="Z51" s="16">
        <f t="shared" si="25"/>
        <v>0</v>
      </c>
      <c r="AA51" s="16">
        <f t="shared" si="25"/>
        <v>0</v>
      </c>
      <c r="AB51" s="16">
        <f t="shared" si="25"/>
        <v>0</v>
      </c>
      <c r="AC51" s="16">
        <f t="shared" si="25"/>
        <v>0</v>
      </c>
      <c r="AD51" s="16">
        <f t="shared" si="25"/>
        <v>0</v>
      </c>
      <c r="AE51" s="16">
        <f t="shared" si="25"/>
        <v>0</v>
      </c>
      <c r="AF51" s="16">
        <f t="shared" si="25"/>
        <v>0</v>
      </c>
      <c r="AG51" s="16">
        <f t="shared" si="25"/>
        <v>0</v>
      </c>
      <c r="AH51" s="16">
        <f t="shared" si="25"/>
        <v>1636883.1430861859</v>
      </c>
      <c r="AI51" s="16">
        <f t="shared" si="25"/>
        <v>0</v>
      </c>
      <c r="AJ51" s="16">
        <f t="shared" si="25"/>
        <v>0</v>
      </c>
      <c r="AK51" s="16">
        <f t="shared" si="25"/>
        <v>0</v>
      </c>
      <c r="AL51" s="16">
        <f t="shared" si="25"/>
        <v>0</v>
      </c>
      <c r="AM51" s="16">
        <f t="shared" si="25"/>
        <v>0</v>
      </c>
      <c r="AN51" s="16">
        <f t="shared" si="25"/>
        <v>0</v>
      </c>
      <c r="AO51" s="16">
        <f t="shared" si="25"/>
        <v>0</v>
      </c>
      <c r="AP51" s="16">
        <f t="shared" si="25"/>
        <v>0</v>
      </c>
      <c r="AQ51" s="16">
        <f t="shared" si="25"/>
        <v>0</v>
      </c>
      <c r="AR51" s="16">
        <f t="shared" si="25"/>
        <v>0</v>
      </c>
    </row>
    <row r="52" spans="1:44" x14ac:dyDescent="0.2">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1:44" ht="15" x14ac:dyDescent="0.25">
      <c r="A53" s="2" t="s">
        <v>239</v>
      </c>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1:44" x14ac:dyDescent="0.2">
      <c r="B54" s="1" t="s">
        <v>209</v>
      </c>
      <c r="C54" s="76" t="s">
        <v>72</v>
      </c>
      <c r="D54" s="75">
        <f>SUM(F54:AR54)</f>
        <v>3511432.3702039262</v>
      </c>
      <c r="F54" s="16">
        <f>F49-F44</f>
        <v>0</v>
      </c>
      <c r="G54" s="16">
        <f t="shared" ref="G54:AR54" si="26">G49-G44</f>
        <v>0</v>
      </c>
      <c r="H54" s="16">
        <f t="shared" si="26"/>
        <v>0</v>
      </c>
      <c r="I54" s="16">
        <f t="shared" si="26"/>
        <v>0</v>
      </c>
      <c r="J54" s="16">
        <f t="shared" si="26"/>
        <v>0</v>
      </c>
      <c r="K54" s="16">
        <f t="shared" si="26"/>
        <v>0</v>
      </c>
      <c r="L54" s="16">
        <f t="shared" si="26"/>
        <v>0</v>
      </c>
      <c r="M54" s="16">
        <f t="shared" si="26"/>
        <v>0</v>
      </c>
      <c r="N54" s="16">
        <f t="shared" si="26"/>
        <v>0</v>
      </c>
      <c r="O54" s="16">
        <f t="shared" si="26"/>
        <v>0</v>
      </c>
      <c r="P54" s="16">
        <f t="shared" si="26"/>
        <v>0</v>
      </c>
      <c r="Q54" s="16">
        <f t="shared" si="26"/>
        <v>0</v>
      </c>
      <c r="R54" s="16">
        <f t="shared" si="26"/>
        <v>0</v>
      </c>
      <c r="S54" s="16">
        <f t="shared" si="26"/>
        <v>0</v>
      </c>
      <c r="T54" s="16">
        <f t="shared" si="26"/>
        <v>0</v>
      </c>
      <c r="U54" s="16">
        <f t="shared" si="26"/>
        <v>0</v>
      </c>
      <c r="V54" s="16">
        <f t="shared" si="26"/>
        <v>0</v>
      </c>
      <c r="W54" s="16">
        <f t="shared" si="26"/>
        <v>0</v>
      </c>
      <c r="X54" s="16">
        <f t="shared" si="26"/>
        <v>0</v>
      </c>
      <c r="Y54" s="16">
        <f t="shared" si="26"/>
        <v>0</v>
      </c>
      <c r="Z54" s="16">
        <f t="shared" si="26"/>
        <v>0</v>
      </c>
      <c r="AA54" s="16">
        <f t="shared" si="26"/>
        <v>0</v>
      </c>
      <c r="AB54" s="16">
        <f t="shared" si="26"/>
        <v>0</v>
      </c>
      <c r="AC54" s="16">
        <f t="shared" si="26"/>
        <v>0</v>
      </c>
      <c r="AD54" s="16">
        <f t="shared" si="26"/>
        <v>0</v>
      </c>
      <c r="AE54" s="16">
        <f t="shared" si="26"/>
        <v>0</v>
      </c>
      <c r="AF54" s="16">
        <f t="shared" si="26"/>
        <v>0</v>
      </c>
      <c r="AG54" s="16">
        <f t="shared" si="26"/>
        <v>0</v>
      </c>
      <c r="AH54" s="16">
        <f t="shared" si="26"/>
        <v>3511432.3702039262</v>
      </c>
      <c r="AI54" s="16">
        <f t="shared" si="26"/>
        <v>0</v>
      </c>
      <c r="AJ54" s="16">
        <f t="shared" si="26"/>
        <v>0</v>
      </c>
      <c r="AK54" s="16">
        <f t="shared" si="26"/>
        <v>0</v>
      </c>
      <c r="AL54" s="16">
        <f t="shared" si="26"/>
        <v>0</v>
      </c>
      <c r="AM54" s="16">
        <f t="shared" si="26"/>
        <v>0</v>
      </c>
      <c r="AN54" s="16">
        <f t="shared" si="26"/>
        <v>0</v>
      </c>
      <c r="AO54" s="16">
        <f t="shared" si="26"/>
        <v>0</v>
      </c>
      <c r="AP54" s="16">
        <f t="shared" si="26"/>
        <v>0</v>
      </c>
      <c r="AQ54" s="16">
        <f t="shared" si="26"/>
        <v>0</v>
      </c>
      <c r="AR54" s="16">
        <f t="shared" si="26"/>
        <v>0</v>
      </c>
    </row>
    <row r="55" spans="1:44" x14ac:dyDescent="0.2">
      <c r="B55" s="1" t="str">
        <f>Inputs!$C$30</f>
        <v>2% Discount Factor</v>
      </c>
      <c r="C55" s="76" t="s">
        <v>72</v>
      </c>
      <c r="D55" s="75">
        <f>SUM(F55:AR55)</f>
        <v>2140326.4294115785</v>
      </c>
      <c r="F55" s="16">
        <f t="shared" ref="F55:AR55" si="27">F50-F45</f>
        <v>0</v>
      </c>
      <c r="G55" s="16">
        <f t="shared" si="27"/>
        <v>0</v>
      </c>
      <c r="H55" s="16">
        <f t="shared" si="27"/>
        <v>0</v>
      </c>
      <c r="I55" s="16">
        <f t="shared" si="27"/>
        <v>0</v>
      </c>
      <c r="J55" s="16">
        <f t="shared" si="27"/>
        <v>0</v>
      </c>
      <c r="K55" s="16">
        <f t="shared" si="27"/>
        <v>0</v>
      </c>
      <c r="L55" s="16">
        <f t="shared" si="27"/>
        <v>0</v>
      </c>
      <c r="M55" s="16">
        <f t="shared" si="27"/>
        <v>0</v>
      </c>
      <c r="N55" s="16">
        <f t="shared" si="27"/>
        <v>0</v>
      </c>
      <c r="O55" s="16">
        <f t="shared" si="27"/>
        <v>0</v>
      </c>
      <c r="P55" s="16">
        <f t="shared" si="27"/>
        <v>0</v>
      </c>
      <c r="Q55" s="16">
        <f t="shared" si="27"/>
        <v>0</v>
      </c>
      <c r="R55" s="16">
        <f t="shared" si="27"/>
        <v>0</v>
      </c>
      <c r="S55" s="16">
        <f t="shared" si="27"/>
        <v>0</v>
      </c>
      <c r="T55" s="16">
        <f t="shared" si="27"/>
        <v>0</v>
      </c>
      <c r="U55" s="16">
        <f t="shared" si="27"/>
        <v>0</v>
      </c>
      <c r="V55" s="16">
        <f t="shared" si="27"/>
        <v>0</v>
      </c>
      <c r="W55" s="16">
        <f t="shared" si="27"/>
        <v>0</v>
      </c>
      <c r="X55" s="16">
        <f t="shared" si="27"/>
        <v>0</v>
      </c>
      <c r="Y55" s="16">
        <f t="shared" si="27"/>
        <v>0</v>
      </c>
      <c r="Z55" s="16">
        <f t="shared" si="27"/>
        <v>0</v>
      </c>
      <c r="AA55" s="16">
        <f t="shared" si="27"/>
        <v>0</v>
      </c>
      <c r="AB55" s="16">
        <f t="shared" si="27"/>
        <v>0</v>
      </c>
      <c r="AC55" s="16">
        <f t="shared" si="27"/>
        <v>0</v>
      </c>
      <c r="AD55" s="16">
        <f t="shared" si="27"/>
        <v>0</v>
      </c>
      <c r="AE55" s="16">
        <f t="shared" si="27"/>
        <v>0</v>
      </c>
      <c r="AF55" s="16">
        <f t="shared" si="27"/>
        <v>0</v>
      </c>
      <c r="AG55" s="16">
        <f t="shared" si="27"/>
        <v>0</v>
      </c>
      <c r="AH55" s="16">
        <f t="shared" si="27"/>
        <v>2140326.4294115785</v>
      </c>
      <c r="AI55" s="16">
        <f t="shared" si="27"/>
        <v>0</v>
      </c>
      <c r="AJ55" s="16">
        <f t="shared" si="27"/>
        <v>0</v>
      </c>
      <c r="AK55" s="16">
        <f t="shared" si="27"/>
        <v>0</v>
      </c>
      <c r="AL55" s="16">
        <f t="shared" si="27"/>
        <v>0</v>
      </c>
      <c r="AM55" s="16">
        <f t="shared" si="27"/>
        <v>0</v>
      </c>
      <c r="AN55" s="16">
        <f t="shared" si="27"/>
        <v>0</v>
      </c>
      <c r="AO55" s="16">
        <f t="shared" si="27"/>
        <v>0</v>
      </c>
      <c r="AP55" s="16">
        <f t="shared" si="27"/>
        <v>0</v>
      </c>
      <c r="AQ55" s="16">
        <f t="shared" si="27"/>
        <v>0</v>
      </c>
      <c r="AR55" s="16">
        <f t="shared" si="27"/>
        <v>0</v>
      </c>
    </row>
    <row r="56" spans="1:44" x14ac:dyDescent="0.2">
      <c r="B56" s="1" t="str">
        <f>Inputs!$C$31</f>
        <v>3.1% Discount Factor</v>
      </c>
      <c r="C56" s="76" t="s">
        <v>72</v>
      </c>
      <c r="D56" s="75">
        <f>SUM(F56:AR56)</f>
        <v>1636883.1430861859</v>
      </c>
      <c r="F56" s="16">
        <f t="shared" ref="F56:AR56" si="28">F51-F46</f>
        <v>0</v>
      </c>
      <c r="G56" s="16">
        <f t="shared" si="28"/>
        <v>0</v>
      </c>
      <c r="H56" s="16">
        <f t="shared" si="28"/>
        <v>0</v>
      </c>
      <c r="I56" s="16">
        <f t="shared" si="28"/>
        <v>0</v>
      </c>
      <c r="J56" s="16">
        <f t="shared" si="28"/>
        <v>0</v>
      </c>
      <c r="K56" s="16">
        <f t="shared" si="28"/>
        <v>0</v>
      </c>
      <c r="L56" s="16">
        <f t="shared" si="28"/>
        <v>0</v>
      </c>
      <c r="M56" s="16">
        <f t="shared" si="28"/>
        <v>0</v>
      </c>
      <c r="N56" s="16">
        <f t="shared" si="28"/>
        <v>0</v>
      </c>
      <c r="O56" s="16">
        <f t="shared" si="28"/>
        <v>0</v>
      </c>
      <c r="P56" s="16">
        <f t="shared" si="28"/>
        <v>0</v>
      </c>
      <c r="Q56" s="16">
        <f t="shared" si="28"/>
        <v>0</v>
      </c>
      <c r="R56" s="16">
        <f t="shared" si="28"/>
        <v>0</v>
      </c>
      <c r="S56" s="16">
        <f t="shared" si="28"/>
        <v>0</v>
      </c>
      <c r="T56" s="16">
        <f t="shared" si="28"/>
        <v>0</v>
      </c>
      <c r="U56" s="16">
        <f t="shared" si="28"/>
        <v>0</v>
      </c>
      <c r="V56" s="16">
        <f t="shared" si="28"/>
        <v>0</v>
      </c>
      <c r="W56" s="16">
        <f t="shared" si="28"/>
        <v>0</v>
      </c>
      <c r="X56" s="16">
        <f t="shared" si="28"/>
        <v>0</v>
      </c>
      <c r="Y56" s="16">
        <f t="shared" si="28"/>
        <v>0</v>
      </c>
      <c r="Z56" s="16">
        <f t="shared" si="28"/>
        <v>0</v>
      </c>
      <c r="AA56" s="16">
        <f t="shared" si="28"/>
        <v>0</v>
      </c>
      <c r="AB56" s="16">
        <f t="shared" si="28"/>
        <v>0</v>
      </c>
      <c r="AC56" s="16">
        <f t="shared" si="28"/>
        <v>0</v>
      </c>
      <c r="AD56" s="16">
        <f t="shared" si="28"/>
        <v>0</v>
      </c>
      <c r="AE56" s="16">
        <f t="shared" si="28"/>
        <v>0</v>
      </c>
      <c r="AF56" s="16">
        <f t="shared" si="28"/>
        <v>0</v>
      </c>
      <c r="AG56" s="16">
        <f t="shared" si="28"/>
        <v>0</v>
      </c>
      <c r="AH56" s="16">
        <f t="shared" si="28"/>
        <v>1636883.1430861859</v>
      </c>
      <c r="AI56" s="16">
        <f t="shared" si="28"/>
        <v>0</v>
      </c>
      <c r="AJ56" s="16">
        <f t="shared" si="28"/>
        <v>0</v>
      </c>
      <c r="AK56" s="16">
        <f t="shared" si="28"/>
        <v>0</v>
      </c>
      <c r="AL56" s="16">
        <f t="shared" si="28"/>
        <v>0</v>
      </c>
      <c r="AM56" s="16">
        <f t="shared" si="28"/>
        <v>0</v>
      </c>
      <c r="AN56" s="16">
        <f t="shared" si="28"/>
        <v>0</v>
      </c>
      <c r="AO56" s="16">
        <f t="shared" si="28"/>
        <v>0</v>
      </c>
      <c r="AP56" s="16">
        <f t="shared" si="28"/>
        <v>0</v>
      </c>
      <c r="AQ56" s="16">
        <f t="shared" si="28"/>
        <v>0</v>
      </c>
      <c r="AR56" s="16">
        <f t="shared" si="28"/>
        <v>0</v>
      </c>
    </row>
    <row r="57" spans="1:44" x14ac:dyDescent="0.2">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101D-49ED-4BA3-B8EC-33D6A4E87A9B}">
  <sheetPr>
    <tabColor rgb="FF7030A0"/>
  </sheetPr>
  <dimension ref="B2:AJ71"/>
  <sheetViews>
    <sheetView topLeftCell="K6" zoomScale="85" zoomScaleNormal="85" workbookViewId="0">
      <selection activeCell="V17" sqref="V17"/>
    </sheetView>
  </sheetViews>
  <sheetFormatPr defaultRowHeight="15" x14ac:dyDescent="0.25"/>
  <cols>
    <col min="2" max="2" width="48" customWidth="1"/>
    <col min="3" max="3" width="45.28515625" customWidth="1"/>
    <col min="4" max="4" width="39" customWidth="1"/>
    <col min="5" max="5" width="28.85546875" customWidth="1"/>
    <col min="6" max="6" width="16.85546875" customWidth="1"/>
    <col min="7" max="7" width="11.42578125" customWidth="1"/>
    <col min="9" max="9" width="32.7109375" customWidth="1"/>
    <col min="10" max="10" width="20.140625" customWidth="1"/>
    <col min="11" max="11" width="22" customWidth="1"/>
    <col min="12" max="12" width="21.28515625" customWidth="1"/>
    <col min="14" max="14" width="38.85546875" bestFit="1" customWidth="1"/>
    <col min="15" max="15" width="14.42578125" customWidth="1"/>
    <col min="16" max="16" width="12" customWidth="1"/>
    <col min="17" max="17" width="39.28515625" customWidth="1"/>
    <col min="21" max="21" width="27.42578125" bestFit="1" customWidth="1"/>
    <col min="22" max="29" width="9.7109375" customWidth="1"/>
    <col min="30" max="30" width="11.5703125" bestFit="1" customWidth="1"/>
    <col min="32" max="32" width="21.7109375" bestFit="1" customWidth="1"/>
    <col min="33" max="33" width="27.140625" bestFit="1" customWidth="1"/>
    <col min="34" max="36" width="17.42578125" customWidth="1"/>
    <col min="37" max="37" width="13.140625" customWidth="1"/>
  </cols>
  <sheetData>
    <row r="2" spans="2:36" x14ac:dyDescent="0.25">
      <c r="B2" t="s">
        <v>315</v>
      </c>
    </row>
    <row r="3" spans="2:36" ht="52.5" customHeight="1" x14ac:dyDescent="0.25">
      <c r="B3" s="311" t="s">
        <v>316</v>
      </c>
      <c r="C3" s="311" t="s">
        <v>317</v>
      </c>
      <c r="D3" s="311" t="s">
        <v>318</v>
      </c>
      <c r="E3" s="311" t="s">
        <v>319</v>
      </c>
      <c r="F3" s="311" t="s">
        <v>320</v>
      </c>
    </row>
    <row r="4" spans="2:36" ht="45" x14ac:dyDescent="0.25">
      <c r="B4" s="470" t="s">
        <v>321</v>
      </c>
      <c r="C4" s="470" t="s">
        <v>322</v>
      </c>
      <c r="D4" s="312" t="s">
        <v>323</v>
      </c>
      <c r="E4" s="312" t="s">
        <v>324</v>
      </c>
      <c r="F4" s="313">
        <f>Summary!E13</f>
        <v>3.3623861773837058</v>
      </c>
    </row>
    <row r="5" spans="2:36" ht="60" x14ac:dyDescent="0.25">
      <c r="B5" s="470"/>
      <c r="C5" s="470"/>
      <c r="D5" s="312" t="s">
        <v>325</v>
      </c>
      <c r="E5" s="312" t="s">
        <v>326</v>
      </c>
      <c r="F5" s="313">
        <f>Summary!E14</f>
        <v>27.875542573536094</v>
      </c>
    </row>
    <row r="6" spans="2:36" ht="45" x14ac:dyDescent="0.25">
      <c r="B6" s="470"/>
      <c r="C6" s="470"/>
      <c r="D6" s="312" t="s">
        <v>327</v>
      </c>
      <c r="E6" s="312" t="s">
        <v>324</v>
      </c>
      <c r="F6" s="313">
        <f>Summary!E15</f>
        <v>8.9241305218828622</v>
      </c>
    </row>
    <row r="7" spans="2:36" ht="45" x14ac:dyDescent="0.25">
      <c r="B7" s="470"/>
      <c r="C7" s="470"/>
      <c r="D7" s="312" t="s">
        <v>328</v>
      </c>
      <c r="E7" s="312" t="s">
        <v>329</v>
      </c>
      <c r="F7" s="313">
        <f>Summary!E16</f>
        <v>0.22995002900390132</v>
      </c>
    </row>
    <row r="8" spans="2:36" ht="60" x14ac:dyDescent="0.25">
      <c r="B8" s="470"/>
      <c r="C8" s="470"/>
      <c r="D8" s="312" t="s">
        <v>330</v>
      </c>
      <c r="E8" s="312" t="s">
        <v>331</v>
      </c>
      <c r="F8" s="313">
        <f>Summary!E17</f>
        <v>3.2334813661098827</v>
      </c>
    </row>
    <row r="9" spans="2:36" ht="75" x14ac:dyDescent="0.25">
      <c r="B9" s="470"/>
      <c r="C9" s="470"/>
      <c r="D9" s="312" t="s">
        <v>332</v>
      </c>
      <c r="E9" s="312" t="s">
        <v>333</v>
      </c>
      <c r="F9" s="313">
        <f>Summary!E19</f>
        <v>2.144090495961375E-2</v>
      </c>
    </row>
    <row r="10" spans="2:36" ht="60" x14ac:dyDescent="0.25">
      <c r="B10" s="470"/>
      <c r="C10" s="470"/>
      <c r="D10" s="312" t="s">
        <v>334</v>
      </c>
      <c r="E10" s="312" t="s">
        <v>335</v>
      </c>
      <c r="F10" s="313">
        <f>Summary!E21</f>
        <v>1.6368831430861859</v>
      </c>
    </row>
    <row r="11" spans="2:36" x14ac:dyDescent="0.25">
      <c r="B11" s="473" t="s">
        <v>261</v>
      </c>
      <c r="C11" s="473"/>
      <c r="D11" s="473"/>
      <c r="E11" s="473"/>
      <c r="F11" s="314">
        <f>SUM(F4:F10)</f>
        <v>45.283814715962251</v>
      </c>
    </row>
    <row r="12" spans="2:36" x14ac:dyDescent="0.25">
      <c r="B12" s="306"/>
      <c r="C12" s="306"/>
      <c r="D12" s="282"/>
      <c r="E12" s="282"/>
      <c r="F12" s="281"/>
    </row>
    <row r="13" spans="2:36" x14ac:dyDescent="0.25">
      <c r="AG13" t="s">
        <v>336</v>
      </c>
      <c r="AH13">
        <f>Summary!E34</f>
        <v>25.311728931663222</v>
      </c>
      <c r="AJ13" s="91">
        <f>Summary!E9</f>
        <v>2.0575994382092198</v>
      </c>
    </row>
    <row r="14" spans="2:36" x14ac:dyDescent="0.25">
      <c r="I14" s="269" t="s">
        <v>337</v>
      </c>
      <c r="J14" s="268"/>
      <c r="K14" s="268"/>
      <c r="L14" s="268"/>
      <c r="N14" s="269" t="s">
        <v>338</v>
      </c>
      <c r="O14" s="268"/>
      <c r="P14" s="268"/>
      <c r="Q14" s="268"/>
      <c r="AG14" t="s">
        <v>339</v>
      </c>
      <c r="AH14">
        <v>7.0410706654555284</v>
      </c>
      <c r="AJ14">
        <v>1.4816410174706116</v>
      </c>
    </row>
    <row r="15" spans="2:36" ht="29.25" customHeight="1" x14ac:dyDescent="0.25">
      <c r="D15" s="282"/>
      <c r="I15" s="270" t="s">
        <v>340</v>
      </c>
      <c r="J15" s="271" t="s">
        <v>209</v>
      </c>
      <c r="K15" s="271" t="s">
        <v>341</v>
      </c>
      <c r="L15" s="272" t="s">
        <v>342</v>
      </c>
      <c r="N15" s="315" t="str">
        <f>Inputs!C10</f>
        <v>Variable</v>
      </c>
      <c r="O15" s="315" t="str">
        <f>Inputs!D10</f>
        <v>Unit</v>
      </c>
      <c r="P15" s="315" t="str">
        <f>Inputs!E10</f>
        <v>Value</v>
      </c>
      <c r="Q15" s="315" t="str">
        <f>Inputs!F10</f>
        <v xml:space="preserve">Source </v>
      </c>
      <c r="U15" s="471" t="s">
        <v>343</v>
      </c>
      <c r="V15" s="466">
        <f>'REF Traffic'!W3</f>
        <v>2023</v>
      </c>
      <c r="W15" s="466"/>
      <c r="X15" s="466">
        <f>'REF Traffic'!Z3</f>
        <v>2046</v>
      </c>
      <c r="Y15" s="466"/>
      <c r="AA15" s="466" t="s">
        <v>344</v>
      </c>
      <c r="AB15" s="466"/>
      <c r="AC15" s="466"/>
      <c r="AD15" s="315" t="s">
        <v>345</v>
      </c>
      <c r="AF15" s="315" t="s">
        <v>346</v>
      </c>
      <c r="AG15" s="315" t="s">
        <v>347</v>
      </c>
      <c r="AH15" s="315" t="s">
        <v>348</v>
      </c>
      <c r="AI15" s="315" t="s">
        <v>349</v>
      </c>
      <c r="AJ15" s="315" t="s">
        <v>350</v>
      </c>
    </row>
    <row r="16" spans="2:36" x14ac:dyDescent="0.25">
      <c r="I16" s="273" t="s">
        <v>351</v>
      </c>
      <c r="J16" s="275">
        <f>Summary!C22</f>
        <v>82.332609603398495</v>
      </c>
      <c r="K16" s="275">
        <f>Summary!D22</f>
        <v>58.780956814765652</v>
      </c>
      <c r="L16" s="275">
        <f>Summary!E22</f>
        <v>49.244919530291291</v>
      </c>
      <c r="N16" s="283" t="str">
        <f>Inputs!C60</f>
        <v>Non-incapacitating injuries or possible injury</v>
      </c>
      <c r="O16" s="283" t="str">
        <f>Inputs!D60</f>
        <v>Incidents/year</v>
      </c>
      <c r="P16" s="287">
        <f>Inputs!E60</f>
        <v>1.7777777777777777</v>
      </c>
      <c r="Q16" s="283" t="str">
        <f>Inputs!F60</f>
        <v>ODOT Data</v>
      </c>
      <c r="U16" s="472"/>
      <c r="V16" s="315" t="str">
        <f>'REF Traffic'!W4</f>
        <v>AM</v>
      </c>
      <c r="W16" s="315" t="str">
        <f>'REF Traffic'!Y4</f>
        <v>PM</v>
      </c>
      <c r="X16" s="315" t="str">
        <f>'REF Traffic'!Z4</f>
        <v xml:space="preserve">AM </v>
      </c>
      <c r="Y16" s="315" t="str">
        <f>'REF Traffic'!AB4</f>
        <v>PM</v>
      </c>
      <c r="AA16" s="475" t="s">
        <v>352</v>
      </c>
      <c r="AB16" s="476"/>
      <c r="AC16" s="319">
        <v>2023</v>
      </c>
      <c r="AD16" s="474" t="s">
        <v>353</v>
      </c>
      <c r="AF16" s="465" t="s">
        <v>354</v>
      </c>
      <c r="AG16" s="283" t="s">
        <v>355</v>
      </c>
      <c r="AH16" s="308">
        <v>5.3510943868297929</v>
      </c>
      <c r="AI16" s="307">
        <f t="shared" ref="AI16:AI22" si="0">(AH16-$AH$14)/$AH$14</f>
        <v>-0.24001694613249575</v>
      </c>
      <c r="AJ16" s="287">
        <v>1.3660390113251673</v>
      </c>
    </row>
    <row r="17" spans="9:36" x14ac:dyDescent="0.25">
      <c r="I17" s="273" t="s">
        <v>356</v>
      </c>
      <c r="J17" s="276">
        <f>Summary!C20</f>
        <v>3.6161773652176512</v>
      </c>
      <c r="K17" s="276">
        <f>Summary!D20</f>
        <v>2.6119269830089764</v>
      </c>
      <c r="L17" s="277">
        <f>Summary!E20</f>
        <v>2.2031627546660202</v>
      </c>
      <c r="N17" s="283" t="str">
        <f>Inputs!C61</f>
        <v>PDO</v>
      </c>
      <c r="O17" s="283" t="str">
        <f>Inputs!D61</f>
        <v>Incidents/year</v>
      </c>
      <c r="P17" s="287">
        <f>Inputs!E61</f>
        <v>2</v>
      </c>
      <c r="Q17" s="283" t="str">
        <f>Inputs!F61</f>
        <v>ODOT Data</v>
      </c>
      <c r="U17" s="317" t="s">
        <v>357</v>
      </c>
      <c r="V17" s="317">
        <f>'REF Traffic'!W5</f>
        <v>47</v>
      </c>
      <c r="W17" s="317">
        <f>'REF Traffic'!Y5</f>
        <v>44</v>
      </c>
      <c r="X17" s="317">
        <f>'REF Traffic'!Z5</f>
        <v>179</v>
      </c>
      <c r="Y17" s="317">
        <f>'REF Traffic'!AB5</f>
        <v>249</v>
      </c>
      <c r="AA17" s="475" t="s">
        <v>358</v>
      </c>
      <c r="AB17" s="476"/>
      <c r="AC17" s="320">
        <v>68.5</v>
      </c>
      <c r="AD17" s="474"/>
      <c r="AE17" s="303"/>
      <c r="AF17" s="465"/>
      <c r="AG17" s="283" t="s">
        <v>359</v>
      </c>
      <c r="AH17" s="308">
        <v>8.7310469440812639</v>
      </c>
      <c r="AI17" s="307">
        <f t="shared" si="0"/>
        <v>0.24001694613249575</v>
      </c>
      <c r="AJ17" s="287">
        <v>1.5972430236160557</v>
      </c>
    </row>
    <row r="18" spans="9:36" x14ac:dyDescent="0.25">
      <c r="I18" s="273" t="s">
        <v>360</v>
      </c>
      <c r="J18" s="276">
        <f>Summary!C27</f>
        <v>-27.335510498564162</v>
      </c>
      <c r="K18" s="276">
        <f>Summary!D27</f>
        <v>-25.07631834171999</v>
      </c>
      <c r="L18" s="277">
        <f>Summary!E27</f>
        <v>-23.93319059862807</v>
      </c>
      <c r="N18" s="283" t="str">
        <f>Inputs!C62</f>
        <v>Total Crashes</v>
      </c>
      <c r="O18" s="283" t="str">
        <f>Inputs!D62</f>
        <v>Incidents/year</v>
      </c>
      <c r="P18" s="287">
        <f>Inputs!E62</f>
        <v>3.7777777777777777</v>
      </c>
      <c r="Q18" s="283" t="str">
        <f>Inputs!F62</f>
        <v>ODOT Data</v>
      </c>
      <c r="U18" s="317" t="s">
        <v>361</v>
      </c>
      <c r="V18" s="317">
        <f>'REF Traffic'!W6</f>
        <v>27</v>
      </c>
      <c r="W18" s="317">
        <f>'REF Traffic'!Y6</f>
        <v>32</v>
      </c>
      <c r="X18" s="317">
        <f>'REF Traffic'!Z6</f>
        <v>85</v>
      </c>
      <c r="Y18" s="317">
        <f>'REF Traffic'!AB6</f>
        <v>145</v>
      </c>
      <c r="AF18" s="465" t="s">
        <v>362</v>
      </c>
      <c r="AG18" s="283" t="s">
        <v>355</v>
      </c>
      <c r="AH18" s="308">
        <v>5.3510943868297929</v>
      </c>
      <c r="AI18" s="307">
        <f t="shared" si="0"/>
        <v>-0.24001694613249575</v>
      </c>
      <c r="AJ18" s="287">
        <v>1.3660390113251673</v>
      </c>
    </row>
    <row r="19" spans="9:36" x14ac:dyDescent="0.25">
      <c r="I19" s="273" t="s">
        <v>24</v>
      </c>
      <c r="J19" s="274">
        <f>Summary!C34</f>
        <v>54.997099104834334</v>
      </c>
      <c r="K19" s="274">
        <f>Summary!D34</f>
        <v>33.704638473045662</v>
      </c>
      <c r="L19" s="275">
        <f>Summary!E34</f>
        <v>25.311728931663222</v>
      </c>
      <c r="N19" s="283" t="str">
        <f>Inputs!C63</f>
        <v>Base Year</v>
      </c>
      <c r="O19" s="283" t="str">
        <f>Inputs!D63</f>
        <v>year</v>
      </c>
      <c r="P19" s="283">
        <f>Inputs!E63</f>
        <v>2021</v>
      </c>
      <c r="Q19" s="283" t="str">
        <f>Inputs!F63</f>
        <v>ODOT Data</v>
      </c>
      <c r="U19" s="317" t="s">
        <v>363</v>
      </c>
      <c r="V19" s="317">
        <f>'REF Traffic'!W7</f>
        <v>20</v>
      </c>
      <c r="W19" s="317">
        <f>'REF Traffic'!Y7</f>
        <v>12</v>
      </c>
      <c r="X19" s="317">
        <f>'REF Traffic'!Z7</f>
        <v>94</v>
      </c>
      <c r="Y19" s="317">
        <f>'REF Traffic'!AB7</f>
        <v>104</v>
      </c>
      <c r="AF19" s="465"/>
      <c r="AG19" s="283" t="s">
        <v>359</v>
      </c>
      <c r="AH19" s="308">
        <v>8.7310469440812639</v>
      </c>
      <c r="AI19" s="307">
        <f t="shared" si="0"/>
        <v>0.24001694613249575</v>
      </c>
      <c r="AJ19" s="287">
        <v>1.5972430236160557</v>
      </c>
    </row>
    <row r="20" spans="9:36" x14ac:dyDescent="0.25">
      <c r="I20" s="273" t="s">
        <v>364</v>
      </c>
      <c r="J20" s="278">
        <f>Summary!C35</f>
        <v>3.0119287367149457</v>
      </c>
      <c r="K20" s="278">
        <f>Summary!D35</f>
        <v>2.3440824132851494</v>
      </c>
      <c r="L20" s="279">
        <f>Summary!E35</f>
        <v>2.0575994382092198</v>
      </c>
      <c r="N20" s="283" t="str">
        <f>Inputs!C64</f>
        <v>Non-incapacitating injuries or possible injury</v>
      </c>
      <c r="O20" s="283" t="str">
        <f>Inputs!D64</f>
        <v>$/incident</v>
      </c>
      <c r="P20" s="288">
        <f>Inputs!E64</f>
        <v>233800</v>
      </c>
      <c r="Q20" s="283" t="str">
        <f>Inputs!F64</f>
        <v>BCA Guidelines Table A-1</v>
      </c>
      <c r="AF20" s="465" t="s">
        <v>237</v>
      </c>
      <c r="AG20" s="283" t="s">
        <v>355</v>
      </c>
      <c r="AH20" s="308">
        <v>6.8090591716935904</v>
      </c>
      <c r="AI20" s="307">
        <f t="shared" si="0"/>
        <v>-3.2951166773573036E-2</v>
      </c>
      <c r="AJ20" s="287">
        <v>1.465770383978944</v>
      </c>
    </row>
    <row r="21" spans="9:36" x14ac:dyDescent="0.25">
      <c r="I21" s="280" t="s">
        <v>27</v>
      </c>
      <c r="J21" s="467">
        <f>Summary!C37</f>
        <v>0.10166936967797668</v>
      </c>
      <c r="K21" s="468"/>
      <c r="L21" s="469"/>
      <c r="N21" s="283" t="str">
        <f>Inputs!C65</f>
        <v>PDO</v>
      </c>
      <c r="O21" s="283" t="str">
        <f>Inputs!D65</f>
        <v>$/incident</v>
      </c>
      <c r="P21" s="288">
        <f>Inputs!E65</f>
        <v>9100</v>
      </c>
      <c r="Q21" s="283" t="str">
        <f>Inputs!F65</f>
        <v>BCA Guidelines Table A-2</v>
      </c>
      <c r="AF21" s="465"/>
      <c r="AG21" s="283" t="s">
        <v>359</v>
      </c>
      <c r="AH21" s="308">
        <v>7.2730821592174735</v>
      </c>
      <c r="AI21" s="307">
        <f t="shared" si="0"/>
        <v>3.2951166773574042E-2</v>
      </c>
      <c r="AJ21" s="287">
        <v>1.4975116509622795</v>
      </c>
    </row>
    <row r="22" spans="9:36" x14ac:dyDescent="0.25">
      <c r="U22" t="s">
        <v>365</v>
      </c>
      <c r="AF22" s="305" t="s">
        <v>198</v>
      </c>
      <c r="AG22" s="283" t="s">
        <v>366</v>
      </c>
      <c r="AH22" s="308">
        <v>12.195960856807847</v>
      </c>
      <c r="AI22" s="307">
        <f t="shared" si="0"/>
        <v>0.73211737763731399</v>
      </c>
      <c r="AJ22" s="287">
        <v>1.8342587761437634</v>
      </c>
    </row>
    <row r="23" spans="9:36" x14ac:dyDescent="0.25">
      <c r="U23" s="1" t="s">
        <v>367</v>
      </c>
      <c r="V23" s="93">
        <f>('Time Savings'!AH$61-'Time Savings'!AH$98)*'Time Savings'!AH$11*'Time Savings'!AH15</f>
        <v>0</v>
      </c>
      <c r="W23" s="62">
        <f>V23/'Time Savings'!$AH$105</f>
        <v>0</v>
      </c>
      <c r="AF23" s="465" t="s">
        <v>19</v>
      </c>
      <c r="AG23" s="283" t="s">
        <v>355</v>
      </c>
      <c r="AH23" s="308">
        <v>9.971087043463422</v>
      </c>
      <c r="AI23" s="307">
        <f t="shared" ref="AI23:AI24" si="1">(AH23-$AH$14)/$AH$14</f>
        <v>0.416132221535989</v>
      </c>
      <c r="AJ23" s="287">
        <v>1.8530388177982002</v>
      </c>
    </row>
    <row r="24" spans="9:36" x14ac:dyDescent="0.25">
      <c r="I24" s="269" t="s">
        <v>368</v>
      </c>
      <c r="J24" s="268"/>
      <c r="K24" s="268"/>
      <c r="L24" s="268"/>
      <c r="U24" s="1" t="s">
        <v>369</v>
      </c>
      <c r="V24" s="93">
        <f>('Time Savings'!AH$48-'Time Savings'!AH$86)*'Time Savings'!AH$11*'Time Savings'!AH15</f>
        <v>3569880.1932000048</v>
      </c>
      <c r="W24" s="62">
        <f>V24/'Time Savings'!$AH$105</f>
        <v>0.99999999999999989</v>
      </c>
      <c r="AF24" s="465"/>
      <c r="AG24" s="283" t="s">
        <v>359</v>
      </c>
      <c r="AH24" s="308">
        <v>4.1110542874476366</v>
      </c>
      <c r="AI24" s="307">
        <f t="shared" si="1"/>
        <v>-0.41613222153598878</v>
      </c>
      <c r="AJ24" s="287">
        <v>1.2342623282871206</v>
      </c>
    </row>
    <row r="25" spans="9:36" ht="28.5" x14ac:dyDescent="0.25">
      <c r="I25" s="315" t="s">
        <v>370</v>
      </c>
      <c r="J25" s="316" t="s">
        <v>209</v>
      </c>
      <c r="K25" s="316" t="s">
        <v>341</v>
      </c>
      <c r="L25" s="316" t="s">
        <v>342</v>
      </c>
    </row>
    <row r="26" spans="9:36" x14ac:dyDescent="0.25">
      <c r="I26" s="283" t="str">
        <f>Summary!B27</f>
        <v>Capital Cost</v>
      </c>
      <c r="J26" s="310">
        <f>-Summary!C27</f>
        <v>27.335510498564162</v>
      </c>
      <c r="K26" s="310">
        <f>-Summary!D27</f>
        <v>25.07631834171999</v>
      </c>
      <c r="L26" s="310">
        <f>-Summary!E27</f>
        <v>23.93319059862807</v>
      </c>
    </row>
    <row r="27" spans="9:36" x14ac:dyDescent="0.25">
      <c r="I27" s="283" t="s">
        <v>371</v>
      </c>
      <c r="J27" s="310">
        <f>-Summary!C20</f>
        <v>-3.6161773652176512</v>
      </c>
      <c r="K27" s="310">
        <f>-Summary!D20</f>
        <v>-2.6119269830089764</v>
      </c>
      <c r="L27" s="310">
        <f>-Summary!E20</f>
        <v>-2.2031627546660202</v>
      </c>
    </row>
    <row r="28" spans="9:36" x14ac:dyDescent="0.25">
      <c r="I28" s="284" t="s">
        <v>30</v>
      </c>
      <c r="J28" s="286">
        <f>SUM(J26:J27)</f>
        <v>23.71933313334651</v>
      </c>
      <c r="K28" s="286">
        <f>SUM(K26:K27)</f>
        <v>22.464391358711012</v>
      </c>
      <c r="L28" s="286">
        <f>SUM(L26:L27)</f>
        <v>21.730027843962048</v>
      </c>
    </row>
    <row r="30" spans="9:36" x14ac:dyDescent="0.25">
      <c r="I30" s="269" t="s">
        <v>372</v>
      </c>
      <c r="J30" s="268"/>
      <c r="K30" s="268"/>
      <c r="L30" s="268"/>
    </row>
    <row r="31" spans="9:36" ht="28.5" x14ac:dyDescent="0.25">
      <c r="I31" s="315" t="s">
        <v>340</v>
      </c>
      <c r="J31" s="316" t="s">
        <v>209</v>
      </c>
      <c r="K31" s="316" t="s">
        <v>341</v>
      </c>
      <c r="L31" s="316" t="s">
        <v>342</v>
      </c>
      <c r="AG31" s="304" t="s">
        <v>347</v>
      </c>
      <c r="AH31" s="304" t="s">
        <v>348</v>
      </c>
      <c r="AI31" s="304" t="s">
        <v>349</v>
      </c>
      <c r="AJ31" s="304" t="s">
        <v>350</v>
      </c>
    </row>
    <row r="32" spans="9:36" x14ac:dyDescent="0.25">
      <c r="I32" s="283" t="str">
        <f>Summary!B13</f>
        <v>Safety Benefits</v>
      </c>
      <c r="J32" s="310">
        <f>Summary!C13</f>
        <v>5.4038684577687981</v>
      </c>
      <c r="K32" s="310">
        <f>Summary!D13</f>
        <v>3.9583510086513001</v>
      </c>
      <c r="L32" s="310">
        <f>Summary!E13</f>
        <v>3.3623861773837058</v>
      </c>
      <c r="AG32" s="283" t="s">
        <v>178</v>
      </c>
      <c r="AH32" s="308" t="s">
        <v>179</v>
      </c>
      <c r="AI32" s="307">
        <v>10</v>
      </c>
      <c r="AJ32" s="287">
        <v>1.3660390113251673</v>
      </c>
    </row>
    <row r="33" spans="9:36" x14ac:dyDescent="0.25">
      <c r="I33" s="283" t="str">
        <f>Summary!B14</f>
        <v xml:space="preserve">Travel Time </v>
      </c>
      <c r="J33" s="310">
        <f>Summary!C14</f>
        <v>46.682487378913088</v>
      </c>
      <c r="K33" s="310">
        <f>Summary!D14</f>
        <v>33.303221868294443</v>
      </c>
      <c r="L33" s="310">
        <f>Summary!E14</f>
        <v>27.875542573536094</v>
      </c>
      <c r="AG33" s="283" t="s">
        <v>181</v>
      </c>
      <c r="AH33" s="308" t="s">
        <v>182</v>
      </c>
      <c r="AI33" s="307">
        <v>4</v>
      </c>
      <c r="AJ33" s="287">
        <v>1.5972430236160557</v>
      </c>
    </row>
    <row r="34" spans="9:36" x14ac:dyDescent="0.25">
      <c r="I34" s="283" t="str">
        <f>Summary!B15</f>
        <v>Reduced Vehicle Operating Costs</v>
      </c>
      <c r="J34" s="310">
        <f>Summary!C15</f>
        <v>14.647445846315867</v>
      </c>
      <c r="K34" s="310">
        <f>Summary!D15</f>
        <v>10.584707696225788</v>
      </c>
      <c r="L34" s="310">
        <f>Summary!E15</f>
        <v>8.9241305218828622</v>
      </c>
      <c r="AG34" s="283" t="s">
        <v>183</v>
      </c>
      <c r="AH34" s="308" t="s">
        <v>179</v>
      </c>
      <c r="AI34" s="307">
        <v>276</v>
      </c>
      <c r="AJ34" s="287">
        <v>1.3660390113251673</v>
      </c>
    </row>
    <row r="35" spans="9:36" x14ac:dyDescent="0.25">
      <c r="I35" s="283" t="str">
        <f>Summary!B16</f>
        <v>Emissions Reduction*</v>
      </c>
      <c r="J35" s="310">
        <f>Summary!C16</f>
        <v>0.37925307140232301</v>
      </c>
      <c r="K35" s="310">
        <f>Summary!D16</f>
        <v>0.27104248757165067</v>
      </c>
      <c r="L35" s="310">
        <f>Summary!E16</f>
        <v>0.22995002900390132</v>
      </c>
      <c r="N35" s="269" t="s">
        <v>16</v>
      </c>
      <c r="AG35" s="283" t="s">
        <v>184</v>
      </c>
      <c r="AH35" s="308" t="s">
        <v>185</v>
      </c>
      <c r="AI35" s="307">
        <v>3.6231884057971016E-2</v>
      </c>
      <c r="AJ35" s="287">
        <v>1.5972430236160557</v>
      </c>
    </row>
    <row r="36" spans="9:36" x14ac:dyDescent="0.25">
      <c r="I36" s="283" t="str">
        <f>Summary!B17</f>
        <v>Pedestrian / Cycling Improvements</v>
      </c>
      <c r="J36" s="310">
        <f>Summary!C17</f>
        <v>5.202041917627132</v>
      </c>
      <c r="K36" s="310">
        <f>Summary!D17</f>
        <v>3.8084108283380558</v>
      </c>
      <c r="L36" s="310">
        <f>Summary!E17</f>
        <v>3.2334813661098827</v>
      </c>
      <c r="N36" s="315" t="s">
        <v>37</v>
      </c>
      <c r="O36" s="315" t="s">
        <v>38</v>
      </c>
      <c r="P36" s="315" t="s">
        <v>39</v>
      </c>
      <c r="Q36" s="315" t="s">
        <v>373</v>
      </c>
      <c r="U36" s="147" t="s">
        <v>374</v>
      </c>
      <c r="AG36" s="283" t="s">
        <v>184</v>
      </c>
      <c r="AH36" s="308" t="s">
        <v>186</v>
      </c>
      <c r="AI36" s="307">
        <v>9.057971014492754E-3</v>
      </c>
      <c r="AJ36" s="287">
        <v>1.465770383978944</v>
      </c>
    </row>
    <row r="37" spans="9:36" x14ac:dyDescent="0.25">
      <c r="I37" s="283" t="str">
        <f>Summary!B19</f>
        <v>Reduced Bridge Hits</v>
      </c>
      <c r="J37" s="310">
        <f>Summary!C19</f>
        <v>3.3887837040307976E-2</v>
      </c>
      <c r="K37" s="310">
        <f>Summary!D19</f>
        <v>2.5093938186007452E-2</v>
      </c>
      <c r="L37" s="310">
        <f>Summary!E19</f>
        <v>2.144090495961375E-2</v>
      </c>
      <c r="N37" s="283" t="str">
        <f>Inputs!C38</f>
        <v>Project Bridge Cost (for Residual Life calculation)</v>
      </c>
      <c r="O37" s="283" t="str">
        <f>Inputs!D38</f>
        <v>$</v>
      </c>
      <c r="P37" s="288">
        <f>Inputs!E38</f>
        <v>7022864.7404078525</v>
      </c>
      <c r="Q37" s="283" t="str">
        <f>Inputs!F38</f>
        <v>Bridge Costs Provided from ODOT</v>
      </c>
      <c r="U37" s="466" t="s">
        <v>375</v>
      </c>
      <c r="V37" s="466">
        <v>2023</v>
      </c>
      <c r="W37" s="466"/>
      <c r="X37" s="466">
        <v>2046</v>
      </c>
      <c r="Y37" s="466"/>
      <c r="AG37" s="283" t="s">
        <v>187</v>
      </c>
      <c r="AH37" s="308" t="s">
        <v>72</v>
      </c>
      <c r="AI37" s="307">
        <v>0</v>
      </c>
      <c r="AJ37" s="287">
        <v>1.4975116509622795</v>
      </c>
    </row>
    <row r="38" spans="9:36" x14ac:dyDescent="0.25">
      <c r="I38" s="283" t="str">
        <f>Summary!B21</f>
        <v>Residual Value</v>
      </c>
      <c r="J38" s="310">
        <f>Summary!C21</f>
        <v>3.5114323702039263</v>
      </c>
      <c r="K38" s="310">
        <f>Summary!D21</f>
        <v>2.1403264294115782</v>
      </c>
      <c r="L38" s="310">
        <f>Summary!E21</f>
        <v>1.6368831430861859</v>
      </c>
      <c r="N38" s="283" t="str">
        <f>Inputs!C39</f>
        <v>Useful Life</v>
      </c>
      <c r="O38" s="283" t="str">
        <f>Inputs!D39</f>
        <v>Years</v>
      </c>
      <c r="P38" s="283">
        <f>Inputs!E39</f>
        <v>40</v>
      </c>
      <c r="Q38" s="283" t="str">
        <f>Inputs!F39</f>
        <v>Design life provided by ODOT</v>
      </c>
      <c r="U38" s="466"/>
      <c r="V38" s="466"/>
      <c r="W38" s="466"/>
      <c r="X38" s="466"/>
      <c r="Y38" s="466"/>
      <c r="AG38" s="283" t="s">
        <v>189</v>
      </c>
      <c r="AH38" s="308" t="s">
        <v>72</v>
      </c>
      <c r="AI38" s="307">
        <v>165985.14000000001</v>
      </c>
      <c r="AJ38" s="287">
        <v>1.8342587761437634</v>
      </c>
    </row>
    <row r="39" spans="9:36" x14ac:dyDescent="0.25">
      <c r="I39" s="284" t="str">
        <f>Summary!B22</f>
        <v>Present Value of Benefit (Cost)</v>
      </c>
      <c r="J39" s="285">
        <f>Summary!C22</f>
        <v>82.332609603398495</v>
      </c>
      <c r="K39" s="285">
        <f>Summary!D22</f>
        <v>58.780956814765652</v>
      </c>
      <c r="L39" s="285">
        <f>Summary!E22</f>
        <v>49.244919530291291</v>
      </c>
      <c r="N39" s="283" t="str">
        <f>Inputs!C40</f>
        <v>Existing Asset Useful Value</v>
      </c>
      <c r="O39" s="283" t="str">
        <f>Inputs!D40</f>
        <v>$</v>
      </c>
      <c r="P39" s="288">
        <f>Inputs!E40</f>
        <v>0</v>
      </c>
      <c r="Q39" s="283" t="str">
        <f>Inputs!F40</f>
        <v>ODOT Provided</v>
      </c>
      <c r="U39" s="466"/>
      <c r="V39" s="466" t="s">
        <v>376</v>
      </c>
      <c r="W39" s="466" t="s">
        <v>377</v>
      </c>
      <c r="X39" s="466" t="s">
        <v>378</v>
      </c>
      <c r="Y39" s="466" t="s">
        <v>377</v>
      </c>
      <c r="AG39" s="283" t="s">
        <v>190</v>
      </c>
      <c r="AH39" s="283" t="s">
        <v>104</v>
      </c>
      <c r="AI39" s="283">
        <v>165985.14000000001</v>
      </c>
    </row>
    <row r="40" spans="9:36" x14ac:dyDescent="0.25">
      <c r="U40" s="317" t="s">
        <v>357</v>
      </c>
      <c r="V40" s="321">
        <v>116</v>
      </c>
      <c r="W40" s="321">
        <v>114</v>
      </c>
      <c r="X40" s="321">
        <v>253</v>
      </c>
      <c r="Y40" s="321">
        <v>308</v>
      </c>
    </row>
    <row r="41" spans="9:36" x14ac:dyDescent="0.25">
      <c r="M41" s="1"/>
      <c r="N41" s="269" t="s">
        <v>379</v>
      </c>
      <c r="U41" s="317" t="s">
        <v>361</v>
      </c>
      <c r="V41" s="321">
        <v>94</v>
      </c>
      <c r="W41" s="321">
        <v>102</v>
      </c>
      <c r="X41" s="321">
        <v>174</v>
      </c>
      <c r="Y41" s="321">
        <v>225</v>
      </c>
    </row>
    <row r="42" spans="9:36" x14ac:dyDescent="0.25">
      <c r="N42" s="315" t="s">
        <v>37</v>
      </c>
      <c r="O42" s="315" t="s">
        <v>38</v>
      </c>
      <c r="P42" s="315" t="s">
        <v>39</v>
      </c>
      <c r="Q42" s="315" t="s">
        <v>373</v>
      </c>
      <c r="U42" s="317" t="s">
        <v>363</v>
      </c>
      <c r="V42" s="321">
        <f>V40-V41</f>
        <v>22</v>
      </c>
      <c r="W42" s="321">
        <f>W40-W41</f>
        <v>12</v>
      </c>
      <c r="X42" s="321">
        <f>X40-X41</f>
        <v>79</v>
      </c>
      <c r="Y42" s="321">
        <f>Y40-Y41</f>
        <v>83</v>
      </c>
    </row>
    <row r="43" spans="9:36" x14ac:dyDescent="0.25">
      <c r="N43" s="283" t="s">
        <v>78</v>
      </c>
      <c r="O43" s="283" t="s">
        <v>79</v>
      </c>
      <c r="P43" s="310">
        <v>12</v>
      </c>
      <c r="Q43" s="283" t="s">
        <v>80</v>
      </c>
    </row>
    <row r="44" spans="9:36" x14ac:dyDescent="0.25">
      <c r="N44" s="283" t="s">
        <v>81</v>
      </c>
      <c r="O44" s="283" t="s">
        <v>82</v>
      </c>
      <c r="P44" s="283">
        <v>8</v>
      </c>
      <c r="Q44" s="283" t="s">
        <v>80</v>
      </c>
    </row>
    <row r="45" spans="9:36" x14ac:dyDescent="0.25">
      <c r="N45" s="283" t="s">
        <v>83</v>
      </c>
      <c r="O45" s="283" t="s">
        <v>82</v>
      </c>
      <c r="P45" s="283">
        <v>4</v>
      </c>
      <c r="Q45" s="283" t="s">
        <v>80</v>
      </c>
      <c r="U45" s="147" t="s">
        <v>380</v>
      </c>
    </row>
    <row r="46" spans="9:36" ht="15.75" customHeight="1" x14ac:dyDescent="0.25">
      <c r="N46" s="283" t="s">
        <v>84</v>
      </c>
      <c r="O46" s="283" t="s">
        <v>85</v>
      </c>
      <c r="P46" s="287">
        <v>0.53030303030303028</v>
      </c>
      <c r="Q46" s="283" t="s">
        <v>80</v>
      </c>
      <c r="U46" s="466" t="s">
        <v>381</v>
      </c>
      <c r="V46" s="466">
        <v>2023</v>
      </c>
      <c r="W46" s="466"/>
      <c r="X46" s="466"/>
      <c r="Y46" s="466"/>
      <c r="Z46" s="466">
        <v>2046</v>
      </c>
      <c r="AA46" s="466"/>
      <c r="AB46" s="466"/>
      <c r="AC46" s="466"/>
    </row>
    <row r="47" spans="9:36" x14ac:dyDescent="0.25">
      <c r="U47" s="466"/>
      <c r="V47" s="466" t="s">
        <v>376</v>
      </c>
      <c r="W47" s="466"/>
      <c r="X47" s="466" t="s">
        <v>377</v>
      </c>
      <c r="Y47" s="466"/>
      <c r="Z47" s="466" t="s">
        <v>376</v>
      </c>
      <c r="AA47" s="466"/>
      <c r="AB47" s="466" t="s">
        <v>377</v>
      </c>
      <c r="AC47" s="466"/>
    </row>
    <row r="48" spans="9:36" x14ac:dyDescent="0.25">
      <c r="U48" s="466"/>
      <c r="V48" s="323" t="s">
        <v>382</v>
      </c>
      <c r="W48" s="323" t="s">
        <v>361</v>
      </c>
      <c r="X48" s="323" t="s">
        <v>382</v>
      </c>
      <c r="Y48" s="323" t="s">
        <v>361</v>
      </c>
      <c r="Z48" s="323" t="s">
        <v>382</v>
      </c>
      <c r="AA48" s="323" t="s">
        <v>361</v>
      </c>
      <c r="AB48" s="323" t="s">
        <v>382</v>
      </c>
      <c r="AC48" s="323" t="s">
        <v>361</v>
      </c>
    </row>
    <row r="49" spans="14:29" ht="16.5" x14ac:dyDescent="0.25">
      <c r="N49" s="269" t="s">
        <v>177</v>
      </c>
      <c r="U49" s="322" t="s">
        <v>383</v>
      </c>
      <c r="V49" s="318">
        <v>8.08</v>
      </c>
      <c r="W49" s="318">
        <v>6.6</v>
      </c>
      <c r="X49" s="318">
        <v>7.97</v>
      </c>
      <c r="Y49" s="318">
        <v>7.13</v>
      </c>
      <c r="Z49" s="318">
        <v>17.7</v>
      </c>
      <c r="AA49" s="318">
        <v>12.19</v>
      </c>
      <c r="AB49" s="318">
        <v>21.54</v>
      </c>
      <c r="AC49" s="318">
        <v>15.74</v>
      </c>
    </row>
    <row r="50" spans="14:29" ht="16.5" x14ac:dyDescent="0.25">
      <c r="N50" s="315" t="s">
        <v>37</v>
      </c>
      <c r="O50" s="315" t="s">
        <v>38</v>
      </c>
      <c r="P50" s="315" t="s">
        <v>39</v>
      </c>
      <c r="Q50" s="315" t="s">
        <v>373</v>
      </c>
      <c r="U50" s="322" t="s">
        <v>384</v>
      </c>
      <c r="V50" s="318">
        <v>1.57</v>
      </c>
      <c r="W50" s="318">
        <v>1.28</v>
      </c>
      <c r="X50" s="318">
        <v>1.55</v>
      </c>
      <c r="Y50" s="318">
        <v>1.39</v>
      </c>
      <c r="Z50" s="318">
        <v>3.44</v>
      </c>
      <c r="AA50" s="318">
        <v>2.37</v>
      </c>
      <c r="AB50" s="318">
        <v>4.1900000000000004</v>
      </c>
      <c r="AC50" s="318">
        <v>3.06</v>
      </c>
    </row>
    <row r="51" spans="14:29" x14ac:dyDescent="0.25">
      <c r="N51" s="309" t="str">
        <f>Inputs!C162</f>
        <v>Number of Bridge Hits in District 8</v>
      </c>
      <c r="O51" s="309" t="str">
        <f>Inputs!D162</f>
        <v>count</v>
      </c>
      <c r="P51" s="309">
        <f>Inputs!E162</f>
        <v>10</v>
      </c>
      <c r="Q51" s="309" t="s">
        <v>353</v>
      </c>
      <c r="U51" s="318" t="s">
        <v>385</v>
      </c>
      <c r="V51" s="318">
        <v>1.87</v>
      </c>
      <c r="W51" s="318">
        <v>1.53</v>
      </c>
      <c r="X51" s="318">
        <v>1.85</v>
      </c>
      <c r="Y51" s="318">
        <v>1.65</v>
      </c>
      <c r="Z51" s="318">
        <v>4.0999999999999996</v>
      </c>
      <c r="AA51" s="318">
        <v>2.83</v>
      </c>
      <c r="AB51" s="318">
        <v>4.99</v>
      </c>
      <c r="AC51" s="318">
        <v>3.64</v>
      </c>
    </row>
    <row r="52" spans="14:29" x14ac:dyDescent="0.25">
      <c r="N52" s="309" t="str">
        <f>Inputs!C163</f>
        <v>Perdiod of Bridge Hits Analyzed</v>
      </c>
      <c r="O52" s="309" t="str">
        <f>Inputs!D163</f>
        <v>years</v>
      </c>
      <c r="P52" s="309">
        <f>Inputs!E163</f>
        <v>4</v>
      </c>
      <c r="Q52" s="309" t="s">
        <v>353</v>
      </c>
    </row>
    <row r="53" spans="14:29" ht="30" x14ac:dyDescent="0.25">
      <c r="N53" s="309" t="str">
        <f>Inputs!C164</f>
        <v>Number of Low Clearance Bridge in District 8</v>
      </c>
      <c r="O53" s="309" t="str">
        <f>Inputs!D164</f>
        <v>count</v>
      </c>
      <c r="P53" s="309">
        <f>Inputs!E164</f>
        <v>276</v>
      </c>
      <c r="Q53" s="309" t="s">
        <v>353</v>
      </c>
    </row>
    <row r="54" spans="14:29" ht="30" x14ac:dyDescent="0.25">
      <c r="N54" s="309" t="str">
        <f>Inputs!C165</f>
        <v>Probability of Bridge Hit</v>
      </c>
      <c r="O54" s="309" t="str">
        <f>Inputs!D165</f>
        <v>incidents / Period</v>
      </c>
      <c r="P54" s="324">
        <f>Inputs!E165</f>
        <v>3.6231884057971016E-2</v>
      </c>
      <c r="Q54" s="309" t="str">
        <f>Inputs!F165</f>
        <v>Calculation</v>
      </c>
    </row>
    <row r="55" spans="14:29" x14ac:dyDescent="0.25">
      <c r="N55" s="309" t="str">
        <f>Inputs!C166</f>
        <v>Probability of Bridge Hit</v>
      </c>
      <c r="O55" s="309" t="str">
        <f>Inputs!D166</f>
        <v>incidents / year</v>
      </c>
      <c r="P55" s="324">
        <f>Inputs!E166</f>
        <v>9.057971014492754E-3</v>
      </c>
      <c r="Q55" s="309" t="str">
        <f>Inputs!F166</f>
        <v>Calculation</v>
      </c>
    </row>
    <row r="56" spans="14:29" ht="30" x14ac:dyDescent="0.25">
      <c r="N56" s="309" t="str">
        <f>Inputs!C167</f>
        <v>Bridge Replacement Cost</v>
      </c>
      <c r="O56" s="309" t="str">
        <f>Inputs!D167</f>
        <v>$</v>
      </c>
      <c r="P56" s="325">
        <f>Inputs!E167</f>
        <v>0</v>
      </c>
      <c r="Q56" s="309" t="str">
        <f>Inputs!F167</f>
        <v>Full bridge replacement related bridge hit not assumed realistic</v>
      </c>
    </row>
    <row r="57" spans="14:29" x14ac:dyDescent="0.25">
      <c r="N57" s="309" t="str">
        <f>Inputs!C168</f>
        <v>Average bridge damage per hit</v>
      </c>
      <c r="O57" s="309" t="str">
        <f>Inputs!D168</f>
        <v>$</v>
      </c>
      <c r="P57" s="326">
        <f>Inputs!E168</f>
        <v>187060.86046250002</v>
      </c>
      <c r="Q57" s="309" t="s">
        <v>353</v>
      </c>
    </row>
    <row r="58" spans="14:29" x14ac:dyDescent="0.25">
      <c r="N58" s="309" t="str">
        <f>Inputs!C169</f>
        <v>Total cost of bridge hit</v>
      </c>
      <c r="O58" s="309" t="str">
        <f>Inputs!D169</f>
        <v>$/incident</v>
      </c>
      <c r="P58" s="326">
        <f>Inputs!E169</f>
        <v>187060.86046250002</v>
      </c>
      <c r="Q58" s="309" t="str">
        <f>Inputs!F169</f>
        <v>Calculation</v>
      </c>
    </row>
    <row r="61" spans="14:29" x14ac:dyDescent="0.25">
      <c r="N61" s="269" t="s">
        <v>386</v>
      </c>
    </row>
    <row r="62" spans="14:29" x14ac:dyDescent="0.25">
      <c r="N62" s="315" t="s">
        <v>37</v>
      </c>
      <c r="O62" s="315" t="s">
        <v>38</v>
      </c>
      <c r="P62" s="315" t="s">
        <v>39</v>
      </c>
      <c r="Q62" s="315" t="s">
        <v>373</v>
      </c>
    </row>
    <row r="63" spans="14:29" x14ac:dyDescent="0.25">
      <c r="N63" s="309" t="str">
        <f>Inputs!C70</f>
        <v>Current ped path length</v>
      </c>
      <c r="O63" s="309" t="str">
        <f>Inputs!D70</f>
        <v>miles</v>
      </c>
      <c r="P63" s="331">
        <f>Inputs!E70</f>
        <v>0.26515151515151514</v>
      </c>
      <c r="Q63" s="309" t="str">
        <f>Inputs!F70</f>
        <v>Existing</v>
      </c>
    </row>
    <row r="64" spans="14:29" x14ac:dyDescent="0.25">
      <c r="N64" s="309" t="str">
        <f>Inputs!C71</f>
        <v>Proposed ped path length</v>
      </c>
      <c r="O64" s="309" t="str">
        <f>Inputs!D71</f>
        <v>miles</v>
      </c>
      <c r="P64" s="331">
        <f>Inputs!E71</f>
        <v>0.26515151515151514</v>
      </c>
      <c r="Q64" s="309" t="str">
        <f>Inputs!F71</f>
        <v>Based on project 60% design plans</v>
      </c>
    </row>
    <row r="65" spans="14:17" x14ac:dyDescent="0.25">
      <c r="N65" s="309" t="str">
        <f>Inputs!C72</f>
        <v>Pedestrian Speed</v>
      </c>
      <c r="O65" s="309" t="str">
        <f>Inputs!D72</f>
        <v>miles per hour</v>
      </c>
      <c r="P65" s="331">
        <f>Inputs!E72</f>
        <v>3.2</v>
      </c>
      <c r="Q65" s="309" t="str">
        <f>Inputs!F72</f>
        <v>BCA Guidelines Table A-8, note 1</v>
      </c>
    </row>
    <row r="66" spans="14:17" x14ac:dyDescent="0.25">
      <c r="N66" s="309" t="s">
        <v>387</v>
      </c>
      <c r="O66" s="309" t="str">
        <f>Inputs!D77</f>
        <v>$/person/hr</v>
      </c>
      <c r="P66" s="325" t="e">
        <f>Inputs!#REF!</f>
        <v>#REF!</v>
      </c>
      <c r="Q66" s="309" t="str">
        <f>Inputs!F77</f>
        <v>BCA Guidelines Table A-3</v>
      </c>
    </row>
    <row r="68" spans="14:17" x14ac:dyDescent="0.25">
      <c r="N68" s="269" t="s">
        <v>388</v>
      </c>
    </row>
    <row r="69" spans="14:17" x14ac:dyDescent="0.25">
      <c r="N69" s="315" t="s">
        <v>37</v>
      </c>
      <c r="O69" s="315" t="s">
        <v>38</v>
      </c>
      <c r="P69" s="315" t="s">
        <v>39</v>
      </c>
      <c r="Q69" s="315" t="s">
        <v>373</v>
      </c>
    </row>
    <row r="70" spans="14:17" x14ac:dyDescent="0.25">
      <c r="N70" s="309" t="str">
        <f>Inputs!C76</f>
        <v>All Purposes</v>
      </c>
      <c r="O70" s="309" t="str">
        <f>Inputs!D76</f>
        <v>$/person/hr</v>
      </c>
      <c r="P70" s="309">
        <f>Inputs!E76</f>
        <v>19.600000000000001</v>
      </c>
      <c r="Q70" s="309" t="str">
        <f>Inputs!F76</f>
        <v>BCA Guidelines Table A-3</v>
      </c>
    </row>
    <row r="71" spans="14:17" x14ac:dyDescent="0.25">
      <c r="N71" s="309" t="str">
        <f>Inputs!C86</f>
        <v>Passenger Vehicles All Travel</v>
      </c>
      <c r="O71" s="309" t="str">
        <f>Inputs!D86</f>
        <v>per/veh</v>
      </c>
      <c r="P71" s="309">
        <f>Inputs!E86</f>
        <v>1.67</v>
      </c>
      <c r="Q71" s="309" t="str">
        <f>Inputs!F86</f>
        <v>BCA Guidelines Table A-4</v>
      </c>
    </row>
  </sheetData>
  <mergeCells count="27">
    <mergeCell ref="J21:L21"/>
    <mergeCell ref="C4:C10"/>
    <mergeCell ref="B4:B10"/>
    <mergeCell ref="AF18:AF19"/>
    <mergeCell ref="AF20:AF21"/>
    <mergeCell ref="U15:U16"/>
    <mergeCell ref="V15:W15"/>
    <mergeCell ref="X15:Y15"/>
    <mergeCell ref="AA15:AC15"/>
    <mergeCell ref="AF16:AF17"/>
    <mergeCell ref="B11:E11"/>
    <mergeCell ref="AD16:AD17"/>
    <mergeCell ref="AA16:AB16"/>
    <mergeCell ref="AA17:AB17"/>
    <mergeCell ref="AF23:AF24"/>
    <mergeCell ref="AB47:AC47"/>
    <mergeCell ref="Z46:AC46"/>
    <mergeCell ref="U37:U39"/>
    <mergeCell ref="V37:W38"/>
    <mergeCell ref="X37:Y38"/>
    <mergeCell ref="V39:W39"/>
    <mergeCell ref="X39:Y39"/>
    <mergeCell ref="U46:U48"/>
    <mergeCell ref="V46:Y46"/>
    <mergeCell ref="V47:W47"/>
    <mergeCell ref="X47:Y47"/>
    <mergeCell ref="Z47:AA4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7D24-3D04-432E-A18B-4FB851415559}">
  <sheetPr>
    <tabColor theme="6"/>
  </sheetPr>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FFE0-8321-4B4D-8FE7-8B1E310FC3C8}">
  <sheetPr>
    <tabColor theme="2" tint="-0.249977111117893"/>
  </sheetPr>
  <dimension ref="B1:J242"/>
  <sheetViews>
    <sheetView workbookViewId="0">
      <pane xSplit="1" ySplit="3" topLeftCell="B4" activePane="bottomRight" state="frozen"/>
      <selection pane="topRight" activeCell="B1" sqref="B1"/>
      <selection pane="bottomLeft" activeCell="A4" sqref="A4"/>
      <selection pane="bottomRight" activeCell="I1" sqref="I1:J1"/>
    </sheetView>
  </sheetViews>
  <sheetFormatPr defaultColWidth="9.140625" defaultRowHeight="12.75" x14ac:dyDescent="0.25"/>
  <cols>
    <col min="1" max="1" width="4.42578125" style="21" customWidth="1"/>
    <col min="2" max="2" width="47.5703125" style="21" customWidth="1"/>
    <col min="3" max="7" width="23" style="21" customWidth="1"/>
    <col min="8" max="16384" width="9.140625" style="21"/>
  </cols>
  <sheetData>
    <row r="1" spans="2:10" ht="21" x14ac:dyDescent="0.35">
      <c r="B1" s="341" t="s">
        <v>639</v>
      </c>
      <c r="C1" s="342"/>
      <c r="D1" s="342"/>
      <c r="E1" s="342"/>
      <c r="F1" s="355"/>
      <c r="G1" s="355"/>
      <c r="I1" s="449" t="s">
        <v>997</v>
      </c>
      <c r="J1" s="450">
        <f>Summary!$E$9</f>
        <v>2.0575994382092198</v>
      </c>
    </row>
    <row r="2" spans="2:10" ht="15" x14ac:dyDescent="0.25">
      <c r="B2" s="386" t="s">
        <v>640</v>
      </c>
      <c r="C2" s="386"/>
      <c r="D2" s="386"/>
      <c r="E2" s="386"/>
      <c r="F2" s="386"/>
      <c r="G2" s="345"/>
    </row>
    <row r="3" spans="2:10" ht="15" x14ac:dyDescent="0.25">
      <c r="B3" s="346" t="s">
        <v>641</v>
      </c>
      <c r="C3"/>
      <c r="D3"/>
      <c r="E3"/>
      <c r="F3"/>
      <c r="G3" s="345"/>
    </row>
    <row r="4" spans="2:10" ht="15" x14ac:dyDescent="0.25">
      <c r="B4" s="347" t="s">
        <v>642</v>
      </c>
      <c r="C4"/>
      <c r="D4"/>
      <c r="E4"/>
      <c r="F4"/>
      <c r="G4" s="345"/>
    </row>
    <row r="5" spans="2:10" ht="15" x14ac:dyDescent="0.25">
      <c r="B5" s="348" t="s">
        <v>643</v>
      </c>
      <c r="C5" s="281"/>
      <c r="D5" s="281"/>
      <c r="E5" s="281"/>
      <c r="F5" s="281"/>
      <c r="G5" s="345"/>
    </row>
    <row r="6" spans="2:10" ht="30" x14ac:dyDescent="0.25">
      <c r="B6" s="350" t="s">
        <v>644</v>
      </c>
      <c r="C6" s="350" t="s">
        <v>645</v>
      </c>
      <c r="D6" s="281"/>
      <c r="E6" s="281"/>
      <c r="F6" s="281"/>
      <c r="G6" s="345"/>
    </row>
    <row r="7" spans="2:10" ht="15" x14ac:dyDescent="0.25">
      <c r="B7" s="351" t="s">
        <v>646</v>
      </c>
      <c r="C7" s="352">
        <v>5000</v>
      </c>
      <c r="D7" s="281"/>
      <c r="E7" s="281"/>
      <c r="F7" s="281"/>
      <c r="G7" s="345"/>
    </row>
    <row r="8" spans="2:10" ht="15" x14ac:dyDescent="0.25">
      <c r="B8" s="351" t="s">
        <v>647</v>
      </c>
      <c r="C8" s="352">
        <v>111700</v>
      </c>
      <c r="D8" s="281"/>
      <c r="E8" s="281"/>
      <c r="F8" s="281"/>
      <c r="G8" s="345"/>
    </row>
    <row r="9" spans="2:10" ht="15" x14ac:dyDescent="0.25">
      <c r="B9" s="351" t="s">
        <v>648</v>
      </c>
      <c r="C9" s="352">
        <v>233800</v>
      </c>
      <c r="D9" s="281"/>
      <c r="E9" s="281"/>
      <c r="F9" s="281"/>
      <c r="G9" s="345"/>
    </row>
    <row r="10" spans="2:10" ht="15" x14ac:dyDescent="0.25">
      <c r="B10" s="351" t="s">
        <v>649</v>
      </c>
      <c r="C10" s="352">
        <v>1188200</v>
      </c>
      <c r="D10" s="281"/>
      <c r="E10" s="281"/>
      <c r="F10" s="281"/>
      <c r="G10" s="345"/>
    </row>
    <row r="11" spans="2:10" ht="15" x14ac:dyDescent="0.25">
      <c r="B11" s="351" t="s">
        <v>650</v>
      </c>
      <c r="C11" s="352">
        <v>12500000</v>
      </c>
      <c r="D11" s="281"/>
      <c r="E11" s="281"/>
      <c r="F11" s="281"/>
      <c r="G11" s="345"/>
    </row>
    <row r="12" spans="2:10" ht="15" x14ac:dyDescent="0.25">
      <c r="B12" s="351" t="s">
        <v>651</v>
      </c>
      <c r="C12" s="352">
        <v>217600</v>
      </c>
      <c r="D12" s="281"/>
      <c r="E12" s="281"/>
      <c r="F12" s="281"/>
      <c r="G12" s="345"/>
    </row>
    <row r="13" spans="2:10" ht="15" x14ac:dyDescent="0.25">
      <c r="B13" s="348" t="s">
        <v>652</v>
      </c>
      <c r="C13" s="281"/>
      <c r="D13" s="281"/>
      <c r="E13" s="281"/>
      <c r="F13" s="281"/>
      <c r="G13" s="345"/>
    </row>
    <row r="14" spans="2:10" ht="30" x14ac:dyDescent="0.25">
      <c r="B14" s="350" t="s">
        <v>653</v>
      </c>
      <c r="C14" s="350" t="s">
        <v>645</v>
      </c>
      <c r="D14" s="281"/>
      <c r="E14" s="281"/>
      <c r="F14" s="281"/>
      <c r="G14" s="345"/>
    </row>
    <row r="15" spans="2:10" ht="15" x14ac:dyDescent="0.25">
      <c r="B15" s="351" t="s">
        <v>654</v>
      </c>
      <c r="C15" s="352">
        <v>9100</v>
      </c>
      <c r="D15" s="281"/>
      <c r="E15" s="281"/>
      <c r="F15" s="281"/>
      <c r="G15" s="345"/>
    </row>
    <row r="16" spans="2:10" ht="15" x14ac:dyDescent="0.25">
      <c r="B16" s="351" t="s">
        <v>655</v>
      </c>
      <c r="C16" s="352">
        <v>313000</v>
      </c>
      <c r="D16" s="281"/>
      <c r="E16" s="281"/>
      <c r="F16" s="281"/>
      <c r="G16" s="345"/>
    </row>
    <row r="17" spans="2:7" ht="15" x14ac:dyDescent="0.25">
      <c r="B17" s="351" t="s">
        <v>656</v>
      </c>
      <c r="C17" s="352">
        <v>14022900</v>
      </c>
      <c r="D17" s="281"/>
      <c r="E17" s="281"/>
      <c r="F17" s="281"/>
      <c r="G17" s="345"/>
    </row>
    <row r="18" spans="2:7" ht="15" x14ac:dyDescent="0.25">
      <c r="B18" s="349" t="s">
        <v>642</v>
      </c>
      <c r="C18" s="281"/>
      <c r="D18" s="281"/>
      <c r="E18" s="281"/>
      <c r="F18" s="281"/>
      <c r="G18" s="345"/>
    </row>
    <row r="19" spans="2:7" ht="15" x14ac:dyDescent="0.25">
      <c r="B19" s="348" t="s">
        <v>657</v>
      </c>
      <c r="C19" s="281"/>
      <c r="D19" s="281"/>
      <c r="E19" s="281"/>
      <c r="F19" s="281"/>
      <c r="G19" s="345"/>
    </row>
    <row r="20" spans="2:7" ht="15" x14ac:dyDescent="0.25">
      <c r="B20" s="477" t="s">
        <v>658</v>
      </c>
      <c r="C20" s="477"/>
      <c r="D20" s="281"/>
      <c r="E20" s="281"/>
      <c r="F20" s="281"/>
      <c r="G20" s="345"/>
    </row>
    <row r="21" spans="2:7" ht="15" x14ac:dyDescent="0.25">
      <c r="B21" s="477" t="s">
        <v>659</v>
      </c>
      <c r="C21" s="477"/>
      <c r="D21" s="281"/>
      <c r="E21" s="281"/>
      <c r="F21" s="281"/>
      <c r="G21" s="345"/>
    </row>
    <row r="22" spans="2:7" ht="15" x14ac:dyDescent="0.25">
      <c r="B22" s="350" t="s">
        <v>36</v>
      </c>
      <c r="C22" s="350" t="s">
        <v>660</v>
      </c>
      <c r="D22" s="281"/>
      <c r="E22" s="281"/>
      <c r="F22" s="281"/>
      <c r="G22" s="345"/>
    </row>
    <row r="23" spans="2:7" ht="15" x14ac:dyDescent="0.25">
      <c r="B23" s="351" t="s">
        <v>661</v>
      </c>
      <c r="C23" s="353"/>
      <c r="D23" s="281"/>
      <c r="E23" s="281"/>
      <c r="F23" s="281"/>
      <c r="G23" s="345"/>
    </row>
    <row r="24" spans="2:7" ht="18" x14ac:dyDescent="0.25">
      <c r="B24" s="351" t="s">
        <v>662</v>
      </c>
      <c r="C24" s="354">
        <v>17.899999999999999</v>
      </c>
      <c r="D24" s="281"/>
      <c r="E24" s="281"/>
      <c r="F24" s="281"/>
      <c r="G24" s="345"/>
    </row>
    <row r="25" spans="2:7" ht="18" x14ac:dyDescent="0.25">
      <c r="B25" s="351" t="s">
        <v>663</v>
      </c>
      <c r="C25" s="354">
        <v>32.299999999999997</v>
      </c>
      <c r="D25" s="281"/>
      <c r="E25" s="281"/>
      <c r="F25" s="281"/>
      <c r="G25" s="345"/>
    </row>
    <row r="26" spans="2:7" ht="18" x14ac:dyDescent="0.25">
      <c r="B26" s="351" t="s">
        <v>664</v>
      </c>
      <c r="C26" s="354">
        <v>19.600000000000001</v>
      </c>
      <c r="D26" s="281"/>
      <c r="E26" s="281"/>
      <c r="F26" s="281"/>
      <c r="G26" s="345"/>
    </row>
    <row r="27" spans="2:7" ht="15" x14ac:dyDescent="0.25">
      <c r="B27" s="351"/>
      <c r="C27" s="354"/>
      <c r="D27" s="281"/>
      <c r="E27" s="281"/>
      <c r="F27" s="281"/>
      <c r="G27" s="345"/>
    </row>
    <row r="28" spans="2:7" ht="33" x14ac:dyDescent="0.25">
      <c r="B28" s="351" t="s">
        <v>665</v>
      </c>
      <c r="C28" s="354">
        <v>35.799999999999997</v>
      </c>
      <c r="D28" s="281"/>
      <c r="E28" s="281"/>
      <c r="F28" s="281"/>
      <c r="G28" s="345"/>
    </row>
    <row r="29" spans="2:7" ht="15" x14ac:dyDescent="0.25">
      <c r="B29" s="353"/>
      <c r="C29" s="354"/>
      <c r="D29" s="281"/>
      <c r="E29" s="281"/>
      <c r="F29" s="281"/>
      <c r="G29" s="345"/>
    </row>
    <row r="30" spans="2:7" ht="18" x14ac:dyDescent="0.25">
      <c r="B30" s="351" t="s">
        <v>666</v>
      </c>
      <c r="C30" s="354"/>
      <c r="D30" s="281"/>
      <c r="E30" s="281"/>
      <c r="F30" s="281"/>
      <c r="G30" s="345"/>
    </row>
    <row r="31" spans="2:7" ht="15" x14ac:dyDescent="0.25">
      <c r="B31" s="351" t="s">
        <v>121</v>
      </c>
      <c r="C31" s="354">
        <v>33.5</v>
      </c>
      <c r="D31" s="281"/>
      <c r="E31" s="281"/>
      <c r="F31" s="281"/>
      <c r="G31" s="345"/>
    </row>
    <row r="32" spans="2:7" ht="15" x14ac:dyDescent="0.25">
      <c r="B32" s="351" t="s">
        <v>122</v>
      </c>
      <c r="C32" s="354">
        <v>36.5</v>
      </c>
      <c r="D32" s="281"/>
      <c r="E32" s="281"/>
      <c r="F32" s="281"/>
      <c r="G32" s="345"/>
    </row>
    <row r="33" spans="2:7" ht="15" x14ac:dyDescent="0.25">
      <c r="B33" s="351" t="s">
        <v>667</v>
      </c>
      <c r="C33" s="354">
        <v>63.3</v>
      </c>
      <c r="D33" s="281"/>
      <c r="E33" s="281"/>
      <c r="F33" s="281"/>
      <c r="G33" s="345"/>
    </row>
    <row r="34" spans="2:7" ht="15" x14ac:dyDescent="0.25">
      <c r="B34" s="351" t="s">
        <v>124</v>
      </c>
      <c r="C34" s="354">
        <v>53.5</v>
      </c>
      <c r="D34" s="281"/>
      <c r="E34" s="281"/>
      <c r="F34" s="281"/>
      <c r="G34" s="345"/>
    </row>
    <row r="35" spans="2:7" ht="15" x14ac:dyDescent="0.25">
      <c r="B35" s="357"/>
      <c r="C35" s="358"/>
      <c r="D35" s="281"/>
      <c r="E35" s="281"/>
      <c r="F35" s="281"/>
      <c r="G35" s="345"/>
    </row>
    <row r="36" spans="2:7" ht="15" x14ac:dyDescent="0.25">
      <c r="B36" s="478" t="s">
        <v>668</v>
      </c>
      <c r="C36" s="479"/>
      <c r="D36" s="281"/>
      <c r="E36" s="281"/>
      <c r="F36" s="281"/>
      <c r="G36" s="345"/>
    </row>
    <row r="37" spans="2:7" ht="15" x14ac:dyDescent="0.25">
      <c r="B37" s="478" t="s">
        <v>669</v>
      </c>
      <c r="C37" s="479"/>
      <c r="D37" s="281"/>
      <c r="E37" s="281"/>
      <c r="F37" s="281"/>
      <c r="G37" s="345"/>
    </row>
    <row r="38" spans="2:7" ht="15" x14ac:dyDescent="0.25">
      <c r="B38" s="478" t="s">
        <v>670</v>
      </c>
      <c r="C38" s="479"/>
      <c r="D38" s="281"/>
      <c r="E38" s="281"/>
      <c r="F38" s="281"/>
      <c r="G38" s="345"/>
    </row>
    <row r="39" spans="2:7" ht="15" x14ac:dyDescent="0.25">
      <c r="B39" s="482" t="s">
        <v>671</v>
      </c>
      <c r="C39" s="483"/>
      <c r="D39" s="281"/>
      <c r="E39" s="281"/>
      <c r="F39" s="281"/>
      <c r="G39" s="345"/>
    </row>
    <row r="40" spans="2:7" ht="15" x14ac:dyDescent="0.25">
      <c r="B40" s="484" t="s">
        <v>672</v>
      </c>
      <c r="C40" s="485"/>
      <c r="D40" s="281"/>
      <c r="E40" s="281"/>
      <c r="F40" s="281"/>
      <c r="G40" s="345"/>
    </row>
    <row r="41" spans="2:7" ht="15" x14ac:dyDescent="0.25">
      <c r="B41" s="340" t="s">
        <v>642</v>
      </c>
      <c r="C41" s="281"/>
      <c r="D41" s="281"/>
      <c r="E41" s="281"/>
      <c r="F41" s="281"/>
      <c r="G41" s="345"/>
    </row>
    <row r="42" spans="2:7" ht="15" x14ac:dyDescent="0.25">
      <c r="B42" s="348" t="s">
        <v>673</v>
      </c>
      <c r="C42" s="281"/>
      <c r="D42" s="281"/>
      <c r="E42" s="281"/>
      <c r="F42" s="281"/>
      <c r="G42" s="345"/>
    </row>
    <row r="43" spans="2:7" ht="15" x14ac:dyDescent="0.25">
      <c r="B43" s="359" t="s">
        <v>674</v>
      </c>
      <c r="C43" s="360" t="s">
        <v>675</v>
      </c>
      <c r="D43" s="281"/>
      <c r="E43" s="281"/>
      <c r="F43" s="281"/>
      <c r="G43" s="345"/>
    </row>
    <row r="44" spans="2:7" ht="18" x14ac:dyDescent="0.25">
      <c r="B44" s="351" t="s">
        <v>676</v>
      </c>
      <c r="C44" s="361">
        <v>1.48</v>
      </c>
      <c r="D44" s="281"/>
      <c r="E44" s="281"/>
      <c r="F44" s="281"/>
      <c r="G44" s="345"/>
    </row>
    <row r="45" spans="2:7" ht="15" x14ac:dyDescent="0.25">
      <c r="B45" s="351" t="s">
        <v>677</v>
      </c>
      <c r="C45" s="361">
        <v>1.58</v>
      </c>
      <c r="D45" s="281"/>
      <c r="E45" s="281"/>
      <c r="F45" s="281"/>
      <c r="G45" s="345"/>
    </row>
    <row r="46" spans="2:7" ht="15" x14ac:dyDescent="0.25">
      <c r="B46" s="351" t="s">
        <v>678</v>
      </c>
      <c r="C46" s="361">
        <v>2.02</v>
      </c>
      <c r="D46" s="281"/>
      <c r="E46" s="281"/>
      <c r="F46" s="281"/>
      <c r="G46" s="345"/>
    </row>
    <row r="47" spans="2:7" ht="15" x14ac:dyDescent="0.25">
      <c r="B47" s="351" t="s">
        <v>679</v>
      </c>
      <c r="C47" s="361">
        <v>1.67</v>
      </c>
      <c r="D47" s="281"/>
      <c r="E47" s="281"/>
      <c r="F47" s="281"/>
      <c r="G47" s="345"/>
    </row>
    <row r="48" spans="2:7" ht="15" x14ac:dyDescent="0.25">
      <c r="B48" s="349"/>
      <c r="C48" s="356"/>
      <c r="D48" s="281"/>
      <c r="E48" s="281"/>
      <c r="F48" s="281"/>
      <c r="G48" s="345"/>
    </row>
    <row r="49" spans="2:7" ht="15" x14ac:dyDescent="0.25">
      <c r="B49" s="486" t="s">
        <v>680</v>
      </c>
      <c r="C49" s="487"/>
      <c r="D49" s="281"/>
      <c r="E49" s="281"/>
      <c r="F49" s="281"/>
      <c r="G49" s="345"/>
    </row>
    <row r="50" spans="2:7" ht="15" x14ac:dyDescent="0.25">
      <c r="B50" s="340" t="s">
        <v>642</v>
      </c>
      <c r="C50" s="281"/>
      <c r="D50" s="281"/>
      <c r="E50" s="281"/>
      <c r="F50" s="281"/>
      <c r="G50" s="345"/>
    </row>
    <row r="51" spans="2:7" ht="15" x14ac:dyDescent="0.25">
      <c r="B51" s="348" t="s">
        <v>681</v>
      </c>
      <c r="C51" s="281"/>
      <c r="D51" s="281"/>
      <c r="E51" s="281"/>
      <c r="F51" s="281"/>
      <c r="G51" s="345"/>
    </row>
    <row r="52" spans="2:7" ht="30" x14ac:dyDescent="0.25">
      <c r="B52" s="359" t="s">
        <v>674</v>
      </c>
      <c r="C52" s="360" t="s">
        <v>682</v>
      </c>
      <c r="D52" s="281"/>
      <c r="E52" s="281"/>
      <c r="F52" s="281"/>
      <c r="G52" s="345"/>
    </row>
    <row r="53" spans="2:7" ht="18" x14ac:dyDescent="0.25">
      <c r="B53" s="351" t="s">
        <v>683</v>
      </c>
      <c r="C53" s="362">
        <v>0.52</v>
      </c>
      <c r="D53" s="281"/>
      <c r="E53" s="281"/>
      <c r="F53" s="281"/>
      <c r="G53" s="345"/>
    </row>
    <row r="54" spans="2:7" ht="18" x14ac:dyDescent="0.25">
      <c r="B54" s="351" t="s">
        <v>684</v>
      </c>
      <c r="C54" s="362">
        <v>1.32</v>
      </c>
      <c r="D54" s="281"/>
      <c r="E54" s="281"/>
      <c r="F54" s="281"/>
      <c r="G54" s="345"/>
    </row>
    <row r="55" spans="2:7" ht="15" x14ac:dyDescent="0.25">
      <c r="B55" s="349"/>
      <c r="C55" s="356"/>
      <c r="D55" s="281"/>
      <c r="E55" s="281"/>
      <c r="F55" s="281"/>
      <c r="G55" s="345"/>
    </row>
    <row r="56" spans="2:7" ht="15" x14ac:dyDescent="0.25">
      <c r="B56" s="478" t="s">
        <v>685</v>
      </c>
      <c r="C56" s="479"/>
      <c r="D56" s="281"/>
      <c r="E56" s="281"/>
      <c r="F56" s="281"/>
      <c r="G56" s="345"/>
    </row>
    <row r="57" spans="2:7" ht="15" x14ac:dyDescent="0.25">
      <c r="B57" s="486" t="s">
        <v>686</v>
      </c>
      <c r="C57" s="487"/>
      <c r="D57" s="281"/>
      <c r="E57" s="281"/>
      <c r="F57" s="281"/>
      <c r="G57" s="345"/>
    </row>
    <row r="58" spans="2:7" ht="15" x14ac:dyDescent="0.25">
      <c r="B58" s="340" t="s">
        <v>642</v>
      </c>
      <c r="C58" s="281"/>
      <c r="D58" s="281"/>
      <c r="E58" s="281"/>
      <c r="F58" s="281"/>
      <c r="G58" s="345"/>
    </row>
    <row r="59" spans="2:7" ht="15" x14ac:dyDescent="0.25">
      <c r="B59" s="348" t="s">
        <v>687</v>
      </c>
      <c r="C59" s="281"/>
      <c r="D59" s="281"/>
      <c r="E59" s="281"/>
      <c r="F59" s="281"/>
      <c r="G59" s="345"/>
    </row>
    <row r="60" spans="2:7" ht="15" x14ac:dyDescent="0.25">
      <c r="B60" s="363"/>
      <c r="C60" s="496" t="s">
        <v>688</v>
      </c>
      <c r="D60" s="497"/>
      <c r="E60" s="498"/>
      <c r="F60" s="281"/>
      <c r="G60" s="345"/>
    </row>
    <row r="61" spans="2:7" ht="18" x14ac:dyDescent="0.25">
      <c r="B61" s="363" t="s">
        <v>689</v>
      </c>
      <c r="C61" s="363" t="s">
        <v>690</v>
      </c>
      <c r="D61" s="363" t="s">
        <v>691</v>
      </c>
      <c r="E61" s="363" t="s">
        <v>692</v>
      </c>
      <c r="F61" s="281"/>
      <c r="G61" s="345"/>
    </row>
    <row r="62" spans="2:7" ht="15" x14ac:dyDescent="0.25">
      <c r="B62" s="382" t="s">
        <v>693</v>
      </c>
      <c r="C62" s="382"/>
      <c r="D62" s="382"/>
      <c r="E62" s="383"/>
      <c r="F62" s="281"/>
      <c r="G62" s="345"/>
    </row>
    <row r="63" spans="2:7" ht="15" x14ac:dyDescent="0.25">
      <c r="B63" s="351" t="s">
        <v>694</v>
      </c>
      <c r="C63" s="380">
        <v>273</v>
      </c>
      <c r="D63" s="380">
        <v>749</v>
      </c>
      <c r="E63" s="380">
        <v>28</v>
      </c>
      <c r="F63" s="281"/>
      <c r="G63" s="345"/>
    </row>
    <row r="64" spans="2:7" ht="15" x14ac:dyDescent="0.25">
      <c r="B64" s="351" t="s">
        <v>695</v>
      </c>
      <c r="C64" s="380">
        <v>299</v>
      </c>
      <c r="D64" s="380">
        <v>102</v>
      </c>
      <c r="E64" s="380">
        <v>26</v>
      </c>
      <c r="F64" s="281"/>
      <c r="G64" s="345"/>
    </row>
    <row r="65" spans="2:7" ht="15" x14ac:dyDescent="0.25">
      <c r="B65" s="351" t="s">
        <v>696</v>
      </c>
      <c r="C65" s="380">
        <v>747</v>
      </c>
      <c r="D65" s="380">
        <v>102</v>
      </c>
      <c r="E65" s="380">
        <v>26</v>
      </c>
      <c r="F65" s="281"/>
      <c r="G65" s="345"/>
    </row>
    <row r="66" spans="2:7" ht="15" x14ac:dyDescent="0.25">
      <c r="B66" s="351" t="s">
        <v>697</v>
      </c>
      <c r="C66" s="380">
        <v>331</v>
      </c>
      <c r="D66" s="380">
        <v>102</v>
      </c>
      <c r="E66" s="380">
        <v>26</v>
      </c>
      <c r="F66" s="281"/>
      <c r="G66" s="345"/>
    </row>
    <row r="67" spans="2:7" ht="15" x14ac:dyDescent="0.25">
      <c r="B67" s="382" t="s">
        <v>698</v>
      </c>
      <c r="C67" s="382"/>
      <c r="D67" s="382"/>
      <c r="E67" s="384"/>
      <c r="F67" s="281"/>
      <c r="G67" s="345"/>
    </row>
    <row r="68" spans="2:7" ht="15" x14ac:dyDescent="0.25">
      <c r="B68" s="351" t="s">
        <v>694</v>
      </c>
      <c r="C68" s="380">
        <v>799</v>
      </c>
      <c r="D68" s="380">
        <v>2202</v>
      </c>
      <c r="E68" s="380">
        <v>280</v>
      </c>
      <c r="F68" s="281"/>
      <c r="G68" s="345"/>
    </row>
    <row r="69" spans="2:7" ht="15" x14ac:dyDescent="0.25">
      <c r="B69" s="351" t="s">
        <v>695</v>
      </c>
      <c r="C69" s="380">
        <v>778</v>
      </c>
      <c r="D69" s="380">
        <v>727</v>
      </c>
      <c r="E69" s="380">
        <v>218</v>
      </c>
      <c r="F69" s="281"/>
      <c r="G69" s="345"/>
    </row>
    <row r="70" spans="2:7" ht="15" x14ac:dyDescent="0.25">
      <c r="B70" s="351" t="s">
        <v>696</v>
      </c>
      <c r="C70" s="380">
        <v>1226</v>
      </c>
      <c r="D70" s="380">
        <v>727</v>
      </c>
      <c r="E70" s="380">
        <v>218</v>
      </c>
      <c r="F70" s="281"/>
      <c r="G70" s="345"/>
    </row>
    <row r="71" spans="2:7" ht="15" x14ac:dyDescent="0.25">
      <c r="B71" s="351" t="s">
        <v>697</v>
      </c>
      <c r="C71" s="380">
        <v>810</v>
      </c>
      <c r="D71" s="380">
        <v>727</v>
      </c>
      <c r="E71" s="380">
        <v>218</v>
      </c>
      <c r="F71" s="281"/>
      <c r="G71" s="345"/>
    </row>
    <row r="72" spans="2:7" ht="15" x14ac:dyDescent="0.25">
      <c r="B72" s="382" t="s">
        <v>699</v>
      </c>
      <c r="C72" s="382"/>
      <c r="D72" s="382"/>
      <c r="E72" s="385"/>
      <c r="F72" s="281"/>
      <c r="G72" s="345"/>
    </row>
    <row r="73" spans="2:7" ht="15" x14ac:dyDescent="0.25">
      <c r="B73" s="351" t="s">
        <v>700</v>
      </c>
      <c r="C73" s="354">
        <v>1.03</v>
      </c>
      <c r="D73" s="381" t="s">
        <v>701</v>
      </c>
      <c r="E73" s="381" t="s">
        <v>701</v>
      </c>
      <c r="F73" s="281"/>
      <c r="G73" s="345"/>
    </row>
    <row r="74" spans="2:7" ht="15" x14ac:dyDescent="0.25">
      <c r="B74" s="499" t="s">
        <v>702</v>
      </c>
      <c r="C74" s="499"/>
      <c r="D74" s="499"/>
      <c r="E74" s="500"/>
      <c r="F74" s="281"/>
      <c r="G74" s="345"/>
    </row>
    <row r="75" spans="2:7" ht="15" x14ac:dyDescent="0.25">
      <c r="B75" s="494" t="s">
        <v>703</v>
      </c>
      <c r="C75" s="494"/>
      <c r="D75" s="494"/>
      <c r="E75" s="495"/>
      <c r="F75" s="281"/>
      <c r="G75" s="345"/>
    </row>
    <row r="76" spans="2:7" ht="15" x14ac:dyDescent="0.25">
      <c r="B76" s="340" t="s">
        <v>642</v>
      </c>
      <c r="C76" s="281"/>
      <c r="D76" s="281"/>
      <c r="E76" s="281"/>
      <c r="F76" s="281"/>
      <c r="G76" s="345"/>
    </row>
    <row r="77" spans="2:7" ht="15" x14ac:dyDescent="0.25">
      <c r="B77" s="348" t="s">
        <v>704</v>
      </c>
      <c r="C77" s="281"/>
      <c r="D77" s="281"/>
      <c r="E77" s="281"/>
      <c r="F77" s="281"/>
      <c r="G77" s="345"/>
    </row>
    <row r="78" spans="2:7" ht="16.5" x14ac:dyDescent="0.25">
      <c r="B78" s="363" t="s">
        <v>705</v>
      </c>
      <c r="C78" s="360" t="s">
        <v>706</v>
      </c>
      <c r="D78" s="360" t="s">
        <v>707</v>
      </c>
      <c r="E78" s="360" t="s">
        <v>708</v>
      </c>
      <c r="F78" s="360" t="s">
        <v>709</v>
      </c>
      <c r="G78" s="345"/>
    </row>
    <row r="79" spans="2:7" ht="15" x14ac:dyDescent="0.25">
      <c r="B79" s="351">
        <v>2023</v>
      </c>
      <c r="C79" s="352">
        <v>19800</v>
      </c>
      <c r="D79" s="352">
        <v>52900</v>
      </c>
      <c r="E79" s="352">
        <v>951000</v>
      </c>
      <c r="F79" s="352">
        <v>228.37600706009624</v>
      </c>
      <c r="G79" s="345"/>
    </row>
    <row r="80" spans="2:7" ht="15" x14ac:dyDescent="0.25">
      <c r="B80" s="351">
        <v>2024</v>
      </c>
      <c r="C80" s="352">
        <v>20100</v>
      </c>
      <c r="D80" s="352">
        <v>53800</v>
      </c>
      <c r="E80" s="352">
        <v>963200</v>
      </c>
      <c r="F80" s="352">
        <v>232.85396798284322</v>
      </c>
      <c r="G80" s="345"/>
    </row>
    <row r="81" spans="2:7" ht="15" x14ac:dyDescent="0.25">
      <c r="B81" s="351">
        <v>2025</v>
      </c>
      <c r="C81" s="352">
        <v>20300</v>
      </c>
      <c r="D81" s="352">
        <v>54800</v>
      </c>
      <c r="E81" s="352">
        <v>975500</v>
      </c>
      <c r="F81" s="352">
        <v>237.33192890559022</v>
      </c>
      <c r="G81" s="345"/>
    </row>
    <row r="82" spans="2:7" ht="15" x14ac:dyDescent="0.25">
      <c r="B82" s="351">
        <v>2026</v>
      </c>
      <c r="C82" s="352">
        <v>20600</v>
      </c>
      <c r="D82" s="352">
        <v>56100</v>
      </c>
      <c r="E82" s="352">
        <v>993500</v>
      </c>
      <c r="F82" s="352">
        <v>240.69039959765044</v>
      </c>
      <c r="G82" s="345"/>
    </row>
    <row r="83" spans="2:7" ht="15" x14ac:dyDescent="0.25">
      <c r="B83" s="351">
        <v>2027</v>
      </c>
      <c r="C83" s="352">
        <v>21000</v>
      </c>
      <c r="D83" s="352">
        <v>57400</v>
      </c>
      <c r="E83" s="352">
        <v>1011900</v>
      </c>
      <c r="F83" s="352">
        <v>245.16836052039741</v>
      </c>
      <c r="G83" s="345"/>
    </row>
    <row r="84" spans="2:7" ht="15" x14ac:dyDescent="0.25">
      <c r="B84" s="351">
        <v>2028</v>
      </c>
      <c r="C84" s="352">
        <v>21300</v>
      </c>
      <c r="D84" s="352">
        <v>58700</v>
      </c>
      <c r="E84" s="352">
        <v>1030600</v>
      </c>
      <c r="F84" s="352">
        <v>249.64632144314442</v>
      </c>
      <c r="G84" s="345"/>
    </row>
    <row r="85" spans="2:7" ht="15" x14ac:dyDescent="0.25">
      <c r="B85" s="351">
        <v>2029</v>
      </c>
      <c r="C85" s="352">
        <v>21700</v>
      </c>
      <c r="D85" s="352">
        <v>60100</v>
      </c>
      <c r="E85" s="352">
        <v>1049600</v>
      </c>
      <c r="F85" s="352">
        <v>253.00479213520464</v>
      </c>
      <c r="G85" s="345"/>
    </row>
    <row r="86" spans="2:7" ht="15" x14ac:dyDescent="0.25">
      <c r="B86" s="351">
        <v>2030</v>
      </c>
      <c r="C86" s="352">
        <v>22000</v>
      </c>
      <c r="D86" s="352">
        <v>61500</v>
      </c>
      <c r="E86" s="352">
        <v>1069000</v>
      </c>
      <c r="F86" s="352">
        <v>257.48275305795164</v>
      </c>
      <c r="G86" s="345"/>
    </row>
    <row r="87" spans="2:7" ht="15" x14ac:dyDescent="0.25">
      <c r="B87" s="351">
        <v>2031</v>
      </c>
      <c r="C87" s="352">
        <v>22000</v>
      </c>
      <c r="D87" s="352">
        <v>61500</v>
      </c>
      <c r="E87" s="352">
        <v>1069000</v>
      </c>
      <c r="F87" s="352">
        <v>261.96071398069864</v>
      </c>
      <c r="G87" s="345"/>
    </row>
    <row r="88" spans="2:7" ht="15" x14ac:dyDescent="0.25">
      <c r="B88" s="351">
        <v>2032</v>
      </c>
      <c r="C88" s="352">
        <v>22000</v>
      </c>
      <c r="D88" s="352">
        <v>61500</v>
      </c>
      <c r="E88" s="352">
        <v>1069000</v>
      </c>
      <c r="F88" s="352">
        <v>265.31918467275887</v>
      </c>
      <c r="G88" s="345"/>
    </row>
    <row r="89" spans="2:7" ht="15" x14ac:dyDescent="0.25">
      <c r="B89" s="351">
        <v>2033</v>
      </c>
      <c r="C89" s="352">
        <v>22000</v>
      </c>
      <c r="D89" s="352">
        <v>61500</v>
      </c>
      <c r="E89" s="352">
        <v>1069000</v>
      </c>
      <c r="F89" s="352">
        <v>269.79714559550587</v>
      </c>
      <c r="G89" s="345"/>
    </row>
    <row r="90" spans="2:7" ht="15" x14ac:dyDescent="0.25">
      <c r="B90" s="351">
        <v>2034</v>
      </c>
      <c r="C90" s="352">
        <v>22000</v>
      </c>
      <c r="D90" s="352">
        <v>61500</v>
      </c>
      <c r="E90" s="352">
        <v>1069000</v>
      </c>
      <c r="F90" s="352">
        <v>274.27510651825281</v>
      </c>
      <c r="G90" s="345"/>
    </row>
    <row r="91" spans="2:7" ht="15" x14ac:dyDescent="0.25">
      <c r="B91" s="351">
        <v>2035</v>
      </c>
      <c r="C91" s="352">
        <v>22000</v>
      </c>
      <c r="D91" s="352">
        <v>61500</v>
      </c>
      <c r="E91" s="352">
        <v>1069000</v>
      </c>
      <c r="F91" s="352">
        <v>277.63357721031309</v>
      </c>
      <c r="G91" s="345"/>
    </row>
    <row r="92" spans="2:7" ht="15" x14ac:dyDescent="0.25">
      <c r="B92" s="351">
        <v>2036</v>
      </c>
      <c r="C92" s="352">
        <v>22000</v>
      </c>
      <c r="D92" s="352">
        <v>61500</v>
      </c>
      <c r="E92" s="352">
        <v>1069000</v>
      </c>
      <c r="F92" s="352">
        <v>282.11153813306004</v>
      </c>
      <c r="G92" s="345"/>
    </row>
    <row r="93" spans="2:7" ht="15" x14ac:dyDescent="0.25">
      <c r="B93" s="351">
        <v>2037</v>
      </c>
      <c r="C93" s="352">
        <v>22000</v>
      </c>
      <c r="D93" s="352">
        <v>61500</v>
      </c>
      <c r="E93" s="352">
        <v>1069000</v>
      </c>
      <c r="F93" s="352">
        <v>286.58949905580704</v>
      </c>
      <c r="G93" s="345"/>
    </row>
    <row r="94" spans="2:7" ht="15" x14ac:dyDescent="0.25">
      <c r="B94" s="351">
        <v>2038</v>
      </c>
      <c r="C94" s="352">
        <v>22000</v>
      </c>
      <c r="D94" s="352">
        <v>61500</v>
      </c>
      <c r="E94" s="352">
        <v>1069000</v>
      </c>
      <c r="F94" s="352">
        <v>289.94796974786726</v>
      </c>
      <c r="G94" s="345"/>
    </row>
    <row r="95" spans="2:7" ht="15" x14ac:dyDescent="0.25">
      <c r="B95" s="351">
        <v>2039</v>
      </c>
      <c r="C95" s="352">
        <v>22000</v>
      </c>
      <c r="D95" s="352">
        <v>61500</v>
      </c>
      <c r="E95" s="352">
        <v>1069000</v>
      </c>
      <c r="F95" s="352">
        <v>294.42593067061426</v>
      </c>
      <c r="G95" s="345"/>
    </row>
    <row r="96" spans="2:7" ht="15" x14ac:dyDescent="0.25">
      <c r="B96" s="351">
        <v>2040</v>
      </c>
      <c r="C96" s="352">
        <v>22000</v>
      </c>
      <c r="D96" s="352">
        <v>61500</v>
      </c>
      <c r="E96" s="352">
        <v>1069000</v>
      </c>
      <c r="F96" s="352">
        <v>298.90389159336127</v>
      </c>
      <c r="G96" s="345"/>
    </row>
    <row r="97" spans="2:7" ht="15" x14ac:dyDescent="0.25">
      <c r="B97" s="351">
        <v>2041</v>
      </c>
      <c r="C97" s="352">
        <v>22000</v>
      </c>
      <c r="D97" s="352">
        <v>61500</v>
      </c>
      <c r="E97" s="352">
        <v>1069000</v>
      </c>
      <c r="F97" s="352">
        <v>303.38185251610821</v>
      </c>
      <c r="G97" s="345"/>
    </row>
    <row r="98" spans="2:7" ht="15" x14ac:dyDescent="0.25">
      <c r="B98" s="351">
        <v>2042</v>
      </c>
      <c r="C98" s="352">
        <v>22000</v>
      </c>
      <c r="D98" s="352">
        <v>61500</v>
      </c>
      <c r="E98" s="352">
        <v>1069000</v>
      </c>
      <c r="F98" s="352">
        <v>307.85981343885521</v>
      </c>
      <c r="G98" s="345"/>
    </row>
    <row r="99" spans="2:7" ht="15" x14ac:dyDescent="0.25">
      <c r="B99" s="351">
        <v>2043</v>
      </c>
      <c r="C99" s="352">
        <v>22000</v>
      </c>
      <c r="D99" s="352">
        <v>61500</v>
      </c>
      <c r="E99" s="352">
        <v>1069000</v>
      </c>
      <c r="F99" s="352">
        <v>312.33777436160221</v>
      </c>
      <c r="G99" s="345"/>
    </row>
    <row r="100" spans="2:7" ht="15" x14ac:dyDescent="0.25">
      <c r="B100" s="351">
        <v>2044</v>
      </c>
      <c r="C100" s="352">
        <v>22000</v>
      </c>
      <c r="D100" s="352">
        <v>61500</v>
      </c>
      <c r="E100" s="352">
        <v>1069000</v>
      </c>
      <c r="F100" s="352">
        <v>316.81573528434916</v>
      </c>
      <c r="G100" s="345"/>
    </row>
    <row r="101" spans="2:7" ht="15" x14ac:dyDescent="0.25">
      <c r="B101" s="351">
        <v>2045</v>
      </c>
      <c r="C101" s="352">
        <v>22000</v>
      </c>
      <c r="D101" s="352">
        <v>61500</v>
      </c>
      <c r="E101" s="352">
        <v>1069000</v>
      </c>
      <c r="F101" s="352">
        <v>321.29369620709616</v>
      </c>
      <c r="G101" s="345"/>
    </row>
    <row r="102" spans="2:7" ht="15" x14ac:dyDescent="0.25">
      <c r="B102" s="351">
        <v>2046</v>
      </c>
      <c r="C102" s="352">
        <v>22000</v>
      </c>
      <c r="D102" s="352">
        <v>61500</v>
      </c>
      <c r="E102" s="352">
        <v>1069000</v>
      </c>
      <c r="F102" s="352">
        <v>325.77165712984316</v>
      </c>
      <c r="G102" s="345"/>
    </row>
    <row r="103" spans="2:7" ht="15" x14ac:dyDescent="0.25">
      <c r="B103" s="351">
        <v>2047</v>
      </c>
      <c r="C103" s="352">
        <v>22000</v>
      </c>
      <c r="D103" s="352">
        <v>61500</v>
      </c>
      <c r="E103" s="352">
        <v>1069000</v>
      </c>
      <c r="F103" s="352">
        <v>331.36910828327689</v>
      </c>
      <c r="G103" s="345"/>
    </row>
    <row r="104" spans="2:7" ht="15" x14ac:dyDescent="0.25">
      <c r="B104" s="351">
        <v>2048</v>
      </c>
      <c r="C104" s="352">
        <v>22000</v>
      </c>
      <c r="D104" s="352">
        <v>61500</v>
      </c>
      <c r="E104" s="352">
        <v>1069000</v>
      </c>
      <c r="F104" s="352">
        <v>335.84706920602389</v>
      </c>
      <c r="G104" s="345"/>
    </row>
    <row r="105" spans="2:7" ht="15" x14ac:dyDescent="0.25">
      <c r="B105" s="351">
        <v>2049</v>
      </c>
      <c r="C105" s="352">
        <v>22000</v>
      </c>
      <c r="D105" s="352">
        <v>61500</v>
      </c>
      <c r="E105" s="352">
        <v>1069000</v>
      </c>
      <c r="F105" s="352">
        <v>340.32503012877083</v>
      </c>
      <c r="G105" s="345"/>
    </row>
    <row r="106" spans="2:7" ht="15" x14ac:dyDescent="0.25">
      <c r="B106" s="351">
        <v>2050</v>
      </c>
      <c r="C106" s="352">
        <v>22000</v>
      </c>
      <c r="D106" s="352">
        <v>61500</v>
      </c>
      <c r="E106" s="352">
        <v>1069000</v>
      </c>
      <c r="F106" s="352">
        <v>344.80299105151784</v>
      </c>
      <c r="G106" s="345"/>
    </row>
    <row r="107" spans="2:7" ht="15" x14ac:dyDescent="0.25">
      <c r="B107" s="351">
        <v>2051</v>
      </c>
      <c r="C107" s="352">
        <v>22000</v>
      </c>
      <c r="D107" s="352">
        <v>61500</v>
      </c>
      <c r="E107" s="352">
        <v>1069000</v>
      </c>
      <c r="F107" s="352">
        <v>349.28095197426484</v>
      </c>
      <c r="G107" s="345"/>
    </row>
    <row r="108" spans="2:7" ht="15" x14ac:dyDescent="0.25">
      <c r="B108" s="351">
        <v>2052</v>
      </c>
      <c r="C108" s="352">
        <v>22000</v>
      </c>
      <c r="D108" s="352">
        <v>61500</v>
      </c>
      <c r="E108" s="352">
        <v>1069000</v>
      </c>
      <c r="F108" s="366">
        <v>352.63942266632506</v>
      </c>
      <c r="G108" s="345"/>
    </row>
    <row r="109" spans="2:7" ht="15" x14ac:dyDescent="0.25">
      <c r="B109" s="351">
        <v>2053</v>
      </c>
      <c r="C109" s="352">
        <v>22000</v>
      </c>
      <c r="D109" s="352">
        <v>61500</v>
      </c>
      <c r="E109" s="352">
        <v>1069000</v>
      </c>
      <c r="F109" s="366">
        <v>357.11738358907206</v>
      </c>
      <c r="G109" s="345"/>
    </row>
    <row r="110" spans="2:7" ht="15" x14ac:dyDescent="0.25">
      <c r="B110" s="364"/>
      <c r="C110" s="365"/>
      <c r="D110" s="365"/>
      <c r="E110" s="365"/>
      <c r="F110" s="366"/>
      <c r="G110" s="345"/>
    </row>
    <row r="111" spans="2:7" ht="15" x14ac:dyDescent="0.25">
      <c r="B111" s="488" t="s">
        <v>710</v>
      </c>
      <c r="C111" s="489"/>
      <c r="D111" s="489"/>
      <c r="E111" s="489"/>
      <c r="F111" s="490"/>
      <c r="G111" s="345"/>
    </row>
    <row r="112" spans="2:7" ht="16.5" x14ac:dyDescent="0.25">
      <c r="B112" s="491" t="s">
        <v>711</v>
      </c>
      <c r="C112" s="492"/>
      <c r="D112" s="492"/>
      <c r="E112" s="492"/>
      <c r="F112" s="493"/>
      <c r="G112" s="345"/>
    </row>
    <row r="113" spans="2:7" ht="15" x14ac:dyDescent="0.25">
      <c r="B113" s="340" t="s">
        <v>642</v>
      </c>
      <c r="C113" s="281"/>
      <c r="D113" s="281"/>
      <c r="E113" s="281"/>
      <c r="F113" s="281"/>
      <c r="G113" s="345"/>
    </row>
    <row r="114" spans="2:7" ht="15" x14ac:dyDescent="0.25">
      <c r="B114" s="348" t="s">
        <v>712</v>
      </c>
      <c r="C114" s="281"/>
      <c r="D114" s="281"/>
      <c r="E114" s="281"/>
      <c r="F114" s="281"/>
      <c r="G114" s="345"/>
    </row>
    <row r="115" spans="2:7" ht="30" x14ac:dyDescent="0.25">
      <c r="B115" s="359" t="s">
        <v>713</v>
      </c>
      <c r="C115" s="360" t="s">
        <v>714</v>
      </c>
      <c r="D115" s="281"/>
      <c r="E115" s="281"/>
      <c r="F115" s="281"/>
      <c r="G115" s="345"/>
    </row>
    <row r="116" spans="2:7" ht="15" x14ac:dyDescent="0.25">
      <c r="B116" s="367">
        <v>2003</v>
      </c>
      <c r="C116" s="361">
        <v>1.53</v>
      </c>
      <c r="D116" s="281"/>
      <c r="E116" s="281"/>
      <c r="F116" s="281"/>
      <c r="G116" s="345"/>
    </row>
    <row r="117" spans="2:7" ht="15" x14ac:dyDescent="0.25">
      <c r="B117" s="367">
        <v>2004</v>
      </c>
      <c r="C117" s="361">
        <v>1.49</v>
      </c>
      <c r="D117" s="281"/>
      <c r="E117" s="281"/>
      <c r="F117" s="281"/>
      <c r="G117" s="345"/>
    </row>
    <row r="118" spans="2:7" ht="15" x14ac:dyDescent="0.25">
      <c r="B118" s="367">
        <v>2005</v>
      </c>
      <c r="C118" s="361">
        <v>1.45</v>
      </c>
      <c r="D118" s="281"/>
      <c r="E118" s="281"/>
      <c r="F118" s="281"/>
      <c r="G118" s="345"/>
    </row>
    <row r="119" spans="2:7" ht="15" x14ac:dyDescent="0.25">
      <c r="B119" s="367">
        <v>2006</v>
      </c>
      <c r="C119" s="361">
        <v>1.4</v>
      </c>
      <c r="D119" s="281"/>
      <c r="E119" s="281"/>
      <c r="F119" s="281"/>
      <c r="G119" s="345"/>
    </row>
    <row r="120" spans="2:7" ht="15" x14ac:dyDescent="0.25">
      <c r="B120" s="367">
        <v>2007</v>
      </c>
      <c r="C120" s="361">
        <v>1.37</v>
      </c>
      <c r="D120" s="281"/>
      <c r="E120" s="281"/>
      <c r="F120" s="281"/>
      <c r="G120" s="345"/>
    </row>
    <row r="121" spans="2:7" ht="15" x14ac:dyDescent="0.25">
      <c r="B121" s="367">
        <v>2008</v>
      </c>
      <c r="C121" s="361">
        <v>1.34</v>
      </c>
      <c r="D121" s="281"/>
      <c r="E121" s="281"/>
      <c r="F121" s="281"/>
      <c r="G121" s="345"/>
    </row>
    <row r="122" spans="2:7" ht="15" x14ac:dyDescent="0.25">
      <c r="B122" s="367">
        <v>2009</v>
      </c>
      <c r="C122" s="361">
        <v>1.33</v>
      </c>
      <c r="D122" s="281"/>
      <c r="E122" s="281"/>
      <c r="F122" s="281"/>
      <c r="G122" s="345"/>
    </row>
    <row r="123" spans="2:7" ht="15" x14ac:dyDescent="0.25">
      <c r="B123" s="367">
        <v>2010</v>
      </c>
      <c r="C123" s="361">
        <v>1.32</v>
      </c>
      <c r="D123" s="281"/>
      <c r="E123" s="281"/>
      <c r="F123" s="281"/>
      <c r="G123" s="345"/>
    </row>
    <row r="124" spans="2:7" ht="15" x14ac:dyDescent="0.25">
      <c r="B124" s="367">
        <v>2011</v>
      </c>
      <c r="C124" s="361">
        <v>1.29</v>
      </c>
      <c r="D124" s="281"/>
      <c r="E124" s="281"/>
      <c r="F124" s="281"/>
      <c r="G124" s="345"/>
    </row>
    <row r="125" spans="2:7" ht="15" x14ac:dyDescent="0.25">
      <c r="B125" s="367">
        <v>2012</v>
      </c>
      <c r="C125" s="361">
        <v>1.27</v>
      </c>
      <c r="D125" s="281"/>
      <c r="E125" s="281"/>
      <c r="F125" s="281"/>
      <c r="G125" s="345"/>
    </row>
    <row r="126" spans="2:7" ht="15" x14ac:dyDescent="0.25">
      <c r="B126" s="367">
        <v>2013</v>
      </c>
      <c r="C126" s="361">
        <v>1.24</v>
      </c>
      <c r="D126" s="281"/>
      <c r="E126" s="281"/>
      <c r="F126" s="281"/>
      <c r="G126" s="345"/>
    </row>
    <row r="127" spans="2:7" ht="15" x14ac:dyDescent="0.25">
      <c r="B127" s="367">
        <v>2014</v>
      </c>
      <c r="C127" s="361">
        <v>1.22</v>
      </c>
      <c r="D127" s="281"/>
      <c r="E127" s="281"/>
      <c r="F127" s="281"/>
      <c r="G127" s="345"/>
    </row>
    <row r="128" spans="2:7" ht="15" x14ac:dyDescent="0.25">
      <c r="B128" s="367">
        <v>2015</v>
      </c>
      <c r="C128" s="361">
        <v>1.21</v>
      </c>
      <c r="D128" s="281"/>
      <c r="E128" s="281"/>
      <c r="F128" s="281"/>
      <c r="G128" s="345"/>
    </row>
    <row r="129" spans="2:7" ht="15" x14ac:dyDescent="0.25">
      <c r="B129" s="367">
        <v>2016</v>
      </c>
      <c r="C129" s="361">
        <v>1.2</v>
      </c>
      <c r="D129" s="281"/>
      <c r="E129" s="281"/>
      <c r="F129" s="281"/>
      <c r="G129" s="345"/>
    </row>
    <row r="130" spans="2:7" ht="15" x14ac:dyDescent="0.25">
      <c r="B130" s="367">
        <v>2017</v>
      </c>
      <c r="C130" s="361">
        <v>1.18</v>
      </c>
      <c r="D130" s="281"/>
      <c r="E130" s="281"/>
      <c r="F130" s="281"/>
      <c r="G130" s="345"/>
    </row>
    <row r="131" spans="2:7" ht="15" x14ac:dyDescent="0.25">
      <c r="B131" s="367">
        <v>2018</v>
      </c>
      <c r="C131" s="361">
        <v>1.1499999999999999</v>
      </c>
      <c r="D131" s="281"/>
      <c r="E131" s="281"/>
      <c r="F131" s="281"/>
      <c r="G131" s="345"/>
    </row>
    <row r="132" spans="2:7" ht="15" x14ac:dyDescent="0.25">
      <c r="B132" s="367">
        <v>2019</v>
      </c>
      <c r="C132" s="361">
        <v>1.1299999999999999</v>
      </c>
      <c r="D132" s="281"/>
      <c r="E132" s="281"/>
      <c r="F132" s="281"/>
      <c r="G132" s="345"/>
    </row>
    <row r="133" spans="2:7" ht="15" x14ac:dyDescent="0.25">
      <c r="B133" s="367">
        <v>2020</v>
      </c>
      <c r="C133" s="361">
        <v>1.1200000000000001</v>
      </c>
      <c r="D133" s="281"/>
      <c r="E133" s="281"/>
      <c r="F133" s="281"/>
      <c r="G133" s="345"/>
    </row>
    <row r="134" spans="2:7" ht="15" x14ac:dyDescent="0.25">
      <c r="B134" s="367">
        <v>2021</v>
      </c>
      <c r="C134" s="361">
        <v>1.07</v>
      </c>
      <c r="D134" s="281"/>
      <c r="E134" s="281"/>
      <c r="F134" s="281"/>
      <c r="G134" s="345"/>
    </row>
    <row r="135" spans="2:7" ht="15" x14ac:dyDescent="0.25">
      <c r="B135" s="367">
        <v>2022</v>
      </c>
      <c r="C135" s="361">
        <v>1</v>
      </c>
      <c r="D135" s="281"/>
      <c r="E135" s="281"/>
      <c r="F135" s="281"/>
      <c r="G135" s="345"/>
    </row>
    <row r="136" spans="2:7" ht="15" x14ac:dyDescent="0.25">
      <c r="B136" s="340" t="s">
        <v>642</v>
      </c>
      <c r="C136" s="281"/>
      <c r="D136" s="281"/>
      <c r="E136" s="281"/>
      <c r="F136" s="281"/>
      <c r="G136" s="345"/>
    </row>
    <row r="137" spans="2:7" ht="15" x14ac:dyDescent="0.25">
      <c r="B137" s="348" t="s">
        <v>715</v>
      </c>
      <c r="C137" s="281"/>
      <c r="D137" s="281"/>
      <c r="E137" s="281"/>
      <c r="F137" s="281"/>
      <c r="G137" s="345"/>
    </row>
    <row r="138" spans="2:7" ht="48" x14ac:dyDescent="0.25">
      <c r="B138" s="359" t="s">
        <v>716</v>
      </c>
      <c r="C138" s="360" t="s">
        <v>717</v>
      </c>
      <c r="D138" s="281"/>
      <c r="E138" s="281"/>
      <c r="F138" s="281"/>
      <c r="G138" s="345"/>
    </row>
    <row r="139" spans="2:7" ht="18" x14ac:dyDescent="0.25">
      <c r="B139" s="368" t="s">
        <v>718</v>
      </c>
      <c r="C139" s="354">
        <v>0.11</v>
      </c>
      <c r="D139" s="281"/>
      <c r="E139" s="281"/>
      <c r="F139" s="281"/>
      <c r="G139" s="345"/>
    </row>
    <row r="140" spans="2:7" ht="15" x14ac:dyDescent="0.25">
      <c r="B140" s="368" t="s">
        <v>719</v>
      </c>
      <c r="C140" s="354">
        <v>1.1100000000000001</v>
      </c>
      <c r="D140" s="281"/>
      <c r="E140" s="281"/>
      <c r="F140" s="281"/>
      <c r="G140" s="345"/>
    </row>
    <row r="141" spans="2:7" ht="15" x14ac:dyDescent="0.25">
      <c r="B141" s="368" t="s">
        <v>720</v>
      </c>
      <c r="C141" s="354">
        <v>0.09</v>
      </c>
      <c r="D141" s="281"/>
      <c r="E141" s="281"/>
      <c r="F141" s="281"/>
      <c r="G141" s="345"/>
    </row>
    <row r="142" spans="2:7" ht="30" x14ac:dyDescent="0.25">
      <c r="B142" s="369" t="s">
        <v>721</v>
      </c>
      <c r="C142" s="370">
        <v>1E-3</v>
      </c>
      <c r="D142" s="281"/>
      <c r="E142" s="281"/>
      <c r="F142" s="281"/>
      <c r="G142" s="345"/>
    </row>
    <row r="143" spans="2:7" ht="15" x14ac:dyDescent="0.25">
      <c r="B143" s="340" t="s">
        <v>642</v>
      </c>
      <c r="C143" s="339"/>
      <c r="D143" s="281"/>
      <c r="E143" s="281"/>
      <c r="F143" s="281"/>
      <c r="G143" s="345"/>
    </row>
    <row r="144" spans="2:7" ht="33" x14ac:dyDescent="0.25">
      <c r="B144" s="359" t="s">
        <v>716</v>
      </c>
      <c r="C144" s="360" t="s">
        <v>722</v>
      </c>
      <c r="D144" s="281"/>
      <c r="E144" s="281"/>
      <c r="F144" s="281"/>
      <c r="G144" s="345"/>
    </row>
    <row r="145" spans="2:7" ht="30" x14ac:dyDescent="0.25">
      <c r="B145" s="369" t="s">
        <v>723</v>
      </c>
      <c r="C145" s="354">
        <v>0.19</v>
      </c>
      <c r="D145" s="281"/>
      <c r="E145" s="281"/>
      <c r="F145" s="281"/>
      <c r="G145" s="345"/>
    </row>
    <row r="146" spans="2:7" ht="30" x14ac:dyDescent="0.25">
      <c r="B146" s="369" t="s">
        <v>176</v>
      </c>
      <c r="C146" s="354">
        <v>0.51</v>
      </c>
      <c r="D146" s="281"/>
      <c r="E146" s="281"/>
      <c r="F146" s="281"/>
      <c r="G146" s="345"/>
    </row>
    <row r="147" spans="2:7" ht="15" x14ac:dyDescent="0.25">
      <c r="B147" s="371"/>
      <c r="C147" s="372"/>
      <c r="D147" s="281"/>
      <c r="E147" s="281"/>
      <c r="F147" s="281"/>
      <c r="G147" s="345"/>
    </row>
    <row r="148" spans="2:7" ht="15" x14ac:dyDescent="0.25">
      <c r="B148" s="478" t="s">
        <v>724</v>
      </c>
      <c r="C148" s="508"/>
      <c r="D148" s="281">
        <v>3.2</v>
      </c>
      <c r="E148" s="281"/>
      <c r="F148" s="281"/>
      <c r="G148" s="345"/>
    </row>
    <row r="149" spans="2:7" ht="15.75" thickBot="1" x14ac:dyDescent="0.3">
      <c r="B149" s="480" t="s">
        <v>725</v>
      </c>
      <c r="C149" s="481"/>
      <c r="D149" s="281"/>
      <c r="E149" s="281"/>
      <c r="F149" s="281"/>
      <c r="G149" s="345"/>
    </row>
    <row r="150" spans="2:7" ht="15" x14ac:dyDescent="0.25">
      <c r="B150" s="340" t="s">
        <v>642</v>
      </c>
      <c r="C150" s="281"/>
      <c r="D150" s="281"/>
      <c r="E150" s="281"/>
      <c r="F150" s="281"/>
      <c r="G150" s="345"/>
    </row>
    <row r="151" spans="2:7" ht="15" x14ac:dyDescent="0.25">
      <c r="B151" s="348" t="s">
        <v>726</v>
      </c>
      <c r="C151" s="281"/>
      <c r="D151" s="281"/>
      <c r="E151" s="281"/>
      <c r="F151" s="281"/>
      <c r="G151" s="345"/>
    </row>
    <row r="152" spans="2:7" ht="33" x14ac:dyDescent="0.25">
      <c r="B152" s="359" t="s">
        <v>727</v>
      </c>
      <c r="C152" s="360" t="s">
        <v>728</v>
      </c>
      <c r="D152" s="281"/>
      <c r="E152" s="281"/>
      <c r="F152" s="281"/>
      <c r="G152" s="345"/>
    </row>
    <row r="153" spans="2:7" ht="15" x14ac:dyDescent="0.25">
      <c r="B153" s="351" t="s">
        <v>729</v>
      </c>
      <c r="C153" s="362">
        <v>1.57</v>
      </c>
      <c r="D153" s="281"/>
      <c r="E153" s="281"/>
      <c r="F153" s="281"/>
      <c r="G153" s="345"/>
    </row>
    <row r="154" spans="2:7" ht="18" x14ac:dyDescent="0.25">
      <c r="B154" s="351" t="s">
        <v>730</v>
      </c>
      <c r="C154" s="362">
        <v>1.97</v>
      </c>
      <c r="D154" s="281"/>
      <c r="E154" s="281"/>
      <c r="F154" s="281"/>
      <c r="G154" s="345"/>
    </row>
    <row r="155" spans="2:7" ht="15" x14ac:dyDescent="0.25">
      <c r="B155" s="351" t="s">
        <v>731</v>
      </c>
      <c r="C155" s="362">
        <v>1.86</v>
      </c>
      <c r="D155" s="281"/>
      <c r="E155" s="281"/>
      <c r="F155" s="281"/>
      <c r="G155" s="345"/>
    </row>
    <row r="156" spans="2:7" ht="15" x14ac:dyDescent="0.25">
      <c r="B156" s="351" t="s">
        <v>732</v>
      </c>
      <c r="C156" s="362">
        <v>0.28999999999999998</v>
      </c>
      <c r="D156" s="281"/>
      <c r="E156" s="281"/>
      <c r="F156" s="281"/>
      <c r="G156" s="345"/>
    </row>
    <row r="157" spans="2:7" ht="15" x14ac:dyDescent="0.25">
      <c r="B157" s="351" t="s">
        <v>733</v>
      </c>
      <c r="C157" s="362">
        <v>1.86</v>
      </c>
      <c r="D157" s="281"/>
      <c r="E157" s="281"/>
      <c r="F157" s="281"/>
      <c r="G157" s="345"/>
    </row>
    <row r="158" spans="2:7" ht="15" x14ac:dyDescent="0.25">
      <c r="B158" s="349"/>
      <c r="C158" s="339"/>
      <c r="D158" s="281"/>
      <c r="E158" s="281"/>
      <c r="F158" s="281"/>
      <c r="G158" s="345"/>
    </row>
    <row r="159" spans="2:7" ht="15" x14ac:dyDescent="0.25">
      <c r="B159" s="478" t="s">
        <v>734</v>
      </c>
      <c r="C159" s="508"/>
      <c r="D159" s="281"/>
      <c r="E159" s="281"/>
      <c r="F159" s="281"/>
      <c r="G159" s="345"/>
    </row>
    <row r="160" spans="2:7" ht="15.75" thickBot="1" x14ac:dyDescent="0.3">
      <c r="B160" s="480" t="s">
        <v>735</v>
      </c>
      <c r="C160" s="481"/>
      <c r="D160" s="281"/>
      <c r="E160" s="281"/>
      <c r="F160" s="281"/>
      <c r="G160" s="345"/>
    </row>
    <row r="161" spans="2:7" ht="15" x14ac:dyDescent="0.25">
      <c r="B161" s="340" t="s">
        <v>642</v>
      </c>
      <c r="C161"/>
      <c r="D161"/>
      <c r="E161"/>
      <c r="F161"/>
      <c r="G161" s="345"/>
    </row>
    <row r="162" spans="2:7" ht="15" x14ac:dyDescent="0.25">
      <c r="B162" s="348" t="s">
        <v>736</v>
      </c>
      <c r="C162"/>
      <c r="D162"/>
      <c r="E162"/>
      <c r="F162"/>
      <c r="G162" s="345"/>
    </row>
    <row r="163" spans="2:7" ht="15" x14ac:dyDescent="0.25">
      <c r="B163" s="506" t="s">
        <v>737</v>
      </c>
      <c r="C163" s="507" t="s">
        <v>738</v>
      </c>
      <c r="D163" s="507"/>
      <c r="E163" s="507"/>
      <c r="F163"/>
      <c r="G163" s="345"/>
    </row>
    <row r="164" spans="2:7" ht="15" x14ac:dyDescent="0.25">
      <c r="B164" s="506"/>
      <c r="C164" s="360" t="s">
        <v>739</v>
      </c>
      <c r="D164" s="360" t="s">
        <v>740</v>
      </c>
      <c r="E164" s="360" t="s">
        <v>741</v>
      </c>
      <c r="F164"/>
      <c r="G164" s="345"/>
    </row>
    <row r="165" spans="2:7" ht="15" x14ac:dyDescent="0.25">
      <c r="B165" s="373" t="s">
        <v>742</v>
      </c>
      <c r="C165" s="374">
        <v>0.03</v>
      </c>
      <c r="D165" s="374">
        <v>0.03</v>
      </c>
      <c r="E165" s="374">
        <v>7.0000000000000007E-2</v>
      </c>
      <c r="F165"/>
      <c r="G165" s="345"/>
    </row>
    <row r="166" spans="2:7" ht="15" x14ac:dyDescent="0.25">
      <c r="B166" s="373" t="s">
        <v>743</v>
      </c>
      <c r="C166" s="374">
        <v>0.32</v>
      </c>
      <c r="D166" s="374">
        <v>0.16</v>
      </c>
      <c r="E166" s="374">
        <v>0.9</v>
      </c>
      <c r="F166"/>
      <c r="G166" s="345"/>
    </row>
    <row r="167" spans="2:7" ht="15" x14ac:dyDescent="0.25">
      <c r="B167" s="373" t="s">
        <v>744</v>
      </c>
      <c r="C167" s="374">
        <v>0.25</v>
      </c>
      <c r="D167" s="374">
        <v>0.25</v>
      </c>
      <c r="E167" s="374">
        <v>0.11</v>
      </c>
      <c r="F167"/>
      <c r="G167" s="345"/>
    </row>
    <row r="168" spans="2:7" ht="15" x14ac:dyDescent="0.25">
      <c r="B168" s="373" t="s">
        <v>745</v>
      </c>
      <c r="C168" s="374">
        <v>0.32</v>
      </c>
      <c r="D168" s="374">
        <v>0.05</v>
      </c>
      <c r="E168" s="374">
        <v>0.1</v>
      </c>
      <c r="F168"/>
      <c r="G168" s="345"/>
    </row>
    <row r="169" spans="2:7" ht="18" x14ac:dyDescent="0.25">
      <c r="B169" s="373" t="s">
        <v>746</v>
      </c>
      <c r="C169" s="374">
        <v>0.2</v>
      </c>
      <c r="D169" s="374">
        <v>0.14000000000000001</v>
      </c>
      <c r="E169" s="374">
        <v>0.13</v>
      </c>
      <c r="F169"/>
      <c r="G169" s="345"/>
    </row>
    <row r="170" spans="2:7" ht="18" x14ac:dyDescent="0.25">
      <c r="B170" s="373" t="s">
        <v>747</v>
      </c>
      <c r="C170" s="374">
        <v>0.26</v>
      </c>
      <c r="D170" s="374">
        <v>0.17</v>
      </c>
      <c r="E170" s="374">
        <v>0.13</v>
      </c>
      <c r="F170"/>
      <c r="G170" s="345"/>
    </row>
    <row r="171" spans="2:7" ht="15" x14ac:dyDescent="0.25">
      <c r="B171" s="373" t="s">
        <v>748</v>
      </c>
      <c r="C171" s="374">
        <v>0.15</v>
      </c>
      <c r="D171" s="374">
        <v>0.15</v>
      </c>
      <c r="E171" s="374">
        <v>0.11</v>
      </c>
      <c r="F171"/>
      <c r="G171" s="345"/>
    </row>
    <row r="172" spans="2:7" ht="15" x14ac:dyDescent="0.25">
      <c r="B172" s="373" t="s">
        <v>749</v>
      </c>
      <c r="C172" s="374">
        <v>0.11</v>
      </c>
      <c r="D172" s="374">
        <v>0.11</v>
      </c>
      <c r="E172" s="374">
        <v>0.06</v>
      </c>
      <c r="F172"/>
      <c r="G172" s="345"/>
    </row>
    <row r="173" spans="2:7" ht="15" x14ac:dyDescent="0.25">
      <c r="B173" s="373" t="s">
        <v>750</v>
      </c>
      <c r="C173" s="374">
        <v>0.08</v>
      </c>
      <c r="D173" s="374">
        <v>0.03</v>
      </c>
      <c r="E173" s="374">
        <v>0.19</v>
      </c>
      <c r="F173"/>
      <c r="G173" s="345"/>
    </row>
    <row r="174" spans="2:7" ht="15" x14ac:dyDescent="0.25">
      <c r="B174" s="373" t="s">
        <v>751</v>
      </c>
      <c r="C174" s="374">
        <v>0.33</v>
      </c>
      <c r="D174" s="374">
        <v>0.33</v>
      </c>
      <c r="E174" s="374">
        <v>0.21</v>
      </c>
      <c r="F174"/>
      <c r="G174" s="345"/>
    </row>
    <row r="175" spans="2:7" ht="15" x14ac:dyDescent="0.25">
      <c r="B175" s="373" t="s">
        <v>752</v>
      </c>
      <c r="C175" s="374">
        <v>0.43</v>
      </c>
      <c r="D175" s="374">
        <v>0.08</v>
      </c>
      <c r="E175" s="374">
        <v>7.0000000000000007E-2</v>
      </c>
      <c r="F175"/>
      <c r="G175" s="345"/>
    </row>
    <row r="176" spans="2:7" ht="15" x14ac:dyDescent="0.25">
      <c r="B176" s="373" t="s">
        <v>753</v>
      </c>
      <c r="C176" s="374">
        <v>0.32</v>
      </c>
      <c r="D176" s="374">
        <v>0.32</v>
      </c>
      <c r="E176" s="374">
        <v>0.33</v>
      </c>
      <c r="F176"/>
      <c r="G176" s="345"/>
    </row>
    <row r="177" spans="2:7" ht="18" x14ac:dyDescent="0.25">
      <c r="B177" s="373" t="s">
        <v>754</v>
      </c>
      <c r="C177" s="374">
        <v>0.65</v>
      </c>
      <c r="D177" s="374">
        <v>0.65</v>
      </c>
      <c r="E177" s="374">
        <v>0.65</v>
      </c>
      <c r="F177"/>
      <c r="G177" s="345"/>
    </row>
    <row r="178" spans="2:7" ht="15" x14ac:dyDescent="0.25">
      <c r="B178" s="373" t="s">
        <v>755</v>
      </c>
      <c r="C178" s="374">
        <v>0.11</v>
      </c>
      <c r="D178" s="374">
        <v>0.11</v>
      </c>
      <c r="E178" s="374">
        <v>7.0000000000000007E-2</v>
      </c>
      <c r="F178"/>
      <c r="G178" s="345"/>
    </row>
    <row r="179" spans="2:7" ht="15" x14ac:dyDescent="0.25">
      <c r="B179" s="373" t="s">
        <v>756</v>
      </c>
      <c r="C179" s="374">
        <v>0.24</v>
      </c>
      <c r="D179" s="374">
        <v>0.1</v>
      </c>
      <c r="E179" s="374">
        <v>0.5</v>
      </c>
      <c r="F179"/>
      <c r="G179" s="345"/>
    </row>
    <row r="180" spans="2:7" ht="15" x14ac:dyDescent="0.25">
      <c r="B180" s="373" t="s">
        <v>757</v>
      </c>
      <c r="C180" s="375" t="s">
        <v>701</v>
      </c>
      <c r="D180" s="375" t="s">
        <v>701</v>
      </c>
      <c r="E180" s="374">
        <v>0.1</v>
      </c>
      <c r="F180"/>
      <c r="G180" s="345"/>
    </row>
    <row r="181" spans="2:7" ht="15" x14ac:dyDescent="0.25">
      <c r="B181" s="373" t="s">
        <v>758</v>
      </c>
      <c r="C181" s="375" t="s">
        <v>701</v>
      </c>
      <c r="D181" s="375" t="s">
        <v>701</v>
      </c>
      <c r="E181" s="374">
        <v>0.12</v>
      </c>
      <c r="F181"/>
      <c r="G181" s="345"/>
    </row>
    <row r="182" spans="2:7" ht="15" x14ac:dyDescent="0.25">
      <c r="B182" s="373" t="s">
        <v>759</v>
      </c>
      <c r="C182" s="375" t="s">
        <v>701</v>
      </c>
      <c r="D182" s="375" t="s">
        <v>701</v>
      </c>
      <c r="E182" s="374">
        <v>7.0000000000000007E-2</v>
      </c>
      <c r="F182"/>
      <c r="G182" s="345"/>
    </row>
    <row r="183" spans="2:7" ht="15" x14ac:dyDescent="0.25">
      <c r="B183" s="373" t="s">
        <v>760</v>
      </c>
      <c r="C183" s="375" t="s">
        <v>701</v>
      </c>
      <c r="D183" s="375" t="s">
        <v>701</v>
      </c>
      <c r="E183" s="374">
        <v>0.04</v>
      </c>
      <c r="F183"/>
      <c r="G183" s="345"/>
    </row>
    <row r="184" spans="2:7" ht="15" x14ac:dyDescent="0.25">
      <c r="B184" s="373" t="s">
        <v>761</v>
      </c>
      <c r="C184" s="375" t="s">
        <v>701</v>
      </c>
      <c r="D184" s="375" t="s">
        <v>701</v>
      </c>
      <c r="E184" s="374">
        <v>0.1</v>
      </c>
      <c r="F184"/>
      <c r="G184" s="345"/>
    </row>
    <row r="185" spans="2:7" ht="15" x14ac:dyDescent="0.25">
      <c r="B185" s="373" t="s">
        <v>762</v>
      </c>
      <c r="C185" s="375" t="s">
        <v>701</v>
      </c>
      <c r="D185" s="375" t="s">
        <v>701</v>
      </c>
      <c r="E185" s="374">
        <v>0.05</v>
      </c>
      <c r="F185"/>
      <c r="G185" s="345"/>
    </row>
    <row r="186" spans="2:7" ht="18" x14ac:dyDescent="0.25">
      <c r="B186" s="373" t="s">
        <v>763</v>
      </c>
      <c r="C186" s="375" t="s">
        <v>701</v>
      </c>
      <c r="D186" s="375" t="s">
        <v>701</v>
      </c>
      <c r="E186" s="374">
        <v>0.21</v>
      </c>
      <c r="F186"/>
      <c r="G186" s="345"/>
    </row>
    <row r="187" spans="2:7" ht="15" x14ac:dyDescent="0.25">
      <c r="B187" s="376"/>
      <c r="C187" s="343"/>
      <c r="D187" s="343"/>
      <c r="E187" s="344"/>
      <c r="F187"/>
      <c r="G187" s="345"/>
    </row>
    <row r="188" spans="2:7" ht="15" x14ac:dyDescent="0.25">
      <c r="B188" s="486" t="s">
        <v>764</v>
      </c>
      <c r="C188" s="505"/>
      <c r="D188" s="505"/>
      <c r="E188" s="487"/>
      <c r="F188"/>
      <c r="G188" s="345"/>
    </row>
    <row r="189" spans="2:7" ht="15" x14ac:dyDescent="0.25">
      <c r="B189" s="340" t="s">
        <v>642</v>
      </c>
      <c r="C189"/>
      <c r="D189"/>
      <c r="E189"/>
      <c r="F189"/>
      <c r="G189" s="345"/>
    </row>
    <row r="190" spans="2:7" ht="15" x14ac:dyDescent="0.25">
      <c r="B190" s="348" t="s">
        <v>765</v>
      </c>
      <c r="C190"/>
      <c r="D190"/>
      <c r="E190"/>
      <c r="F190"/>
      <c r="G190" s="345"/>
    </row>
    <row r="191" spans="2:7" ht="15" x14ac:dyDescent="0.25">
      <c r="B191" s="506" t="s">
        <v>737</v>
      </c>
      <c r="C191" s="507" t="s">
        <v>738</v>
      </c>
      <c r="D191" s="507"/>
      <c r="E191" s="507"/>
      <c r="F191"/>
      <c r="G191" s="345"/>
    </row>
    <row r="192" spans="2:7" ht="15" x14ac:dyDescent="0.25">
      <c r="B192" s="506"/>
      <c r="C192" s="360" t="s">
        <v>766</v>
      </c>
      <c r="D192" s="360" t="s">
        <v>767</v>
      </c>
      <c r="E192" s="360" t="s">
        <v>768</v>
      </c>
      <c r="F192"/>
      <c r="G192" s="345"/>
    </row>
    <row r="193" spans="2:7" ht="15" x14ac:dyDescent="0.25">
      <c r="B193" s="373" t="s">
        <v>743</v>
      </c>
      <c r="C193" s="374">
        <v>0.23</v>
      </c>
      <c r="D193" s="374">
        <v>0.23</v>
      </c>
      <c r="E193" s="374">
        <v>0.23</v>
      </c>
      <c r="F193"/>
      <c r="G193" s="345"/>
    </row>
    <row r="194" spans="2:7" ht="15" x14ac:dyDescent="0.25">
      <c r="B194" s="373" t="s">
        <v>769</v>
      </c>
      <c r="C194" s="374">
        <v>0.13</v>
      </c>
      <c r="D194" s="374">
        <v>0.13</v>
      </c>
      <c r="E194" s="374">
        <v>0.32</v>
      </c>
      <c r="F194"/>
      <c r="G194" s="345"/>
    </row>
    <row r="195" spans="2:7" ht="15" x14ac:dyDescent="0.25">
      <c r="B195" s="373" t="s">
        <v>770</v>
      </c>
      <c r="C195" s="374">
        <v>0.09</v>
      </c>
      <c r="D195" s="374">
        <v>0.09</v>
      </c>
      <c r="E195" s="374">
        <v>0.09</v>
      </c>
      <c r="F195"/>
      <c r="G195" s="345"/>
    </row>
    <row r="196" spans="2:7" ht="15" x14ac:dyDescent="0.25">
      <c r="B196" s="373" t="s">
        <v>745</v>
      </c>
      <c r="C196" s="374">
        <v>0.4</v>
      </c>
      <c r="D196" s="374">
        <v>0.4</v>
      </c>
      <c r="E196" s="374">
        <v>0.41</v>
      </c>
      <c r="F196"/>
      <c r="G196" s="345"/>
    </row>
    <row r="197" spans="2:7" ht="15" x14ac:dyDescent="0.25">
      <c r="B197" s="373" t="s">
        <v>753</v>
      </c>
      <c r="C197" s="374">
        <v>0.23</v>
      </c>
      <c r="D197" s="374">
        <v>0.23</v>
      </c>
      <c r="E197" s="374">
        <v>0.65</v>
      </c>
      <c r="F197"/>
      <c r="G197" s="345"/>
    </row>
    <row r="198" spans="2:7" ht="15" x14ac:dyDescent="0.25">
      <c r="B198" s="373" t="s">
        <v>771</v>
      </c>
      <c r="C198" s="374">
        <v>0.33</v>
      </c>
      <c r="D198" s="374">
        <v>0.13</v>
      </c>
      <c r="E198" s="374">
        <v>0.49</v>
      </c>
      <c r="F198"/>
      <c r="G198" s="345"/>
    </row>
    <row r="199" spans="2:7" ht="15" x14ac:dyDescent="0.25">
      <c r="B199" s="373" t="s">
        <v>772</v>
      </c>
      <c r="C199" s="374">
        <v>0.05</v>
      </c>
      <c r="D199" s="374">
        <v>0.05</v>
      </c>
      <c r="E199" s="374">
        <v>0.05</v>
      </c>
      <c r="F199"/>
      <c r="G199" s="345"/>
    </row>
    <row r="200" spans="2:7" ht="15" x14ac:dyDescent="0.25">
      <c r="B200" s="373" t="s">
        <v>773</v>
      </c>
      <c r="C200" s="375" t="s">
        <v>701</v>
      </c>
      <c r="D200" s="375" t="s">
        <v>701</v>
      </c>
      <c r="E200" s="374">
        <v>0.03</v>
      </c>
      <c r="F200"/>
      <c r="G200" s="345"/>
    </row>
    <row r="201" spans="2:7" ht="15" x14ac:dyDescent="0.25">
      <c r="B201" s="373" t="s">
        <v>748</v>
      </c>
      <c r="C201" s="375" t="s">
        <v>701</v>
      </c>
      <c r="D201" s="375" t="s">
        <v>701</v>
      </c>
      <c r="E201" s="374">
        <v>0.2</v>
      </c>
      <c r="F201"/>
      <c r="G201" s="345"/>
    </row>
    <row r="202" spans="2:7" ht="15" x14ac:dyDescent="0.25">
      <c r="B202" s="340" t="s">
        <v>642</v>
      </c>
      <c r="C202"/>
      <c r="D202"/>
      <c r="E202"/>
      <c r="F202"/>
      <c r="G202" s="345"/>
    </row>
    <row r="203" spans="2:7" ht="15" x14ac:dyDescent="0.25">
      <c r="B203" s="348" t="s">
        <v>774</v>
      </c>
      <c r="C203"/>
      <c r="D203"/>
      <c r="E203"/>
      <c r="F203"/>
      <c r="G203" s="345"/>
    </row>
    <row r="204" spans="2:7" ht="47.25" x14ac:dyDescent="0.25">
      <c r="B204" s="359" t="s">
        <v>775</v>
      </c>
      <c r="C204" s="377" t="s">
        <v>776</v>
      </c>
      <c r="D204" s="377" t="s">
        <v>777</v>
      </c>
      <c r="E204"/>
      <c r="F204"/>
      <c r="G204" s="345"/>
    </row>
    <row r="205" spans="2:7" ht="17.25" x14ac:dyDescent="0.25">
      <c r="B205" s="373" t="s">
        <v>778</v>
      </c>
      <c r="C205" s="374">
        <v>0.33</v>
      </c>
      <c r="D205" s="374">
        <v>0.39</v>
      </c>
      <c r="E205"/>
      <c r="F205"/>
      <c r="G205" s="345"/>
    </row>
    <row r="206" spans="2:7" ht="17.25" x14ac:dyDescent="0.25">
      <c r="B206" s="373" t="s">
        <v>779</v>
      </c>
      <c r="C206" s="374">
        <v>0.65</v>
      </c>
      <c r="D206" s="374">
        <v>0.78</v>
      </c>
      <c r="E206"/>
      <c r="F206"/>
      <c r="G206" s="345"/>
    </row>
    <row r="207" spans="2:7" ht="17.25" x14ac:dyDescent="0.25">
      <c r="B207" s="373" t="s">
        <v>780</v>
      </c>
      <c r="C207" s="374">
        <v>1.63</v>
      </c>
      <c r="D207" s="374">
        <v>1.57</v>
      </c>
      <c r="E207"/>
      <c r="F207"/>
      <c r="G207" s="345"/>
    </row>
    <row r="208" spans="2:7" ht="15" x14ac:dyDescent="0.25">
      <c r="B208" s="373" t="s">
        <v>781</v>
      </c>
      <c r="C208" s="374">
        <v>1.96</v>
      </c>
      <c r="D208" s="374">
        <v>1.96</v>
      </c>
      <c r="E208"/>
      <c r="F208"/>
      <c r="G208" s="345"/>
    </row>
    <row r="209" spans="2:7" ht="15" x14ac:dyDescent="0.25">
      <c r="B209" s="373" t="s">
        <v>782</v>
      </c>
      <c r="C209" s="374">
        <v>3.27</v>
      </c>
      <c r="D209" s="374">
        <v>3.53</v>
      </c>
      <c r="E209"/>
      <c r="F209"/>
      <c r="G209" s="345"/>
    </row>
    <row r="210" spans="2:7" ht="15" x14ac:dyDescent="0.25">
      <c r="B210" s="373" t="s">
        <v>783</v>
      </c>
      <c r="C210" s="374">
        <v>3.59</v>
      </c>
      <c r="D210" s="374">
        <v>3.92</v>
      </c>
      <c r="E210"/>
      <c r="F210"/>
      <c r="G210" s="345"/>
    </row>
    <row r="211" spans="2:7" ht="15" x14ac:dyDescent="0.25">
      <c r="B211" s="373" t="s">
        <v>784</v>
      </c>
      <c r="C211" s="374">
        <v>5.23</v>
      </c>
      <c r="D211" s="374">
        <v>3.92</v>
      </c>
      <c r="E211"/>
      <c r="F211"/>
      <c r="G211" s="345"/>
    </row>
    <row r="212" spans="2:7" ht="17.25" x14ac:dyDescent="0.25">
      <c r="B212" s="373" t="s">
        <v>785</v>
      </c>
      <c r="C212" s="374">
        <v>3.59</v>
      </c>
      <c r="D212" s="374">
        <v>3.92</v>
      </c>
      <c r="E212"/>
      <c r="F212"/>
      <c r="G212" s="345"/>
    </row>
    <row r="213" spans="2:7" ht="15" x14ac:dyDescent="0.25">
      <c r="B213" s="376"/>
      <c r="C213" s="343"/>
      <c r="D213" s="344"/>
      <c r="E213"/>
      <c r="F213"/>
      <c r="G213" s="345"/>
    </row>
    <row r="214" spans="2:7" ht="15" x14ac:dyDescent="0.25">
      <c r="B214" s="478" t="s">
        <v>786</v>
      </c>
      <c r="C214" s="504"/>
      <c r="D214" s="479"/>
      <c r="E214"/>
      <c r="F214"/>
      <c r="G214" s="345"/>
    </row>
    <row r="215" spans="2:7" ht="15" x14ac:dyDescent="0.25">
      <c r="B215" s="478" t="s">
        <v>787</v>
      </c>
      <c r="C215" s="504"/>
      <c r="D215" s="479"/>
      <c r="E215"/>
      <c r="F215"/>
      <c r="G215" s="345"/>
    </row>
    <row r="216" spans="2:7" ht="15" x14ac:dyDescent="0.25">
      <c r="B216" s="486" t="s">
        <v>788</v>
      </c>
      <c r="C216" s="505"/>
      <c r="D216" s="487"/>
      <c r="E216"/>
      <c r="F216"/>
      <c r="G216" s="345"/>
    </row>
    <row r="217" spans="2:7" ht="15" x14ac:dyDescent="0.25">
      <c r="B217" s="340" t="s">
        <v>642</v>
      </c>
      <c r="C217"/>
      <c r="D217"/>
      <c r="E217"/>
      <c r="F217"/>
      <c r="G217" s="345"/>
    </row>
    <row r="218" spans="2:7" ht="15" x14ac:dyDescent="0.25">
      <c r="B218" s="348" t="s">
        <v>789</v>
      </c>
      <c r="C218"/>
      <c r="D218"/>
      <c r="E218"/>
      <c r="F218"/>
      <c r="G218" s="345"/>
    </row>
    <row r="219" spans="2:7" ht="32.25" x14ac:dyDescent="0.25">
      <c r="B219" s="359" t="s">
        <v>790</v>
      </c>
      <c r="C219" s="377" t="s">
        <v>791</v>
      </c>
      <c r="D219" s="377" t="s">
        <v>792</v>
      </c>
      <c r="E219"/>
      <c r="F219"/>
      <c r="G219" s="345"/>
    </row>
    <row r="220" spans="2:7" ht="17.25" x14ac:dyDescent="0.25">
      <c r="B220" s="373" t="s">
        <v>793</v>
      </c>
      <c r="C220" s="375" t="s">
        <v>794</v>
      </c>
      <c r="D220" s="374">
        <v>7.63</v>
      </c>
      <c r="E220"/>
      <c r="F220"/>
      <c r="G220" s="345"/>
    </row>
    <row r="221" spans="2:7" ht="17.25" x14ac:dyDescent="0.25">
      <c r="B221" s="373" t="s">
        <v>795</v>
      </c>
      <c r="C221" s="375" t="s">
        <v>796</v>
      </c>
      <c r="D221" s="374">
        <v>6.8</v>
      </c>
      <c r="E221"/>
      <c r="F221"/>
      <c r="G221" s="345"/>
    </row>
    <row r="222" spans="2:7" ht="15" x14ac:dyDescent="0.25">
      <c r="B222" s="376"/>
      <c r="C222" s="343"/>
      <c r="D222" s="344"/>
      <c r="E222"/>
      <c r="F222"/>
      <c r="G222" s="345"/>
    </row>
    <row r="223" spans="2:7" ht="64.5" customHeight="1" x14ac:dyDescent="0.25">
      <c r="B223" s="478" t="s">
        <v>797</v>
      </c>
      <c r="C223" s="504"/>
      <c r="D223" s="479"/>
      <c r="E223"/>
      <c r="F223"/>
      <c r="G223" s="345"/>
    </row>
    <row r="224" spans="2:7" ht="69.75" customHeight="1" x14ac:dyDescent="0.25">
      <c r="B224" s="478" t="s">
        <v>798</v>
      </c>
      <c r="C224" s="504"/>
      <c r="D224" s="479"/>
      <c r="E224"/>
      <c r="F224"/>
      <c r="G224" s="345"/>
    </row>
    <row r="225" spans="2:7" ht="69.75" customHeight="1" x14ac:dyDescent="0.25">
      <c r="B225" s="478" t="s">
        <v>799</v>
      </c>
      <c r="C225" s="504"/>
      <c r="D225" s="479"/>
      <c r="E225"/>
      <c r="F225"/>
      <c r="G225" s="345"/>
    </row>
    <row r="226" spans="2:7" ht="102.75" customHeight="1" x14ac:dyDescent="0.25">
      <c r="B226" s="486" t="s">
        <v>800</v>
      </c>
      <c r="C226" s="505"/>
      <c r="D226" s="487"/>
      <c r="E226"/>
      <c r="F226"/>
      <c r="G226" s="345"/>
    </row>
    <row r="227" spans="2:7" ht="15" x14ac:dyDescent="0.25">
      <c r="B227" s="340" t="s">
        <v>642</v>
      </c>
      <c r="C227"/>
      <c r="D227"/>
      <c r="E227"/>
      <c r="F227"/>
      <c r="G227" s="345"/>
    </row>
    <row r="228" spans="2:7" ht="15" x14ac:dyDescent="0.25">
      <c r="B228" s="348" t="s">
        <v>801</v>
      </c>
      <c r="C228"/>
      <c r="D228"/>
      <c r="E228"/>
      <c r="F228"/>
      <c r="G228" s="345"/>
    </row>
    <row r="229" spans="2:7" ht="15" x14ac:dyDescent="0.25">
      <c r="B229" s="506" t="s">
        <v>802</v>
      </c>
      <c r="C229" s="501" t="s">
        <v>803</v>
      </c>
      <c r="D229" s="502"/>
      <c r="E229" s="502"/>
      <c r="F229" s="502"/>
      <c r="G229" s="503"/>
    </row>
    <row r="230" spans="2:7" ht="18.75" x14ac:dyDescent="0.25">
      <c r="B230" s="506"/>
      <c r="C230" s="360" t="s">
        <v>804</v>
      </c>
      <c r="D230" s="360" t="s">
        <v>805</v>
      </c>
      <c r="E230" s="360" t="s">
        <v>806</v>
      </c>
      <c r="F230" s="360" t="s">
        <v>807</v>
      </c>
      <c r="G230" s="360" t="s">
        <v>808</v>
      </c>
    </row>
    <row r="231" spans="2:7" ht="15" x14ac:dyDescent="0.25">
      <c r="B231" s="373" t="s">
        <v>809</v>
      </c>
      <c r="C231" s="378">
        <v>0.13800000000000001</v>
      </c>
      <c r="D231" s="379">
        <v>1.9E-3</v>
      </c>
      <c r="E231" s="378">
        <v>1.7000000000000001E-2</v>
      </c>
      <c r="F231" s="378" t="s">
        <v>701</v>
      </c>
      <c r="G231" s="378" t="s">
        <v>701</v>
      </c>
    </row>
    <row r="232" spans="2:7" ht="15" x14ac:dyDescent="0.25">
      <c r="B232" s="373" t="s">
        <v>810</v>
      </c>
      <c r="C232" s="378">
        <v>2.9000000000000001E-2</v>
      </c>
      <c r="D232" s="379">
        <v>2.0000000000000001E-4</v>
      </c>
      <c r="E232" s="378">
        <v>9.6000000000000002E-2</v>
      </c>
      <c r="F232" s="378" t="s">
        <v>701</v>
      </c>
      <c r="G232" s="378" t="s">
        <v>701</v>
      </c>
    </row>
    <row r="233" spans="2:7" ht="15" x14ac:dyDescent="0.25">
      <c r="B233" s="373" t="s">
        <v>811</v>
      </c>
      <c r="C233" s="378">
        <v>0.11600000000000001</v>
      </c>
      <c r="D233" s="379">
        <v>1.1000000000000001E-3</v>
      </c>
      <c r="E233" s="378">
        <v>0.04</v>
      </c>
      <c r="F233" s="378">
        <v>1.2E-2</v>
      </c>
      <c r="G233" s="378">
        <v>0.107</v>
      </c>
    </row>
    <row r="234" spans="2:7" ht="15" x14ac:dyDescent="0.25">
      <c r="B234" s="373" t="s">
        <v>812</v>
      </c>
      <c r="C234" s="378">
        <v>0.34499999999999997</v>
      </c>
      <c r="D234" s="379">
        <v>4.3700000000000003E-2</v>
      </c>
      <c r="E234" s="378">
        <v>1.6E-2</v>
      </c>
      <c r="F234" s="378" t="s">
        <v>701</v>
      </c>
      <c r="G234" s="378" t="s">
        <v>701</v>
      </c>
    </row>
    <row r="235" spans="2:7" ht="15" x14ac:dyDescent="0.25">
      <c r="B235" s="373" t="s">
        <v>813</v>
      </c>
      <c r="C235" s="378">
        <v>7.4999999999999997E-2</v>
      </c>
      <c r="D235" s="379">
        <v>3.7000000000000002E-3</v>
      </c>
      <c r="E235" s="378">
        <v>2.7E-2</v>
      </c>
      <c r="F235" s="378" t="s">
        <v>701</v>
      </c>
      <c r="G235" s="378" t="s">
        <v>701</v>
      </c>
    </row>
    <row r="236" spans="2:7" ht="15" x14ac:dyDescent="0.25">
      <c r="B236" s="373" t="s">
        <v>814</v>
      </c>
      <c r="C236" s="378">
        <v>0.23599999999999999</v>
      </c>
      <c r="D236" s="379">
        <v>2.1999999999999999E-2</v>
      </c>
      <c r="E236" s="378">
        <v>2.1000000000000001E-2</v>
      </c>
      <c r="F236" s="378">
        <v>3.5000000000000003E-2</v>
      </c>
      <c r="G236" s="378">
        <v>0.30099999999999999</v>
      </c>
    </row>
    <row r="237" spans="2:7" ht="15" x14ac:dyDescent="0.25">
      <c r="B237" s="373" t="s">
        <v>815</v>
      </c>
      <c r="C237" s="378">
        <v>0.154</v>
      </c>
      <c r="D237" s="379">
        <v>5.1000000000000004E-3</v>
      </c>
      <c r="E237" s="378">
        <v>1.7000000000000001E-2</v>
      </c>
      <c r="F237" s="378" t="s">
        <v>701</v>
      </c>
      <c r="G237" s="378" t="s">
        <v>701</v>
      </c>
    </row>
    <row r="238" spans="2:7" ht="15" x14ac:dyDescent="0.25">
      <c r="B238" s="373" t="s">
        <v>816</v>
      </c>
      <c r="C238" s="378">
        <v>3.5999999999999997E-2</v>
      </c>
      <c r="D238" s="379">
        <v>6.9999999999999999E-4</v>
      </c>
      <c r="E238" s="378">
        <v>8.5999999999999993E-2</v>
      </c>
      <c r="F238" s="378" t="s">
        <v>701</v>
      </c>
      <c r="G238" s="378" t="s">
        <v>701</v>
      </c>
    </row>
    <row r="239" spans="2:7" ht="15" x14ac:dyDescent="0.25">
      <c r="B239" s="373" t="s">
        <v>817</v>
      </c>
      <c r="C239" s="378">
        <v>0.128</v>
      </c>
      <c r="D239" s="379">
        <v>3.0999999999999999E-3</v>
      </c>
      <c r="E239" s="378">
        <v>3.7999999999999999E-2</v>
      </c>
      <c r="F239" s="378">
        <v>1.4999999999999999E-2</v>
      </c>
      <c r="G239" s="378">
        <v>0.129</v>
      </c>
    </row>
    <row r="240" spans="2:7" ht="15" x14ac:dyDescent="0.25">
      <c r="B240" s="376"/>
      <c r="C240" s="343"/>
      <c r="D240" s="343"/>
      <c r="E240" s="344"/>
      <c r="F240"/>
      <c r="G240" s="345"/>
    </row>
    <row r="241" spans="2:7" ht="15" x14ac:dyDescent="0.25">
      <c r="B241" s="478" t="s">
        <v>818</v>
      </c>
      <c r="C241" s="504"/>
      <c r="D241" s="504"/>
      <c r="E241" s="504"/>
      <c r="F241" s="504"/>
      <c r="G241" s="479"/>
    </row>
    <row r="242" spans="2:7" ht="15" x14ac:dyDescent="0.25">
      <c r="B242" s="494" t="s">
        <v>819</v>
      </c>
      <c r="C242" s="494"/>
      <c r="D242" s="494"/>
      <c r="E242" s="494"/>
      <c r="F242" s="494"/>
      <c r="G242" s="495"/>
    </row>
  </sheetData>
  <mergeCells count="35">
    <mergeCell ref="B225:D225"/>
    <mergeCell ref="C163:E163"/>
    <mergeCell ref="B163:B164"/>
    <mergeCell ref="B148:C148"/>
    <mergeCell ref="B149:C149"/>
    <mergeCell ref="B159:C159"/>
    <mergeCell ref="B242:G242"/>
    <mergeCell ref="C60:E60"/>
    <mergeCell ref="B74:E74"/>
    <mergeCell ref="B75:E75"/>
    <mergeCell ref="C229:G229"/>
    <mergeCell ref="B241:G241"/>
    <mergeCell ref="B226:D226"/>
    <mergeCell ref="B229:B230"/>
    <mergeCell ref="B214:D214"/>
    <mergeCell ref="B215:D215"/>
    <mergeCell ref="B216:D216"/>
    <mergeCell ref="B223:D223"/>
    <mergeCell ref="B224:D224"/>
    <mergeCell ref="B188:E188"/>
    <mergeCell ref="B191:B192"/>
    <mergeCell ref="C191:E191"/>
    <mergeCell ref="B20:C20"/>
    <mergeCell ref="B21:C21"/>
    <mergeCell ref="B36:C36"/>
    <mergeCell ref="B37:C37"/>
    <mergeCell ref="B160:C160"/>
    <mergeCell ref="B38:C38"/>
    <mergeCell ref="B39:C39"/>
    <mergeCell ref="B40:C40"/>
    <mergeCell ref="B49:C49"/>
    <mergeCell ref="B56:C56"/>
    <mergeCell ref="B57:C57"/>
    <mergeCell ref="B111:F111"/>
    <mergeCell ref="B112:F112"/>
  </mergeCells>
  <hyperlinks>
    <hyperlink ref="B3" r:id="rId1" display="Tables A-1 through A-4 come from USDOT BCA Guidance (March 2022, Revised)" xr:uid="{68918682-7B21-4C2E-A89E-E2125912E2A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82D5-0E16-421D-B63A-1C692B447500}">
  <sheetPr>
    <tabColor theme="6"/>
  </sheetPr>
  <dimension ref="A1:Q124"/>
  <sheetViews>
    <sheetView topLeftCell="A13" zoomScaleNormal="100" workbookViewId="0">
      <selection activeCell="J37" sqref="J37"/>
    </sheetView>
  </sheetViews>
  <sheetFormatPr defaultRowHeight="15" x14ac:dyDescent="0.25"/>
  <cols>
    <col min="1" max="1" width="28.5703125" customWidth="1"/>
    <col min="2" max="2" width="19.7109375" customWidth="1"/>
    <col min="3" max="3" width="1.140625" hidden="1" customWidth="1"/>
    <col min="4" max="4" width="20" customWidth="1"/>
    <col min="5" max="8" width="15" customWidth="1"/>
    <col min="9" max="9" width="19.28515625" customWidth="1"/>
    <col min="10" max="10" width="20.28515625" customWidth="1"/>
    <col min="11" max="11" width="47.42578125" customWidth="1"/>
    <col min="12" max="12" width="22.42578125" customWidth="1"/>
    <col min="13" max="13" width="19.28515625" customWidth="1"/>
    <col min="14" max="14" width="20.28515625" customWidth="1"/>
    <col min="15" max="15" width="13.42578125" customWidth="1"/>
    <col min="16" max="16" width="24.7109375" customWidth="1"/>
    <col min="17" max="17" width="14.28515625" bestFit="1" customWidth="1"/>
    <col min="18" max="35" width="5.5703125" customWidth="1"/>
  </cols>
  <sheetData>
    <row r="1" spans="1:13" ht="27" thickBot="1" x14ac:dyDescent="0.45">
      <c r="A1" s="259" t="s">
        <v>822</v>
      </c>
      <c r="B1" s="259">
        <f>Inputs!E13</f>
        <v>2022</v>
      </c>
      <c r="J1" s="449" t="s">
        <v>997</v>
      </c>
      <c r="K1" s="450">
        <f>Summary!$E$9</f>
        <v>2.0575994382092198</v>
      </c>
    </row>
    <row r="2" spans="1:13" ht="19.5" thickBot="1" x14ac:dyDescent="0.3">
      <c r="A2" s="509" t="s">
        <v>391</v>
      </c>
      <c r="B2" s="430" t="s">
        <v>392</v>
      </c>
      <c r="C2" s="429"/>
      <c r="D2" s="511" t="s">
        <v>393</v>
      </c>
      <c r="E2" s="511"/>
      <c r="F2" s="511"/>
      <c r="G2" s="511"/>
      <c r="H2" s="511"/>
      <c r="I2" s="512"/>
    </row>
    <row r="3" spans="1:13" ht="30.75" thickBot="1" x14ac:dyDescent="0.3">
      <c r="A3" s="510"/>
      <c r="B3" s="432" t="s">
        <v>394</v>
      </c>
      <c r="C3" s="431"/>
      <c r="D3" s="23" t="s">
        <v>395</v>
      </c>
      <c r="E3" s="23" t="s">
        <v>396</v>
      </c>
      <c r="F3" s="23" t="s">
        <v>397</v>
      </c>
      <c r="G3" s="23" t="s">
        <v>398</v>
      </c>
      <c r="H3" s="218" t="s">
        <v>204</v>
      </c>
      <c r="I3" s="225" t="s">
        <v>399</v>
      </c>
    </row>
    <row r="4" spans="1:13" ht="15.75" thickBot="1" x14ac:dyDescent="0.3">
      <c r="A4" s="24">
        <v>2022</v>
      </c>
      <c r="B4" s="230">
        <f>B23*VLOOKUP(B$20,'REF GDP Deflator'!$C$36:$E$56,3)</f>
        <v>0</v>
      </c>
      <c r="C4" s="209"/>
      <c r="D4" s="230">
        <f>D23*(1+$D$19)*VLOOKUP(D$20,'REF GDP Deflator'!$C$36:$E$56,3)</f>
        <v>0</v>
      </c>
      <c r="E4" s="230">
        <f>E23*VLOOKUP(E$20,'REF GDP Deflator'!$C$36:$E$56,3)</f>
        <v>0</v>
      </c>
      <c r="F4" s="230">
        <f>F23*VLOOKUP(F$20,'REF GDP Deflator'!$C$36:$E$56,3)</f>
        <v>0</v>
      </c>
      <c r="G4" s="230">
        <f>G23*VLOOKUP(G$20,'REF GDP Deflator'!$C$36:$E$56,3)</f>
        <v>0</v>
      </c>
      <c r="H4" s="230">
        <f>H23*VLOOKUP(H$20,'REF GDP Deflator'!$C$36:$E$56,3)</f>
        <v>0</v>
      </c>
      <c r="I4" s="227">
        <f>SUM(D4:H4)</f>
        <v>0</v>
      </c>
      <c r="M4" s="396" t="s">
        <v>828</v>
      </c>
    </row>
    <row r="5" spans="1:13" ht="15.75" thickBot="1" x14ac:dyDescent="0.3">
      <c r="A5" s="26">
        <v>2023</v>
      </c>
      <c r="B5" s="230">
        <f>B24*VLOOKUP(B$20,'REF GDP Deflator'!$C$36:$E$56,3)</f>
        <v>0</v>
      </c>
      <c r="C5" s="210"/>
      <c r="D5" s="230">
        <f>D24*(1+$D$19)*VLOOKUP(D$20,'REF GDP Deflator'!$C$36:$E$56,3)</f>
        <v>0</v>
      </c>
      <c r="E5" s="230">
        <f>E24*VLOOKUP(E$20,'REF GDP Deflator'!$C$36:$E$56,3)</f>
        <v>0</v>
      </c>
      <c r="F5" s="230">
        <f>F24*VLOOKUP(F$20,'REF GDP Deflator'!$C$36:$E$56,3)</f>
        <v>0</v>
      </c>
      <c r="G5" s="230">
        <f>G24*VLOOKUP(G$20,'REF GDP Deflator'!$C$36:$E$56,3)</f>
        <v>0</v>
      </c>
      <c r="H5" s="230">
        <f>H24*VLOOKUP(H$20,'REF GDP Deflator'!$C$36:$E$56,3)</f>
        <v>0</v>
      </c>
      <c r="I5" s="227">
        <f t="shared" ref="I5:I16" si="0">SUM(D5:H5)</f>
        <v>0</v>
      </c>
      <c r="K5" s="396" t="s">
        <v>390</v>
      </c>
      <c r="L5" s="396">
        <v>2023</v>
      </c>
      <c r="M5" s="427">
        <f>VLOOKUP(L5,'REF GDP Deflator'!C36:E56,3)</f>
        <v>0.93344795178566098</v>
      </c>
    </row>
    <row r="6" spans="1:13" x14ac:dyDescent="0.25">
      <c r="A6" s="28">
        <v>2024</v>
      </c>
      <c r="B6" s="230">
        <f>B25*VLOOKUP(B$20,'REF GDP Deflator'!$C$36:$E$56,3)</f>
        <v>0</v>
      </c>
      <c r="C6" s="209"/>
      <c r="D6" s="230">
        <f>D25*(1+$D$19)*VLOOKUP(D$20,'REF GDP Deflator'!$C$36:$E$56,3)</f>
        <v>0</v>
      </c>
      <c r="E6" s="230">
        <f>E25*VLOOKUP(E$20,'REF GDP Deflator'!$C$36:$E$56,3)</f>
        <v>0</v>
      </c>
      <c r="F6" s="230">
        <f>F25*VLOOKUP(F$20,'REF GDP Deflator'!$C$36:$E$56,3)</f>
        <v>240113.61698168094</v>
      </c>
      <c r="G6" s="230">
        <f>G25*VLOOKUP(G$20,'REF GDP Deflator'!$C$36:$E$56,3)</f>
        <v>473760</v>
      </c>
      <c r="H6" s="230">
        <f>H25*VLOOKUP(H$20,'REF GDP Deflator'!$C$36:$E$56,3)</f>
        <v>1832708.372337172</v>
      </c>
      <c r="I6" s="231">
        <f t="shared" si="0"/>
        <v>2546581.9893188532</v>
      </c>
      <c r="K6" s="423" t="s">
        <v>16</v>
      </c>
      <c r="L6" s="423" t="s">
        <v>984</v>
      </c>
      <c r="M6" s="423" t="s">
        <v>983</v>
      </c>
    </row>
    <row r="7" spans="1:13" x14ac:dyDescent="0.25">
      <c r="A7" s="29">
        <v>2025</v>
      </c>
      <c r="B7" s="230">
        <f>B26*VLOOKUP(B$20,'REF GDP Deflator'!$C$36:$E$56,3)</f>
        <v>0</v>
      </c>
      <c r="C7" s="211"/>
      <c r="D7" s="230">
        <f>D26*(1+$D$19)*VLOOKUP(D$20,'REF GDP Deflator'!$C$36:$E$56,3)</f>
        <v>12394464.254622653</v>
      </c>
      <c r="E7" s="230">
        <f>E26*VLOOKUP(E$20,'REF GDP Deflator'!$C$36:$E$56,3)</f>
        <v>0</v>
      </c>
      <c r="F7" s="230">
        <f>F26*VLOOKUP(F$20,'REF GDP Deflator'!$C$36:$E$56,3)</f>
        <v>0</v>
      </c>
      <c r="G7" s="230">
        <f>G26*VLOOKUP(G$20,'REF GDP Deflator'!$C$36:$E$56,3)</f>
        <v>0</v>
      </c>
      <c r="H7" s="230">
        <f>H26*VLOOKUP(H$20,'REF GDP Deflator'!$C$36:$E$56,3)</f>
        <v>0</v>
      </c>
      <c r="I7" s="231">
        <f t="shared" si="0"/>
        <v>12394464.254622653</v>
      </c>
      <c r="K7" s="424" t="s">
        <v>982</v>
      </c>
      <c r="L7" s="425">
        <f>L104</f>
        <v>7523574</v>
      </c>
      <c r="M7" s="426">
        <f>L104*$M$5</f>
        <v>7022864.7404078525</v>
      </c>
    </row>
    <row r="8" spans="1:13" ht="15.75" thickBot="1" x14ac:dyDescent="0.3">
      <c r="A8" s="30">
        <v>2026</v>
      </c>
      <c r="B8" s="230">
        <f>B27*VLOOKUP(B$20,'REF GDP Deflator'!$C$36:$E$56,3)</f>
        <v>0</v>
      </c>
      <c r="C8" s="212"/>
      <c r="D8" s="230">
        <f>D27*(1+$D$19)*VLOOKUP(D$20,'REF GDP Deflator'!$C$36:$E$56,3)</f>
        <v>12394464.254622653</v>
      </c>
      <c r="E8" s="230">
        <f>E27*VLOOKUP(E$20,'REF GDP Deflator'!$C$36:$E$56,3)</f>
        <v>0</v>
      </c>
      <c r="F8" s="230">
        <f>F27*VLOOKUP(F$20,'REF GDP Deflator'!$C$36:$E$56,3)</f>
        <v>0</v>
      </c>
      <c r="G8" s="230">
        <f>G27*VLOOKUP(G$20,'REF GDP Deflator'!$C$36:$E$56,3)</f>
        <v>0</v>
      </c>
      <c r="H8" s="230">
        <f>H27*VLOOKUP(H$20,'REF GDP Deflator'!$C$36:$E$56,3)</f>
        <v>0</v>
      </c>
      <c r="I8" s="231">
        <f t="shared" si="0"/>
        <v>12394464.254622653</v>
      </c>
    </row>
    <row r="9" spans="1:13" ht="15.75" thickBot="1" x14ac:dyDescent="0.3">
      <c r="A9" s="24">
        <v>2027</v>
      </c>
      <c r="B9" s="230">
        <f>B28*VLOOKUP(B$20,'REF GDP Deflator'!$C$36:$E$56,3)</f>
        <v>0</v>
      </c>
      <c r="C9" s="212"/>
      <c r="D9" s="230">
        <f>D28*(1+$D$19)*VLOOKUP(D$20,'REF GDP Deflator'!$C$36:$E$56,3)</f>
        <v>0</v>
      </c>
      <c r="E9" s="230">
        <f>E28*VLOOKUP(E$20,'REF GDP Deflator'!$C$36:$E$56,3)</f>
        <v>326706.78312498133</v>
      </c>
      <c r="F9" s="230">
        <f>F28*VLOOKUP(F$20,'REF GDP Deflator'!$C$36:$E$56,3)</f>
        <v>0</v>
      </c>
      <c r="G9" s="230">
        <f>G28*VLOOKUP(G$20,'REF GDP Deflator'!$C$36:$E$56,3)</f>
        <v>0</v>
      </c>
      <c r="H9" s="230">
        <f>H28*VLOOKUP(H$20,'REF GDP Deflator'!$C$36:$E$56,3)</f>
        <v>0</v>
      </c>
      <c r="I9" s="231">
        <f t="shared" si="0"/>
        <v>326706.78312498133</v>
      </c>
    </row>
    <row r="10" spans="1:13" ht="15.75" thickBot="1" x14ac:dyDescent="0.3">
      <c r="A10" s="24">
        <v>2030</v>
      </c>
      <c r="B10" s="230">
        <f>B29*VLOOKUP(B$20,'REF GDP Deflator'!$C$36:$E$56,3)</f>
        <v>1504718.0982784855</v>
      </c>
      <c r="C10" s="212"/>
      <c r="D10" s="230">
        <f>D29*(1+$D$19)*VLOOKUP(D$20,'REF GDP Deflator'!$C$36:$E$56,3)</f>
        <v>0</v>
      </c>
      <c r="E10" s="230">
        <f>E29*VLOOKUP(E$20,'REF GDP Deflator'!$C$36:$E$56,3)</f>
        <v>0</v>
      </c>
      <c r="F10" s="230">
        <f>F29*VLOOKUP(F$20,'REF GDP Deflator'!$C$36:$E$56,3)</f>
        <v>0</v>
      </c>
      <c r="G10" s="230">
        <f>G29*VLOOKUP(G$20,'REF GDP Deflator'!$C$36:$E$56,3)</f>
        <v>0</v>
      </c>
      <c r="H10" s="230">
        <f>H29*VLOOKUP(H$20,'REF GDP Deflator'!$C$36:$E$56,3)</f>
        <v>0</v>
      </c>
      <c r="I10" s="227">
        <f t="shared" si="0"/>
        <v>0</v>
      </c>
    </row>
    <row r="11" spans="1:13" ht="15.75" thickBot="1" x14ac:dyDescent="0.3">
      <c r="A11" s="24">
        <v>2035</v>
      </c>
      <c r="B11" s="230">
        <f>B30*VLOOKUP(B$20,'REF GDP Deflator'!$C$36:$E$56,3)</f>
        <v>933447.95178566093</v>
      </c>
      <c r="C11" s="212"/>
      <c r="D11" s="230">
        <f>D30*(1+$D$19)*VLOOKUP(D$20,'REF GDP Deflator'!$C$36:$E$56,3)</f>
        <v>0</v>
      </c>
      <c r="E11" s="230">
        <f>E30*VLOOKUP(E$20,'REF GDP Deflator'!$C$36:$E$56,3)</f>
        <v>0</v>
      </c>
      <c r="F11" s="230">
        <f>F30*VLOOKUP(F$20,'REF GDP Deflator'!$C$36:$E$56,3)</f>
        <v>0</v>
      </c>
      <c r="G11" s="230">
        <f>G30*VLOOKUP(G$20,'REF GDP Deflator'!$C$36:$E$56,3)</f>
        <v>0</v>
      </c>
      <c r="H11" s="230">
        <f>H30*VLOOKUP(H$20,'REF GDP Deflator'!$C$36:$E$56,3)</f>
        <v>0</v>
      </c>
      <c r="I11" s="227">
        <f t="shared" si="0"/>
        <v>0</v>
      </c>
    </row>
    <row r="12" spans="1:13" ht="15.75" thickBot="1" x14ac:dyDescent="0.3">
      <c r="A12" s="24">
        <v>2040</v>
      </c>
      <c r="B12" s="230">
        <f>B31*VLOOKUP(B$20,'REF GDP Deflator'!$C$36:$E$56,3)</f>
        <v>0</v>
      </c>
      <c r="C12" s="212"/>
      <c r="D12" s="230">
        <f>D31*(1+$D$19)*VLOOKUP(D$20,'REF GDP Deflator'!$C$36:$E$56,3)</f>
        <v>0</v>
      </c>
      <c r="E12" s="230">
        <f>E31*VLOOKUP(E$20,'REF GDP Deflator'!$C$36:$E$56,3)</f>
        <v>0</v>
      </c>
      <c r="F12" s="230">
        <f>F31*VLOOKUP(F$20,'REF GDP Deflator'!$C$36:$E$56,3)</f>
        <v>0</v>
      </c>
      <c r="G12" s="230">
        <f>G31*VLOOKUP(G$20,'REF GDP Deflator'!$C$36:$E$56,3)</f>
        <v>0</v>
      </c>
      <c r="H12" s="230">
        <f>H31*VLOOKUP(H$20,'REF GDP Deflator'!$C$36:$E$56,3)</f>
        <v>0</v>
      </c>
      <c r="I12" s="227">
        <f t="shared" si="0"/>
        <v>0</v>
      </c>
    </row>
    <row r="13" spans="1:13" ht="15.75" thickBot="1" x14ac:dyDescent="0.3">
      <c r="A13" s="24">
        <v>2045</v>
      </c>
      <c r="B13" s="230">
        <f>B32*VLOOKUP(B$20,'REF GDP Deflator'!$C$36:$E$56,3)</f>
        <v>1504718.0982784855</v>
      </c>
      <c r="C13" s="212"/>
      <c r="D13" s="230">
        <f>D32*(1+$D$19)*VLOOKUP(D$20,'REF GDP Deflator'!$C$36:$E$56,3)</f>
        <v>0</v>
      </c>
      <c r="E13" s="230">
        <f>E32*VLOOKUP(E$20,'REF GDP Deflator'!$C$36:$E$56,3)</f>
        <v>0</v>
      </c>
      <c r="F13" s="230">
        <f>F32*VLOOKUP(F$20,'REF GDP Deflator'!$C$36:$E$56,3)</f>
        <v>0</v>
      </c>
      <c r="G13" s="230">
        <f>G32*VLOOKUP(G$20,'REF GDP Deflator'!$C$36:$E$56,3)</f>
        <v>0</v>
      </c>
      <c r="H13" s="230">
        <f>H32*VLOOKUP(H$20,'REF GDP Deflator'!$C$36:$E$56,3)</f>
        <v>0</v>
      </c>
      <c r="I13" s="227">
        <f t="shared" si="0"/>
        <v>0</v>
      </c>
    </row>
    <row r="14" spans="1:13" ht="15.75" thickBot="1" x14ac:dyDescent="0.3">
      <c r="A14" s="26">
        <v>2050</v>
      </c>
      <c r="B14" s="230">
        <f>B33*VLOOKUP(B$20,'REF GDP Deflator'!$C$36:$E$56,3)</f>
        <v>0</v>
      </c>
      <c r="C14" s="212"/>
      <c r="D14" s="230">
        <f>D33*(1+$D$19)*VLOOKUP(D$20,'REF GDP Deflator'!$C$36:$E$56,3)</f>
        <v>0</v>
      </c>
      <c r="E14" s="230">
        <f>E33*VLOOKUP(E$20,'REF GDP Deflator'!$C$36:$E$56,3)</f>
        <v>0</v>
      </c>
      <c r="F14" s="230">
        <f>F33*VLOOKUP(F$20,'REF GDP Deflator'!$C$36:$E$56,3)</f>
        <v>0</v>
      </c>
      <c r="G14" s="230">
        <f>G33*VLOOKUP(G$20,'REF GDP Deflator'!$C$36:$E$56,3)</f>
        <v>0</v>
      </c>
      <c r="H14" s="230">
        <f>H33*VLOOKUP(H$20,'REF GDP Deflator'!$C$36:$E$56,3)</f>
        <v>0</v>
      </c>
      <c r="I14" s="227">
        <f t="shared" si="0"/>
        <v>0</v>
      </c>
    </row>
    <row r="15" spans="1:13" ht="15.75" thickBot="1" x14ac:dyDescent="0.3">
      <c r="A15" s="35">
        <v>2055</v>
      </c>
      <c r="B15" s="230">
        <f>B34*VLOOKUP(B$20,'REF GDP Deflator'!$C$36:$E$56,3)</f>
        <v>0</v>
      </c>
      <c r="C15" s="209"/>
      <c r="D15" s="230">
        <f>D34*(1+$D$19)*VLOOKUP(D$20,'REF GDP Deflator'!$C$36:$E$56,3)</f>
        <v>0</v>
      </c>
      <c r="E15" s="230">
        <f>E34*VLOOKUP(E$20,'REF GDP Deflator'!$C$36:$E$56,3)</f>
        <v>0</v>
      </c>
      <c r="F15" s="230">
        <f>F34*VLOOKUP(F$20,'REF GDP Deflator'!$C$36:$E$56,3)</f>
        <v>0</v>
      </c>
      <c r="G15" s="230">
        <f>G34*VLOOKUP(G$20,'REF GDP Deflator'!$C$36:$E$56,3)</f>
        <v>0</v>
      </c>
      <c r="H15" s="230">
        <f>H34*VLOOKUP(H$20,'REF GDP Deflator'!$C$36:$E$56,3)</f>
        <v>0</v>
      </c>
      <c r="I15" s="227">
        <f t="shared" si="0"/>
        <v>0</v>
      </c>
    </row>
    <row r="16" spans="1:13" ht="15.75" thickBot="1" x14ac:dyDescent="0.3">
      <c r="A16" s="35">
        <v>2060</v>
      </c>
      <c r="B16" s="230">
        <f>B35*VLOOKUP(B$20,'REF GDP Deflator'!$C$36:$E$56,3)</f>
        <v>0</v>
      </c>
      <c r="C16" s="213"/>
      <c r="D16" s="230">
        <f>D35*(1+$D$19)*VLOOKUP(D$20,'REF GDP Deflator'!$C$36:$E$56,3)</f>
        <v>0</v>
      </c>
      <c r="E16" s="230">
        <f>E35*VLOOKUP(E$20,'REF GDP Deflator'!$C$36:$E$56,3)</f>
        <v>0</v>
      </c>
      <c r="F16" s="230">
        <f>F35*VLOOKUP(F$20,'REF GDP Deflator'!$C$36:$E$56,3)</f>
        <v>0</v>
      </c>
      <c r="G16" s="230">
        <f>G35*VLOOKUP(G$20,'REF GDP Deflator'!$C$36:$E$56,3)</f>
        <v>0</v>
      </c>
      <c r="H16" s="230">
        <f>H35*VLOOKUP(H$20,'REF GDP Deflator'!$C$36:$E$56,3)</f>
        <v>0</v>
      </c>
      <c r="I16" s="227">
        <f t="shared" si="0"/>
        <v>0</v>
      </c>
    </row>
    <row r="17" spans="1:10" ht="16.5" thickBot="1" x14ac:dyDescent="0.3">
      <c r="A17" s="36" t="s">
        <v>400</v>
      </c>
      <c r="B17" s="214">
        <f>SUM(B4:B16)</f>
        <v>3942884.1483426318</v>
      </c>
      <c r="C17" s="215"/>
      <c r="D17" s="216">
        <f t="shared" ref="D17:I17" si="1">SUM(D4:D16)</f>
        <v>24788928.509245306</v>
      </c>
      <c r="E17" s="217">
        <f t="shared" si="1"/>
        <v>326706.78312498133</v>
      </c>
      <c r="F17" s="217">
        <f t="shared" si="1"/>
        <v>240113.61698168094</v>
      </c>
      <c r="G17" s="217">
        <f t="shared" si="1"/>
        <v>473760</v>
      </c>
      <c r="H17" s="214">
        <f t="shared" si="1"/>
        <v>1832708.372337172</v>
      </c>
      <c r="I17" s="226">
        <f t="shared" si="1"/>
        <v>27662217.281689141</v>
      </c>
      <c r="J17" s="451">
        <f>D17+F17+G17+H17</f>
        <v>27335510.498564161</v>
      </c>
    </row>
    <row r="18" spans="1:10" ht="15.75" x14ac:dyDescent="0.25">
      <c r="A18" s="332"/>
      <c r="B18" s="333"/>
      <c r="C18" s="333"/>
      <c r="D18" s="333"/>
      <c r="E18" s="333"/>
      <c r="F18" s="333"/>
      <c r="G18" s="333"/>
      <c r="H18" s="333"/>
      <c r="I18" s="334"/>
    </row>
    <row r="19" spans="1:10" x14ac:dyDescent="0.25">
      <c r="A19" t="s">
        <v>5</v>
      </c>
      <c r="D19" s="335">
        <f>Inputs!$E$37</f>
        <v>0</v>
      </c>
    </row>
    <row r="20" spans="1:10" ht="27" thickBot="1" x14ac:dyDescent="0.45">
      <c r="A20" s="259" t="s">
        <v>390</v>
      </c>
      <c r="B20" s="259">
        <f>Inputs!$E$19</f>
        <v>2023</v>
      </c>
      <c r="C20" s="259"/>
      <c r="D20" s="259">
        <f>Inputs!$E$18</f>
        <v>2023</v>
      </c>
      <c r="E20" s="259">
        <f>Inputs!$E$19</f>
        <v>2023</v>
      </c>
      <c r="F20" s="259">
        <v>2023</v>
      </c>
      <c r="G20" s="259">
        <f>Inputs!$E$21</f>
        <v>2022</v>
      </c>
      <c r="H20" s="259">
        <v>2023</v>
      </c>
    </row>
    <row r="21" spans="1:10" ht="19.5" thickBot="1" x14ac:dyDescent="0.3">
      <c r="A21" s="509" t="s">
        <v>391</v>
      </c>
      <c r="B21" s="22" t="s">
        <v>392</v>
      </c>
      <c r="C21" s="207"/>
      <c r="D21" s="511" t="s">
        <v>393</v>
      </c>
      <c r="E21" s="511"/>
      <c r="F21" s="511"/>
      <c r="G21" s="511"/>
      <c r="H21" s="511"/>
      <c r="I21" s="512"/>
    </row>
    <row r="22" spans="1:10" ht="30.75" thickBot="1" x14ac:dyDescent="0.3">
      <c r="A22" s="510"/>
      <c r="B22" s="200" t="s">
        <v>394</v>
      </c>
      <c r="C22" s="208"/>
      <c r="D22" s="23" t="s">
        <v>395</v>
      </c>
      <c r="E22" s="23" t="s">
        <v>396</v>
      </c>
      <c r="F22" s="23" t="s">
        <v>397</v>
      </c>
      <c r="G22" s="23" t="s">
        <v>398</v>
      </c>
      <c r="H22" s="218" t="s">
        <v>204</v>
      </c>
      <c r="I22" s="225" t="s">
        <v>399</v>
      </c>
    </row>
    <row r="23" spans="1:10" ht="15.75" thickBot="1" x14ac:dyDescent="0.3">
      <c r="A23" s="24">
        <v>2022</v>
      </c>
      <c r="B23" s="201"/>
      <c r="C23" s="209"/>
      <c r="D23" s="206"/>
      <c r="E23" s="25"/>
      <c r="F23" s="25"/>
      <c r="G23" s="25"/>
      <c r="H23" s="219"/>
      <c r="I23" s="227">
        <f>SUM(D23:H23)</f>
        <v>0</v>
      </c>
    </row>
    <row r="24" spans="1:10" ht="15.75" thickBot="1" x14ac:dyDescent="0.3">
      <c r="A24" s="26">
        <v>2023</v>
      </c>
      <c r="B24" s="202"/>
      <c r="C24" s="210"/>
      <c r="D24" s="27"/>
      <c r="E24" s="25"/>
      <c r="F24" s="25"/>
      <c r="G24" s="25"/>
      <c r="H24" s="219"/>
      <c r="I24" s="227">
        <f t="shared" ref="I24:I35" si="2">SUM(D24:H24)</f>
        <v>0</v>
      </c>
    </row>
    <row r="25" spans="1:10" x14ac:dyDescent="0.25">
      <c r="A25" s="28">
        <v>2024</v>
      </c>
      <c r="B25" s="201"/>
      <c r="C25" s="209"/>
      <c r="D25" s="27"/>
      <c r="E25" s="25"/>
      <c r="F25" s="419">
        <v>257233</v>
      </c>
      <c r="G25" s="419">
        <v>473760</v>
      </c>
      <c r="H25" s="421">
        <v>1963375</v>
      </c>
      <c r="I25" s="231">
        <f t="shared" si="2"/>
        <v>2694368</v>
      </c>
    </row>
    <row r="26" spans="1:10" x14ac:dyDescent="0.25">
      <c r="A26" s="29">
        <v>2025</v>
      </c>
      <c r="B26" s="203"/>
      <c r="C26" s="211"/>
      <c r="D26" s="422">
        <f>$L$124/2</f>
        <v>13278152.5</v>
      </c>
      <c r="E26" s="27"/>
      <c r="F26" s="27"/>
      <c r="G26" s="27"/>
      <c r="H26" s="221"/>
      <c r="I26" s="231">
        <f t="shared" si="2"/>
        <v>13278152.5</v>
      </c>
    </row>
    <row r="27" spans="1:10" ht="15.75" thickBot="1" x14ac:dyDescent="0.3">
      <c r="A27" s="30">
        <v>2026</v>
      </c>
      <c r="B27" s="204"/>
      <c r="C27" s="212"/>
      <c r="D27" s="422">
        <f>$L$124/2</f>
        <v>13278152.5</v>
      </c>
      <c r="E27" s="31"/>
      <c r="F27" s="31"/>
      <c r="G27" s="31"/>
      <c r="H27" s="220"/>
      <c r="I27" s="231">
        <f t="shared" si="2"/>
        <v>13278152.5</v>
      </c>
    </row>
    <row r="28" spans="1:10" ht="15.75" thickBot="1" x14ac:dyDescent="0.3">
      <c r="A28" s="24">
        <v>2027</v>
      </c>
      <c r="B28" s="204"/>
      <c r="C28" s="212"/>
      <c r="D28" s="25"/>
      <c r="E28" s="419">
        <v>350000</v>
      </c>
      <c r="F28" s="31"/>
      <c r="G28" s="31"/>
      <c r="H28" s="220"/>
      <c r="I28" s="231">
        <f t="shared" si="2"/>
        <v>350000</v>
      </c>
    </row>
    <row r="29" spans="1:10" ht="15.75" thickBot="1" x14ac:dyDescent="0.3">
      <c r="A29" s="24">
        <v>2030</v>
      </c>
      <c r="B29" s="419">
        <v>1612000</v>
      </c>
      <c r="C29" s="212"/>
      <c r="D29" s="25"/>
      <c r="E29" s="32"/>
      <c r="F29" s="32"/>
      <c r="G29" s="32"/>
      <c r="H29" s="222"/>
      <c r="I29" s="227">
        <f t="shared" si="2"/>
        <v>0</v>
      </c>
    </row>
    <row r="30" spans="1:10" ht="15.75" thickBot="1" x14ac:dyDescent="0.3">
      <c r="A30" s="24">
        <v>2035</v>
      </c>
      <c r="B30" s="419">
        <v>1000000</v>
      </c>
      <c r="C30" s="212"/>
      <c r="D30" s="25"/>
      <c r="E30" s="33"/>
      <c r="F30" s="33"/>
      <c r="G30" s="33"/>
      <c r="H30" s="223"/>
      <c r="I30" s="227">
        <f t="shared" si="2"/>
        <v>0</v>
      </c>
    </row>
    <row r="31" spans="1:10" ht="15.75" thickBot="1" x14ac:dyDescent="0.3">
      <c r="A31" s="24">
        <v>2040</v>
      </c>
      <c r="B31" s="420"/>
      <c r="C31" s="212"/>
      <c r="D31" s="25"/>
      <c r="E31" s="33"/>
      <c r="F31" s="33"/>
      <c r="G31" s="33"/>
      <c r="H31" s="223"/>
      <c r="I31" s="227">
        <f t="shared" si="2"/>
        <v>0</v>
      </c>
    </row>
    <row r="32" spans="1:10" ht="15.75" thickBot="1" x14ac:dyDescent="0.3">
      <c r="A32" s="24">
        <v>2045</v>
      </c>
      <c r="B32" s="419">
        <v>1612000</v>
      </c>
      <c r="C32" s="212"/>
      <c r="D32" s="206"/>
      <c r="E32" s="33"/>
      <c r="F32" s="33"/>
      <c r="G32" s="33"/>
      <c r="H32" s="223"/>
      <c r="I32" s="227">
        <f t="shared" si="2"/>
        <v>0</v>
      </c>
    </row>
    <row r="33" spans="1:17" ht="15.75" thickBot="1" x14ac:dyDescent="0.3">
      <c r="A33" s="26">
        <v>2050</v>
      </c>
      <c r="B33" s="204"/>
      <c r="C33" s="212"/>
      <c r="D33" s="206"/>
      <c r="E33" s="34"/>
      <c r="F33" s="34"/>
      <c r="G33" s="34"/>
      <c r="H33" s="224"/>
      <c r="I33" s="227">
        <f t="shared" si="2"/>
        <v>0</v>
      </c>
    </row>
    <row r="34" spans="1:17" ht="15.75" thickBot="1" x14ac:dyDescent="0.3">
      <c r="A34" s="35">
        <v>2055</v>
      </c>
      <c r="B34" s="201"/>
      <c r="C34" s="209"/>
      <c r="D34" s="206"/>
      <c r="E34" s="31"/>
      <c r="F34" s="31"/>
      <c r="G34" s="31"/>
      <c r="H34" s="220"/>
      <c r="I34" s="227">
        <f t="shared" si="2"/>
        <v>0</v>
      </c>
      <c r="Q34" s="397"/>
    </row>
    <row r="35" spans="1:17" ht="15.75" thickBot="1" x14ac:dyDescent="0.3">
      <c r="A35" s="35">
        <v>2060</v>
      </c>
      <c r="B35" s="205"/>
      <c r="C35" s="213"/>
      <c r="D35" s="206"/>
      <c r="E35" s="25"/>
      <c r="F35" s="25"/>
      <c r="G35" s="25"/>
      <c r="H35" s="219"/>
      <c r="I35" s="227">
        <f t="shared" si="2"/>
        <v>0</v>
      </c>
      <c r="P35" s="398"/>
      <c r="Q35" s="399"/>
    </row>
    <row r="36" spans="1:17" ht="16.5" thickBot="1" x14ac:dyDescent="0.3">
      <c r="A36" s="36" t="s">
        <v>400</v>
      </c>
      <c r="B36" s="214">
        <f>SUM(B23:B35)</f>
        <v>4224000</v>
      </c>
      <c r="C36" s="215"/>
      <c r="D36" s="216">
        <f t="shared" ref="D36:I36" si="3">SUM(D23:D35)</f>
        <v>26556305</v>
      </c>
      <c r="E36" s="217">
        <f t="shared" si="3"/>
        <v>350000</v>
      </c>
      <c r="F36" s="217">
        <f t="shared" si="3"/>
        <v>257233</v>
      </c>
      <c r="G36" s="217">
        <f t="shared" si="3"/>
        <v>473760</v>
      </c>
      <c r="H36" s="214">
        <f t="shared" si="3"/>
        <v>1963375</v>
      </c>
      <c r="I36" s="226">
        <f t="shared" si="3"/>
        <v>29600673</v>
      </c>
      <c r="J36" s="451">
        <f>I36-E36</f>
        <v>29250673</v>
      </c>
    </row>
    <row r="100" spans="12:13" x14ac:dyDescent="0.25">
      <c r="L100" s="418">
        <v>-237600</v>
      </c>
      <c r="M100" s="433" t="s">
        <v>985</v>
      </c>
    </row>
    <row r="101" spans="12:13" x14ac:dyDescent="0.25">
      <c r="L101" s="418">
        <v>-237600</v>
      </c>
      <c r="M101" s="433" t="s">
        <v>985</v>
      </c>
    </row>
    <row r="102" spans="12:13" x14ac:dyDescent="0.25">
      <c r="L102" s="418">
        <v>-134400</v>
      </c>
      <c r="M102" s="433" t="s">
        <v>985</v>
      </c>
    </row>
    <row r="103" spans="12:13" x14ac:dyDescent="0.25">
      <c r="L103" s="418">
        <v>8133174</v>
      </c>
      <c r="M103" s="433" t="s">
        <v>986</v>
      </c>
    </row>
    <row r="104" spans="12:13" x14ac:dyDescent="0.25">
      <c r="L104" s="418">
        <f>SUM(L100:L103)</f>
        <v>7523574</v>
      </c>
      <c r="M104" s="433" t="s">
        <v>987</v>
      </c>
    </row>
    <row r="124" spans="12:12" x14ac:dyDescent="0.25">
      <c r="L124" s="418">
        <v>26556305</v>
      </c>
    </row>
  </sheetData>
  <mergeCells count="4">
    <mergeCell ref="A2:A3"/>
    <mergeCell ref="D2:I2"/>
    <mergeCell ref="A21:A22"/>
    <mergeCell ref="D21:I2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F186-B1CF-417D-B73E-AAC90D0B45EB}">
  <sheetPr>
    <tabColor theme="6"/>
  </sheetPr>
  <dimension ref="A1:AH118"/>
  <sheetViews>
    <sheetView zoomScaleNormal="100" workbookViewId="0">
      <selection activeCell="X8" sqref="X8"/>
    </sheetView>
  </sheetViews>
  <sheetFormatPr defaultRowHeight="15" x14ac:dyDescent="0.25"/>
  <cols>
    <col min="1" max="1" width="22.140625" customWidth="1"/>
    <col min="16" max="16" width="12.42578125" bestFit="1" customWidth="1"/>
    <col min="22" max="22" width="13.42578125" customWidth="1"/>
    <col min="37" max="37" width="14.42578125" customWidth="1"/>
  </cols>
  <sheetData>
    <row r="1" spans="1:30" ht="15.75" thickBot="1" x14ac:dyDescent="0.3">
      <c r="A1" s="63" t="s">
        <v>401</v>
      </c>
      <c r="C1" s="513" t="s">
        <v>44</v>
      </c>
      <c r="D1" s="515" t="s">
        <v>402</v>
      </c>
      <c r="F1" s="517" t="s">
        <v>403</v>
      </c>
      <c r="G1" s="517"/>
      <c r="U1" s="147" t="s">
        <v>404</v>
      </c>
    </row>
    <row r="2" spans="1:30" ht="15" customHeight="1" thickBot="1" x14ac:dyDescent="0.3">
      <c r="A2" t="s">
        <v>405</v>
      </c>
      <c r="C2" s="514"/>
      <c r="D2" s="516"/>
      <c r="F2" s="518">
        <f>(F4-1)/27</f>
        <v>2.0083463745435574E-2</v>
      </c>
      <c r="G2" s="518"/>
      <c r="I2">
        <f>D3*(1+(F2*27))</f>
        <v>43800</v>
      </c>
      <c r="P2" s="530" t="s">
        <v>406</v>
      </c>
      <c r="Q2" s="530"/>
      <c r="V2" s="521"/>
      <c r="W2" s="524" t="str">
        <f>W21</f>
        <v>SYNCHRO (total delay)</v>
      </c>
      <c r="X2" s="525"/>
      <c r="Y2" s="525"/>
      <c r="Z2" s="525"/>
      <c r="AA2" s="525"/>
      <c r="AB2" s="526"/>
      <c r="AC2" s="433"/>
      <c r="AD2" s="433"/>
    </row>
    <row r="3" spans="1:30" ht="15.75" thickBot="1" x14ac:dyDescent="0.3">
      <c r="B3" s="64">
        <v>53000</v>
      </c>
      <c r="C3" s="65">
        <v>2018</v>
      </c>
      <c r="D3" s="66">
        <v>28400</v>
      </c>
      <c r="P3">
        <v>2012</v>
      </c>
      <c r="V3" s="522"/>
      <c r="W3" s="144">
        <v>2023</v>
      </c>
      <c r="X3" s="145"/>
      <c r="Y3" s="146"/>
      <c r="Z3" s="144">
        <v>2046</v>
      </c>
      <c r="AA3" s="145"/>
      <c r="AB3" s="146"/>
      <c r="AC3" s="433"/>
      <c r="AD3" s="433"/>
    </row>
    <row r="4" spans="1:30" ht="15.75" thickBot="1" x14ac:dyDescent="0.3">
      <c r="C4" s="67">
        <v>2045</v>
      </c>
      <c r="D4" s="68">
        <v>43800</v>
      </c>
      <c r="F4" s="69">
        <f>D4/D3</f>
        <v>1.5422535211267605</v>
      </c>
      <c r="G4" s="519" t="s">
        <v>407</v>
      </c>
      <c r="H4" s="519"/>
      <c r="I4" s="519"/>
      <c r="J4" s="519"/>
      <c r="K4" s="519"/>
      <c r="L4" s="519"/>
      <c r="M4" s="519"/>
      <c r="P4">
        <v>2013</v>
      </c>
      <c r="V4" s="523"/>
      <c r="W4" s="77" t="str">
        <f t="shared" ref="W4" si="0">W23</f>
        <v>AM</v>
      </c>
      <c r="X4" s="77" t="s">
        <v>988</v>
      </c>
      <c r="Y4" s="77" t="s">
        <v>377</v>
      </c>
      <c r="Z4" s="77" t="s">
        <v>378</v>
      </c>
      <c r="AA4" s="77" t="s">
        <v>988</v>
      </c>
      <c r="AB4" s="77" t="s">
        <v>377</v>
      </c>
      <c r="AC4" s="81" t="s">
        <v>408</v>
      </c>
      <c r="AD4" s="457"/>
    </row>
    <row r="5" spans="1:30" ht="15.75" thickBot="1" x14ac:dyDescent="0.3">
      <c r="F5" s="70">
        <f>(F4-1)/(C4-C3)</f>
        <v>2.0083463745435574E-2</v>
      </c>
      <c r="G5" s="519" t="s">
        <v>409</v>
      </c>
      <c r="H5" s="519"/>
      <c r="I5" s="519"/>
      <c r="J5" s="519"/>
      <c r="K5" s="519"/>
      <c r="L5" s="519"/>
      <c r="M5" s="519"/>
      <c r="P5">
        <v>2014</v>
      </c>
      <c r="V5" s="78" t="s">
        <v>410</v>
      </c>
      <c r="W5" s="77">
        <f>W24</f>
        <v>47</v>
      </c>
      <c r="X5" s="77">
        <f>AVERAGE(W5,Y5)*X$8</f>
        <v>45.5</v>
      </c>
      <c r="Y5" s="77">
        <f t="shared" ref="Y5:Z5" si="1">Y24</f>
        <v>44</v>
      </c>
      <c r="Z5" s="77">
        <f t="shared" si="1"/>
        <v>179</v>
      </c>
      <c r="AA5" s="77">
        <f>AVERAGE(Z5,AB5)*AA$8</f>
        <v>214</v>
      </c>
      <c r="AB5" s="77">
        <f t="shared" ref="AB5:AB7" si="2">AB24</f>
        <v>249</v>
      </c>
    </row>
    <row r="6" spans="1:30" ht="15.75" thickBot="1" x14ac:dyDescent="0.3">
      <c r="P6">
        <v>2015</v>
      </c>
      <c r="Q6">
        <v>57300</v>
      </c>
      <c r="V6" s="78" t="s">
        <v>411</v>
      </c>
      <c r="W6" s="77">
        <f>W25</f>
        <v>27</v>
      </c>
      <c r="X6" s="77">
        <f>AVERAGE(W6,Y6)*X$8</f>
        <v>29.5</v>
      </c>
      <c r="Y6" s="77">
        <f t="shared" ref="Y6:Z6" si="3">Y25</f>
        <v>32</v>
      </c>
      <c r="Z6" s="77">
        <f t="shared" si="3"/>
        <v>85</v>
      </c>
      <c r="AA6" s="77">
        <f>AVERAGE(Z6,AB6)*AA$8</f>
        <v>115</v>
      </c>
      <c r="AB6" s="77">
        <f t="shared" si="2"/>
        <v>145</v>
      </c>
    </row>
    <row r="7" spans="1:30" ht="15.75" thickBot="1" x14ac:dyDescent="0.3">
      <c r="P7">
        <v>2016</v>
      </c>
      <c r="Q7">
        <v>59200</v>
      </c>
      <c r="V7" s="79" t="s">
        <v>412</v>
      </c>
      <c r="W7" s="77">
        <f>W26</f>
        <v>20</v>
      </c>
      <c r="X7" s="77">
        <f>AVERAGE(W7,Y7)*X$8</f>
        <v>16</v>
      </c>
      <c r="Y7" s="77">
        <f t="shared" ref="Y7:Z7" si="4">Y26</f>
        <v>12</v>
      </c>
      <c r="Z7" s="77">
        <f t="shared" si="4"/>
        <v>94</v>
      </c>
      <c r="AA7" s="77">
        <f>AVERAGE(Z7,AB7)*AA$8</f>
        <v>99</v>
      </c>
      <c r="AB7" s="77">
        <f t="shared" si="2"/>
        <v>104</v>
      </c>
    </row>
    <row r="8" spans="1:30" x14ac:dyDescent="0.25">
      <c r="A8" s="63" t="s">
        <v>401</v>
      </c>
      <c r="C8" s="513" t="s">
        <v>44</v>
      </c>
      <c r="D8" s="515" t="s">
        <v>413</v>
      </c>
      <c r="P8">
        <v>2017</v>
      </c>
      <c r="Q8">
        <v>62300</v>
      </c>
      <c r="V8" t="s">
        <v>1008</v>
      </c>
      <c r="X8">
        <f>ABS(Inputs!$E$101-1)</f>
        <v>1</v>
      </c>
      <c r="AA8">
        <f>ABS(Inputs!$E$101-1)</f>
        <v>1</v>
      </c>
    </row>
    <row r="9" spans="1:30" x14ac:dyDescent="0.25">
      <c r="C9" s="514"/>
      <c r="D9" s="516"/>
      <c r="P9">
        <v>2018</v>
      </c>
      <c r="Q9">
        <v>61900</v>
      </c>
      <c r="Y9" s="449" t="s">
        <v>997</v>
      </c>
      <c r="Z9" s="450">
        <f>Summary!$E$9</f>
        <v>2.0575994382092198</v>
      </c>
    </row>
    <row r="10" spans="1:30" x14ac:dyDescent="0.25">
      <c r="C10" s="65">
        <v>2018</v>
      </c>
      <c r="D10" s="66">
        <v>3405</v>
      </c>
      <c r="P10">
        <v>2019</v>
      </c>
      <c r="Q10">
        <v>62900</v>
      </c>
    </row>
    <row r="11" spans="1:30" ht="15.75" thickBot="1" x14ac:dyDescent="0.3">
      <c r="C11" s="67">
        <v>2045</v>
      </c>
      <c r="D11" s="68">
        <v>5215</v>
      </c>
      <c r="F11" s="69">
        <f>D11/D10</f>
        <v>1.5315712187958883</v>
      </c>
      <c r="G11" s="519" t="s">
        <v>407</v>
      </c>
      <c r="H11" s="519"/>
      <c r="I11" s="519"/>
      <c r="J11" s="519"/>
      <c r="K11" s="519"/>
      <c r="L11" s="519"/>
      <c r="M11" s="519"/>
      <c r="P11">
        <v>2020</v>
      </c>
      <c r="Q11">
        <v>52600</v>
      </c>
    </row>
    <row r="12" spans="1:30" ht="15.75" thickBot="1" x14ac:dyDescent="0.3">
      <c r="A12" s="71"/>
      <c r="B12" s="71"/>
      <c r="C12" s="71"/>
      <c r="D12" s="71"/>
      <c r="E12" s="71"/>
      <c r="F12" s="72">
        <f>(F11-1)/(C11-C10)</f>
        <v>1.9687822918366234E-2</v>
      </c>
      <c r="G12" s="520" t="s">
        <v>409</v>
      </c>
      <c r="H12" s="520"/>
      <c r="I12" s="520"/>
      <c r="J12" s="520"/>
      <c r="K12" s="520"/>
      <c r="L12" s="520"/>
      <c r="M12" s="520"/>
      <c r="P12">
        <v>2021</v>
      </c>
      <c r="Q12">
        <v>5300</v>
      </c>
      <c r="S12" s="69">
        <f>Q14/Q13</f>
        <v>-5.1181959564539437</v>
      </c>
      <c r="U12" s="147" t="s">
        <v>414</v>
      </c>
      <c r="W12" t="s">
        <v>415</v>
      </c>
    </row>
    <row r="13" spans="1:30" ht="15.75" thickBot="1" x14ac:dyDescent="0.3">
      <c r="P13" s="65">
        <v>2022</v>
      </c>
      <c r="Q13" s="66">
        <f>TREND(Q6:Q12,P6:P12,P13)</f>
        <v>27557.142857143655</v>
      </c>
      <c r="S13" s="70">
        <f>(S12-1)/(P14-P6)</f>
        <v>-0.17480559875582696</v>
      </c>
      <c r="V13" s="521"/>
      <c r="W13" s="144" t="s">
        <v>416</v>
      </c>
      <c r="X13" s="145"/>
      <c r="Y13" s="145"/>
      <c r="Z13" s="145"/>
      <c r="AA13" s="145"/>
      <c r="AB13" s="146"/>
      <c r="AC13" s="81" t="s">
        <v>408</v>
      </c>
      <c r="AD13" s="457"/>
    </row>
    <row r="14" spans="1:30" ht="15.75" thickBot="1" x14ac:dyDescent="0.3">
      <c r="A14" s="63" t="s">
        <v>417</v>
      </c>
      <c r="C14" s="513" t="s">
        <v>44</v>
      </c>
      <c r="D14" s="515" t="s">
        <v>413</v>
      </c>
      <c r="P14" s="67">
        <v>2050</v>
      </c>
      <c r="Q14" s="68">
        <f>TREND(Q6:Q12,P6:P12,P14)</f>
        <v>-141042.85714285634</v>
      </c>
      <c r="V14" s="522"/>
      <c r="W14" s="144">
        <v>2023</v>
      </c>
      <c r="X14" s="145"/>
      <c r="Y14" s="146"/>
      <c r="Z14" s="144">
        <v>2046</v>
      </c>
      <c r="AA14" s="145"/>
      <c r="AB14" s="146"/>
    </row>
    <row r="15" spans="1:30" ht="15.75" thickBot="1" x14ac:dyDescent="0.3">
      <c r="C15" s="514"/>
      <c r="D15" s="516"/>
      <c r="P15" s="73" t="s">
        <v>418</v>
      </c>
      <c r="Q15" s="74">
        <f>(S12-1)/(P14-P13)</f>
        <v>-0.21850699844478369</v>
      </c>
      <c r="V15" s="523"/>
      <c r="W15" s="77" t="s">
        <v>376</v>
      </c>
      <c r="X15" s="77"/>
      <c r="Y15" s="77" t="s">
        <v>377</v>
      </c>
      <c r="Z15" s="77" t="s">
        <v>378</v>
      </c>
      <c r="AA15" s="77"/>
      <c r="AB15" s="77" t="s">
        <v>377</v>
      </c>
    </row>
    <row r="16" spans="1:30" ht="15.75" thickBot="1" x14ac:dyDescent="0.3">
      <c r="C16" s="65">
        <v>2018</v>
      </c>
      <c r="D16" s="66">
        <v>3500</v>
      </c>
      <c r="V16" s="78" t="s">
        <v>410</v>
      </c>
      <c r="W16" s="77">
        <v>58.9</v>
      </c>
      <c r="X16" s="77"/>
      <c r="Y16" s="77">
        <v>97.7</v>
      </c>
      <c r="Z16" s="77">
        <v>244.2</v>
      </c>
      <c r="AA16" s="77"/>
      <c r="AB16" s="77">
        <v>263.7</v>
      </c>
    </row>
    <row r="17" spans="1:30" ht="15.75" thickBot="1" x14ac:dyDescent="0.3">
      <c r="C17" s="67">
        <v>2045</v>
      </c>
      <c r="D17" s="68">
        <v>5520</v>
      </c>
      <c r="F17" s="69">
        <f>D17/D16</f>
        <v>1.5771428571428572</v>
      </c>
      <c r="G17" s="519" t="s">
        <v>407</v>
      </c>
      <c r="H17" s="519"/>
      <c r="I17" s="519"/>
      <c r="J17" s="519"/>
      <c r="K17" s="519"/>
      <c r="L17" s="519"/>
      <c r="M17" s="519"/>
      <c r="V17" s="78" t="s">
        <v>411</v>
      </c>
      <c r="W17" s="77">
        <v>23.5</v>
      </c>
      <c r="X17" s="77"/>
      <c r="Y17" s="77">
        <v>27.1</v>
      </c>
      <c r="Z17" s="77">
        <v>49</v>
      </c>
      <c r="AA17" s="77"/>
      <c r="AB17" s="77">
        <v>52.3</v>
      </c>
    </row>
    <row r="18" spans="1:30" ht="15.75" thickBot="1" x14ac:dyDescent="0.3">
      <c r="A18" s="71"/>
      <c r="B18" s="71"/>
      <c r="C18" s="71"/>
      <c r="D18" s="71"/>
      <c r="E18" s="71"/>
      <c r="F18" s="87">
        <f>(F17-1)/(C17-C16)</f>
        <v>2.1375661375661378E-2</v>
      </c>
      <c r="G18" s="520" t="s">
        <v>409</v>
      </c>
      <c r="H18" s="520"/>
      <c r="I18" s="520"/>
      <c r="J18" s="520"/>
      <c r="K18" s="520"/>
      <c r="L18" s="520"/>
      <c r="M18" s="520"/>
      <c r="V18" s="79" t="s">
        <v>412</v>
      </c>
      <c r="W18" s="80">
        <v>35.5</v>
      </c>
      <c r="X18" s="80"/>
      <c r="Y18" s="80">
        <v>70.5</v>
      </c>
      <c r="Z18" s="80">
        <v>195.2</v>
      </c>
      <c r="AA18" s="80"/>
      <c r="AB18" s="80">
        <v>211.4</v>
      </c>
    </row>
    <row r="20" spans="1:30" ht="15.75" thickBot="1" x14ac:dyDescent="0.3"/>
    <row r="21" spans="1:30" ht="15.75" customHeight="1" thickBot="1" x14ac:dyDescent="0.3">
      <c r="V21" s="521"/>
      <c r="W21" s="144" t="s">
        <v>419</v>
      </c>
      <c r="X21" s="145"/>
      <c r="Y21" s="145"/>
      <c r="Z21" s="145"/>
      <c r="AA21" s="145"/>
      <c r="AB21" s="146"/>
      <c r="AC21" s="81" t="s">
        <v>408</v>
      </c>
      <c r="AD21" s="457"/>
    </row>
    <row r="22" spans="1:30" ht="15.75" thickBot="1" x14ac:dyDescent="0.3">
      <c r="A22" s="63" t="s">
        <v>420</v>
      </c>
      <c r="C22" s="513" t="s">
        <v>44</v>
      </c>
      <c r="D22" s="515" t="s">
        <v>402</v>
      </c>
      <c r="V22" s="522"/>
      <c r="W22" s="144">
        <v>2023</v>
      </c>
      <c r="X22" s="145"/>
      <c r="Y22" s="146"/>
      <c r="Z22" s="144">
        <v>2046</v>
      </c>
      <c r="AA22" s="145"/>
      <c r="AB22" s="146"/>
    </row>
    <row r="23" spans="1:30" ht="15.75" thickBot="1" x14ac:dyDescent="0.3">
      <c r="C23" s="514"/>
      <c r="D23" s="516"/>
      <c r="V23" s="523"/>
      <c r="W23" s="77" t="s">
        <v>376</v>
      </c>
      <c r="X23" s="77"/>
      <c r="Y23" s="77" t="s">
        <v>377</v>
      </c>
      <c r="Z23" s="77" t="s">
        <v>378</v>
      </c>
      <c r="AA23" s="77"/>
      <c r="AB23" s="77" t="s">
        <v>377</v>
      </c>
    </row>
    <row r="24" spans="1:30" ht="15.75" thickBot="1" x14ac:dyDescent="0.3">
      <c r="C24" s="65">
        <v>2018</v>
      </c>
      <c r="D24" s="66">
        <v>28400</v>
      </c>
      <c r="V24" s="78" t="s">
        <v>410</v>
      </c>
      <c r="W24" s="77">
        <v>47</v>
      </c>
      <c r="X24" s="77"/>
      <c r="Y24" s="77">
        <v>44</v>
      </c>
      <c r="Z24" s="77">
        <v>179</v>
      </c>
      <c r="AA24" s="77"/>
      <c r="AB24" s="77">
        <v>249</v>
      </c>
    </row>
    <row r="25" spans="1:30" ht="15.75" thickBot="1" x14ac:dyDescent="0.3">
      <c r="C25" s="67">
        <v>2023</v>
      </c>
      <c r="D25" s="68">
        <f>D3*(1+(F2*5))</f>
        <v>31251.851851851854</v>
      </c>
      <c r="F25" s="69">
        <f>D25/D24</f>
        <v>1.100417318727178</v>
      </c>
      <c r="G25" s="519" t="s">
        <v>421</v>
      </c>
      <c r="H25" s="519"/>
      <c r="I25" s="519"/>
      <c r="J25" s="519"/>
      <c r="K25" s="519"/>
      <c r="L25" s="519"/>
      <c r="M25" s="519"/>
      <c r="V25" s="78" t="s">
        <v>411</v>
      </c>
      <c r="W25" s="77">
        <v>27</v>
      </c>
      <c r="X25" s="77"/>
      <c r="Y25" s="77">
        <v>32</v>
      </c>
      <c r="Z25" s="77">
        <v>85</v>
      </c>
      <c r="AA25" s="77"/>
      <c r="AB25" s="77">
        <v>145</v>
      </c>
    </row>
    <row r="26" spans="1:30" ht="15.75" thickBot="1" x14ac:dyDescent="0.3">
      <c r="F26" s="70">
        <f>(F25-1)/(C25-C24)</f>
        <v>2.0083463745435591E-2</v>
      </c>
      <c r="G26" s="519" t="s">
        <v>422</v>
      </c>
      <c r="H26" s="519"/>
      <c r="I26" s="519"/>
      <c r="J26" s="519"/>
      <c r="K26" s="519"/>
      <c r="L26" s="519"/>
      <c r="M26" s="519"/>
      <c r="V26" s="79" t="s">
        <v>412</v>
      </c>
      <c r="W26" s="80">
        <v>20</v>
      </c>
      <c r="X26" s="80"/>
      <c r="Y26" s="80">
        <v>12</v>
      </c>
      <c r="Z26" s="80">
        <v>94</v>
      </c>
      <c r="AA26" s="80"/>
      <c r="AB26" s="80">
        <v>104</v>
      </c>
    </row>
    <row r="27" spans="1:30" ht="15.75" thickBot="1" x14ac:dyDescent="0.3"/>
    <row r="28" spans="1:30" ht="15.75" thickBot="1" x14ac:dyDescent="0.3">
      <c r="V28" s="521"/>
      <c r="W28" s="144" t="s">
        <v>423</v>
      </c>
      <c r="X28" s="145"/>
      <c r="Y28" s="145"/>
      <c r="Z28" s="145"/>
      <c r="AA28" s="145"/>
      <c r="AB28" s="146"/>
      <c r="AC28" s="81" t="s">
        <v>408</v>
      </c>
      <c r="AD28" s="457"/>
    </row>
    <row r="29" spans="1:30" ht="15.75" thickBot="1" x14ac:dyDescent="0.3">
      <c r="V29" s="522"/>
      <c r="W29" s="144">
        <v>2023</v>
      </c>
      <c r="X29" s="145"/>
      <c r="Y29" s="146"/>
      <c r="Z29" s="144">
        <v>2046</v>
      </c>
      <c r="AA29" s="145"/>
      <c r="AB29" s="146"/>
    </row>
    <row r="30" spans="1:30" ht="15.75" thickBot="1" x14ac:dyDescent="0.3">
      <c r="C30" s="513" t="s">
        <v>44</v>
      </c>
      <c r="D30" s="515" t="s">
        <v>402</v>
      </c>
      <c r="V30" s="523"/>
      <c r="W30" s="77" t="s">
        <v>376</v>
      </c>
      <c r="X30" s="77"/>
      <c r="Y30" s="77" t="s">
        <v>377</v>
      </c>
      <c r="Z30" s="77" t="s">
        <v>378</v>
      </c>
      <c r="AA30" s="77"/>
      <c r="AB30" s="77" t="s">
        <v>377</v>
      </c>
    </row>
    <row r="31" spans="1:30" ht="15.75" thickBot="1" x14ac:dyDescent="0.3">
      <c r="C31" s="514"/>
      <c r="D31" s="516"/>
      <c r="V31" s="78" t="s">
        <v>410</v>
      </c>
      <c r="W31" s="77">
        <v>21.6</v>
      </c>
      <c r="X31" s="77"/>
      <c r="Y31" s="77">
        <v>23.2</v>
      </c>
      <c r="Z31" s="77">
        <v>70.400000000000006</v>
      </c>
      <c r="AA31" s="77"/>
      <c r="AB31" s="77">
        <v>81</v>
      </c>
    </row>
    <row r="32" spans="1:30" ht="15.75" thickBot="1" x14ac:dyDescent="0.3">
      <c r="C32" s="65">
        <v>2023</v>
      </c>
      <c r="D32" s="66">
        <f>D25</f>
        <v>31251.851851851854</v>
      </c>
      <c r="V32" s="78" t="s">
        <v>411</v>
      </c>
      <c r="W32" s="77">
        <v>10.3</v>
      </c>
      <c r="X32" s="77"/>
      <c r="Y32" s="77">
        <v>10.8</v>
      </c>
      <c r="Z32" s="77">
        <v>18.600000000000001</v>
      </c>
      <c r="AA32" s="77"/>
      <c r="AB32" s="77">
        <v>19.100000000000001</v>
      </c>
    </row>
    <row r="33" spans="3:34" ht="15.75" thickBot="1" x14ac:dyDescent="0.3">
      <c r="C33" s="67">
        <v>2046</v>
      </c>
      <c r="D33" s="68">
        <f>D32*(1+(F2*23))</f>
        <v>45687.696825672829</v>
      </c>
      <c r="F33" s="69">
        <f>D33/D32</f>
        <v>1.4619196661450182</v>
      </c>
      <c r="G33" s="519" t="s">
        <v>424</v>
      </c>
      <c r="H33" s="519"/>
      <c r="I33" s="519"/>
      <c r="J33" s="519"/>
      <c r="K33" s="519"/>
      <c r="L33" s="519"/>
      <c r="M33" s="519"/>
      <c r="V33" s="79" t="s">
        <v>412</v>
      </c>
      <c r="W33" s="80">
        <v>11.3</v>
      </c>
      <c r="X33" s="80"/>
      <c r="Y33" s="80">
        <v>12.4</v>
      </c>
      <c r="Z33" s="80">
        <v>51.8</v>
      </c>
      <c r="AA33" s="80"/>
      <c r="AB33" s="80">
        <v>61.9</v>
      </c>
    </row>
    <row r="34" spans="3:34" x14ac:dyDescent="0.25">
      <c r="F34" s="70">
        <f>(F33-1)/(C33-C32)</f>
        <v>2.0083463745435574E-2</v>
      </c>
      <c r="G34" s="519" t="s">
        <v>425</v>
      </c>
      <c r="H34" s="519"/>
      <c r="I34" s="519"/>
      <c r="J34" s="519"/>
      <c r="K34" s="519"/>
      <c r="L34" s="519"/>
      <c r="M34" s="519"/>
    </row>
    <row r="36" spans="3:34" ht="15.75" thickBot="1" x14ac:dyDescent="0.3"/>
    <row r="37" spans="3:34" ht="15.75" thickBot="1" x14ac:dyDescent="0.3">
      <c r="C37" s="513" t="s">
        <v>44</v>
      </c>
      <c r="D37" s="515" t="s">
        <v>402</v>
      </c>
      <c r="U37" s="147" t="s">
        <v>374</v>
      </c>
    </row>
    <row r="38" spans="3:34" ht="15.75" thickBot="1" x14ac:dyDescent="0.3">
      <c r="C38" s="514"/>
      <c r="D38" s="516"/>
      <c r="V38" s="527" t="s">
        <v>426</v>
      </c>
      <c r="W38" s="524" t="s">
        <v>427</v>
      </c>
      <c r="X38" s="525"/>
      <c r="Y38" s="525"/>
      <c r="Z38" s="525"/>
      <c r="AA38" s="525"/>
      <c r="AB38" s="526"/>
    </row>
    <row r="39" spans="3:34" ht="15.75" thickBot="1" x14ac:dyDescent="0.3">
      <c r="C39" s="65">
        <v>2018</v>
      </c>
      <c r="D39" s="66">
        <f>D24</f>
        <v>28400</v>
      </c>
      <c r="V39" s="528"/>
      <c r="W39" s="144">
        <v>2023</v>
      </c>
      <c r="X39" s="145"/>
      <c r="Y39" s="146"/>
      <c r="Z39" s="144">
        <v>2046</v>
      </c>
      <c r="AA39" s="145"/>
      <c r="AB39" s="146"/>
    </row>
    <row r="40" spans="3:34" ht="15.75" thickBot="1" x14ac:dyDescent="0.3">
      <c r="C40" s="67">
        <v>2046</v>
      </c>
      <c r="D40" s="68">
        <f>D39*(1+(F2*28))</f>
        <v>44370.370370370365</v>
      </c>
      <c r="F40" s="69">
        <f>D40/D39</f>
        <v>1.562336984872196</v>
      </c>
      <c r="G40" s="519" t="s">
        <v>428</v>
      </c>
      <c r="H40" s="519"/>
      <c r="I40" s="519"/>
      <c r="J40" s="519"/>
      <c r="K40" s="519"/>
      <c r="L40" s="519"/>
      <c r="M40" s="519"/>
      <c r="V40" s="529"/>
      <c r="W40" s="77" t="s">
        <v>376</v>
      </c>
      <c r="X40" s="77"/>
      <c r="Y40" s="77" t="s">
        <v>377</v>
      </c>
      <c r="Z40" s="77" t="s">
        <v>378</v>
      </c>
      <c r="AA40" s="77"/>
      <c r="AB40" s="77" t="s">
        <v>377</v>
      </c>
    </row>
    <row r="41" spans="3:34" ht="15.75" thickBot="1" x14ac:dyDescent="0.3">
      <c r="F41" s="70">
        <f>(F40-1)/(C40-C39)</f>
        <v>2.008346374543557E-2</v>
      </c>
      <c r="G41" s="519" t="s">
        <v>429</v>
      </c>
      <c r="H41" s="519"/>
      <c r="I41" s="519"/>
      <c r="J41" s="519"/>
      <c r="K41" s="519"/>
      <c r="L41" s="519"/>
      <c r="M41" s="519"/>
      <c r="V41" s="78" t="s">
        <v>410</v>
      </c>
      <c r="W41" s="77">
        <v>116</v>
      </c>
      <c r="X41" s="77">
        <f>AVERAGE(W41,Y41)*X$8</f>
        <v>115</v>
      </c>
      <c r="Y41" s="77">
        <v>114</v>
      </c>
      <c r="Z41" s="77">
        <v>253</v>
      </c>
      <c r="AA41" s="77">
        <f>AVERAGE(Z41,AB41)*AA$8</f>
        <v>280.5</v>
      </c>
      <c r="AB41" s="77">
        <v>308</v>
      </c>
    </row>
    <row r="42" spans="3:34" ht="15.75" thickBot="1" x14ac:dyDescent="0.3">
      <c r="V42" s="78" t="s">
        <v>411</v>
      </c>
      <c r="W42" s="77">
        <v>94</v>
      </c>
      <c r="X42" s="77">
        <f>AVERAGE(W42,Y42)*X$8</f>
        <v>98</v>
      </c>
      <c r="Y42" s="77">
        <v>102</v>
      </c>
      <c r="Z42" s="77">
        <v>174</v>
      </c>
      <c r="AA42" s="77">
        <f>AVERAGE(Z42,AB42)*AA$8</f>
        <v>199.5</v>
      </c>
      <c r="AB42" s="77">
        <v>225</v>
      </c>
    </row>
    <row r="43" spans="3:34" ht="15.75" thickBot="1" x14ac:dyDescent="0.3">
      <c r="V43" s="79" t="s">
        <v>412</v>
      </c>
      <c r="W43" s="77">
        <f t="shared" ref="W43:AB43" si="5">W41-W42</f>
        <v>22</v>
      </c>
      <c r="X43" s="77">
        <f t="shared" si="5"/>
        <v>17</v>
      </c>
      <c r="Y43" s="77">
        <f t="shared" si="5"/>
        <v>12</v>
      </c>
      <c r="Z43" s="77">
        <f t="shared" si="5"/>
        <v>79</v>
      </c>
      <c r="AA43" s="77">
        <f t="shared" si="5"/>
        <v>81</v>
      </c>
      <c r="AB43" s="77">
        <f t="shared" si="5"/>
        <v>83</v>
      </c>
    </row>
    <row r="47" spans="3:34" ht="15.75" thickBot="1" x14ac:dyDescent="0.3">
      <c r="U47" s="147" t="s">
        <v>380</v>
      </c>
    </row>
    <row r="48" spans="3:34" ht="15.75" thickBot="1" x14ac:dyDescent="0.3">
      <c r="V48" s="527" t="s">
        <v>381</v>
      </c>
      <c r="W48" s="144">
        <v>2023</v>
      </c>
      <c r="X48" s="145"/>
      <c r="Y48" s="145"/>
      <c r="Z48" s="145"/>
      <c r="AA48" s="145"/>
      <c r="AB48" s="146"/>
      <c r="AC48" s="144">
        <v>2046</v>
      </c>
      <c r="AD48" s="145"/>
      <c r="AE48" s="145"/>
      <c r="AF48" s="145"/>
      <c r="AG48" s="145"/>
      <c r="AH48" s="146"/>
    </row>
    <row r="49" spans="12:34" ht="15.75" thickBot="1" x14ac:dyDescent="0.3">
      <c r="V49" s="528"/>
      <c r="W49" s="144" t="s">
        <v>376</v>
      </c>
      <c r="X49" s="146"/>
      <c r="Y49" s="144" t="s">
        <v>988</v>
      </c>
      <c r="Z49" s="146"/>
      <c r="AA49" s="144" t="s">
        <v>377</v>
      </c>
      <c r="AB49" s="146"/>
      <c r="AC49" s="144" t="s">
        <v>376</v>
      </c>
      <c r="AD49" s="146"/>
      <c r="AE49" s="144" t="s">
        <v>988</v>
      </c>
      <c r="AF49" s="146"/>
      <c r="AG49" s="144" t="s">
        <v>377</v>
      </c>
      <c r="AH49" s="146"/>
    </row>
    <row r="50" spans="12:34" ht="15.75" thickBot="1" x14ac:dyDescent="0.3">
      <c r="V50" s="529"/>
      <c r="W50" s="77" t="s">
        <v>410</v>
      </c>
      <c r="X50" s="77" t="s">
        <v>393</v>
      </c>
      <c r="Y50" s="77" t="s">
        <v>410</v>
      </c>
      <c r="Z50" s="77" t="s">
        <v>393</v>
      </c>
      <c r="AA50" s="77" t="s">
        <v>410</v>
      </c>
      <c r="AB50" s="77" t="s">
        <v>393</v>
      </c>
      <c r="AC50" s="77" t="s">
        <v>410</v>
      </c>
      <c r="AD50" s="77" t="s">
        <v>393</v>
      </c>
      <c r="AE50" s="77" t="s">
        <v>410</v>
      </c>
      <c r="AF50" s="77" t="s">
        <v>393</v>
      </c>
      <c r="AG50" s="77" t="s">
        <v>410</v>
      </c>
      <c r="AH50" s="77" t="s">
        <v>393</v>
      </c>
    </row>
    <row r="51" spans="12:34" ht="15.75" thickBot="1" x14ac:dyDescent="0.3">
      <c r="V51" s="78" t="s">
        <v>430</v>
      </c>
      <c r="W51" s="77">
        <v>8.08</v>
      </c>
      <c r="X51" s="77">
        <v>6.6</v>
      </c>
      <c r="Y51" s="77">
        <f t="shared" ref="Y51:Z53" si="6">AVERAGE(W51,AA51)*$X$8</f>
        <v>8.0250000000000004</v>
      </c>
      <c r="Z51" s="77">
        <f t="shared" si="6"/>
        <v>6.8650000000000002</v>
      </c>
      <c r="AA51" s="77">
        <v>7.97</v>
      </c>
      <c r="AB51" s="77">
        <v>7.13</v>
      </c>
      <c r="AC51" s="77">
        <v>17.7</v>
      </c>
      <c r="AD51" s="77">
        <v>12.19</v>
      </c>
      <c r="AE51" s="77">
        <f t="shared" ref="AE51:AE53" si="7">AVERAGE(AC51,AG51)*$X$8</f>
        <v>19.619999999999997</v>
      </c>
      <c r="AF51" s="77">
        <f t="shared" ref="AF51:AF53" si="8">AVERAGE(AD51,AH51)*$X$8</f>
        <v>13.965</v>
      </c>
      <c r="AG51" s="77">
        <v>21.54</v>
      </c>
      <c r="AH51" s="77">
        <v>15.74</v>
      </c>
    </row>
    <row r="52" spans="12:34" ht="15.75" thickBot="1" x14ac:dyDescent="0.3">
      <c r="L52" t="s">
        <v>432</v>
      </c>
      <c r="V52" s="78" t="s">
        <v>431</v>
      </c>
      <c r="W52" s="77">
        <v>1.57</v>
      </c>
      <c r="X52" s="77">
        <v>1.28</v>
      </c>
      <c r="Y52" s="77">
        <f t="shared" si="6"/>
        <v>1.56</v>
      </c>
      <c r="Z52" s="77">
        <f t="shared" si="6"/>
        <v>1.335</v>
      </c>
      <c r="AA52" s="77">
        <v>1.55</v>
      </c>
      <c r="AB52" s="77">
        <v>1.39</v>
      </c>
      <c r="AC52" s="77">
        <v>3.44</v>
      </c>
      <c r="AD52" s="77">
        <v>2.37</v>
      </c>
      <c r="AE52" s="77">
        <f t="shared" si="7"/>
        <v>3.8150000000000004</v>
      </c>
      <c r="AF52" s="77">
        <f t="shared" si="8"/>
        <v>2.7149999999999999</v>
      </c>
      <c r="AG52" s="77">
        <v>4.1900000000000004</v>
      </c>
      <c r="AH52" s="77">
        <v>3.06</v>
      </c>
    </row>
    <row r="53" spans="12:34" ht="15.75" thickBot="1" x14ac:dyDescent="0.3">
      <c r="L53">
        <v>2023</v>
      </c>
      <c r="M53" t="s">
        <v>44</v>
      </c>
      <c r="V53" s="78" t="s">
        <v>385</v>
      </c>
      <c r="W53" s="77">
        <v>1.87</v>
      </c>
      <c r="X53" s="77">
        <v>1.53</v>
      </c>
      <c r="Y53" s="77">
        <f t="shared" si="6"/>
        <v>1.86</v>
      </c>
      <c r="Z53" s="77">
        <f t="shared" si="6"/>
        <v>1.5899999999999999</v>
      </c>
      <c r="AA53" s="77">
        <v>1.85</v>
      </c>
      <c r="AB53" s="77">
        <v>1.65</v>
      </c>
      <c r="AC53" s="77">
        <v>4.0999999999999996</v>
      </c>
      <c r="AD53" s="77">
        <v>2.83</v>
      </c>
      <c r="AE53" s="77">
        <f t="shared" si="7"/>
        <v>4.5449999999999999</v>
      </c>
      <c r="AF53" s="77">
        <f t="shared" si="8"/>
        <v>3.2350000000000003</v>
      </c>
      <c r="AG53" s="77">
        <v>4.99</v>
      </c>
      <c r="AH53" s="77">
        <v>3.64</v>
      </c>
    </row>
    <row r="54" spans="12:34" x14ac:dyDescent="0.25">
      <c r="L54">
        <v>3851</v>
      </c>
      <c r="M54" t="s">
        <v>433</v>
      </c>
    </row>
    <row r="55" spans="12:34" x14ac:dyDescent="0.25">
      <c r="L55">
        <v>3851</v>
      </c>
      <c r="M55" t="s">
        <v>434</v>
      </c>
    </row>
    <row r="56" spans="12:34" x14ac:dyDescent="0.25">
      <c r="L56">
        <f>L54+L55</f>
        <v>7702</v>
      </c>
      <c r="M56" t="s">
        <v>435</v>
      </c>
    </row>
    <row r="67" spans="4:5" x14ac:dyDescent="0.25">
      <c r="D67" t="s">
        <v>432</v>
      </c>
    </row>
    <row r="68" spans="4:5" x14ac:dyDescent="0.25">
      <c r="D68">
        <v>2023</v>
      </c>
      <c r="E68" t="s">
        <v>44</v>
      </c>
    </row>
    <row r="69" spans="4:5" x14ac:dyDescent="0.25">
      <c r="D69">
        <v>9860</v>
      </c>
      <c r="E69" t="s">
        <v>433</v>
      </c>
    </row>
    <row r="70" spans="4:5" x14ac:dyDescent="0.25">
      <c r="D70">
        <v>9860</v>
      </c>
      <c r="E70" t="s">
        <v>434</v>
      </c>
    </row>
    <row r="71" spans="4:5" x14ac:dyDescent="0.25">
      <c r="D71">
        <f>D69+D70</f>
        <v>19720</v>
      </c>
      <c r="E71" t="s">
        <v>435</v>
      </c>
    </row>
    <row r="100" spans="12:13" x14ac:dyDescent="0.25">
      <c r="L100" t="s">
        <v>436</v>
      </c>
    </row>
    <row r="101" spans="12:13" x14ac:dyDescent="0.25">
      <c r="L101">
        <v>2046</v>
      </c>
      <c r="M101" t="s">
        <v>44</v>
      </c>
    </row>
    <row r="102" spans="12:13" x14ac:dyDescent="0.25">
      <c r="L102">
        <v>5631</v>
      </c>
      <c r="M102" t="s">
        <v>433</v>
      </c>
    </row>
    <row r="103" spans="12:13" x14ac:dyDescent="0.25">
      <c r="L103">
        <v>5631</v>
      </c>
      <c r="M103" t="s">
        <v>434</v>
      </c>
    </row>
    <row r="104" spans="12:13" x14ac:dyDescent="0.25">
      <c r="L104">
        <f>L102+L103</f>
        <v>11262</v>
      </c>
      <c r="M104" t="s">
        <v>435</v>
      </c>
    </row>
    <row r="114" spans="4:5" x14ac:dyDescent="0.25">
      <c r="D114" t="s">
        <v>436</v>
      </c>
    </row>
    <row r="115" spans="4:5" x14ac:dyDescent="0.25">
      <c r="D115">
        <v>2046</v>
      </c>
      <c r="E115" t="s">
        <v>44</v>
      </c>
    </row>
    <row r="116" spans="4:5" x14ac:dyDescent="0.25">
      <c r="D116">
        <v>14414</v>
      </c>
      <c r="E116" t="s">
        <v>433</v>
      </c>
    </row>
    <row r="117" spans="4:5" x14ac:dyDescent="0.25">
      <c r="D117">
        <v>14414</v>
      </c>
      <c r="E117" t="s">
        <v>434</v>
      </c>
    </row>
    <row r="118" spans="4:5" x14ac:dyDescent="0.25">
      <c r="D118">
        <f>D116+D117</f>
        <v>28828</v>
      </c>
      <c r="E118" t="s">
        <v>435</v>
      </c>
    </row>
  </sheetData>
  <mergeCells count="35">
    <mergeCell ref="V48:V50"/>
    <mergeCell ref="P2:Q2"/>
    <mergeCell ref="V38:V40"/>
    <mergeCell ref="W38:AB38"/>
    <mergeCell ref="V21:V23"/>
    <mergeCell ref="V28:V30"/>
    <mergeCell ref="V13:V15"/>
    <mergeCell ref="V2:V4"/>
    <mergeCell ref="W2:AB2"/>
    <mergeCell ref="G11:M11"/>
    <mergeCell ref="G12:M12"/>
    <mergeCell ref="G41:M41"/>
    <mergeCell ref="C30:C31"/>
    <mergeCell ref="D30:D31"/>
    <mergeCell ref="G33:M33"/>
    <mergeCell ref="G34:M34"/>
    <mergeCell ref="C37:C38"/>
    <mergeCell ref="D37:D38"/>
    <mergeCell ref="G40:M40"/>
    <mergeCell ref="C14:C15"/>
    <mergeCell ref="D14:D15"/>
    <mergeCell ref="C22:C23"/>
    <mergeCell ref="D22:D23"/>
    <mergeCell ref="G26:M26"/>
    <mergeCell ref="G17:M17"/>
    <mergeCell ref="G18:M18"/>
    <mergeCell ref="G25:M25"/>
    <mergeCell ref="C1:C2"/>
    <mergeCell ref="D1:D2"/>
    <mergeCell ref="F1:G1"/>
    <mergeCell ref="F2:G2"/>
    <mergeCell ref="C8:C9"/>
    <mergeCell ref="D8:D9"/>
    <mergeCell ref="G4:M4"/>
    <mergeCell ref="G5:M5"/>
  </mergeCells>
  <pageMargins left="0.7" right="0.7" top="0.75" bottom="0.75" header="0.3" footer="0.3"/>
  <pageSetup orientation="portrait"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E56B-2FB8-4065-9914-34ED5F60F74A}">
  <sheetPr>
    <tabColor theme="6"/>
  </sheetPr>
  <dimension ref="A1:AI2720"/>
  <sheetViews>
    <sheetView workbookViewId="0">
      <pane xSplit="4" ySplit="9" topLeftCell="E10" activePane="bottomRight" state="frozen"/>
      <selection pane="topRight" activeCell="E1" sqref="E1"/>
      <selection pane="bottomLeft" activeCell="A14" sqref="A14"/>
      <selection pane="bottomRight" activeCell="B7" sqref="B7"/>
    </sheetView>
  </sheetViews>
  <sheetFormatPr defaultRowHeight="15" x14ac:dyDescent="0.25"/>
  <cols>
    <col min="1" max="1" width="27.28515625" customWidth="1"/>
    <col min="2" max="2" width="38.85546875" customWidth="1"/>
  </cols>
  <sheetData>
    <row r="1" spans="1:35" ht="15" customHeight="1" thickBot="1" x14ac:dyDescent="0.3">
      <c r="B1" s="148"/>
    </row>
    <row r="2" spans="1:35" ht="15" customHeight="1" x14ac:dyDescent="0.25">
      <c r="B2" s="150" t="s">
        <v>833</v>
      </c>
    </row>
    <row r="3" spans="1:35" ht="15" customHeight="1" x14ac:dyDescent="0.25">
      <c r="B3" s="151" t="s">
        <v>629</v>
      </c>
      <c r="C3" s="152" t="s">
        <v>630</v>
      </c>
      <c r="D3" s="152" t="s">
        <v>835</v>
      </c>
      <c r="E3" s="152"/>
      <c r="F3" s="152"/>
      <c r="G3" s="152"/>
    </row>
    <row r="4" spans="1:35" ht="15" customHeight="1" x14ac:dyDescent="0.25">
      <c r="B4" s="153" t="s">
        <v>834</v>
      </c>
      <c r="C4" s="152" t="s">
        <v>631</v>
      </c>
      <c r="D4" s="152" t="s">
        <v>836</v>
      </c>
      <c r="E4" s="152"/>
      <c r="F4" s="152"/>
      <c r="G4" s="152"/>
    </row>
    <row r="5" spans="1:35" ht="15" customHeight="1" thickBot="1" x14ac:dyDescent="0.3">
      <c r="B5" s="154"/>
      <c r="C5" s="152" t="s">
        <v>632</v>
      </c>
      <c r="D5" s="152" t="s">
        <v>837</v>
      </c>
      <c r="E5" s="152"/>
      <c r="F5" s="152"/>
      <c r="G5" s="152"/>
    </row>
    <row r="6" spans="1:35" ht="15" customHeight="1" x14ac:dyDescent="0.25">
      <c r="C6" s="152"/>
      <c r="D6" s="152"/>
      <c r="E6" s="152"/>
      <c r="F6" s="152"/>
      <c r="G6" s="152"/>
    </row>
    <row r="7" spans="1:35" ht="15" customHeight="1" x14ac:dyDescent="0.25">
      <c r="A7" s="155"/>
      <c r="B7" s="156" t="s">
        <v>633</v>
      </c>
      <c r="AG7" s="157"/>
    </row>
    <row r="8" spans="1:35" ht="15" customHeight="1" x14ac:dyDescent="0.25">
      <c r="B8" s="14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7"/>
    </row>
    <row r="9" spans="1:35" ht="15" customHeight="1" thickBot="1" x14ac:dyDescent="0.3">
      <c r="A9" s="149" t="s">
        <v>635</v>
      </c>
      <c r="B9" s="149"/>
      <c r="C9" s="149"/>
      <c r="D9" s="149"/>
      <c r="E9" s="149">
        <f>E11</f>
        <v>2021</v>
      </c>
      <c r="F9" s="149">
        <f t="shared" ref="F9:AH9" si="0">F11</f>
        <v>2022</v>
      </c>
      <c r="G9" s="149">
        <f t="shared" si="0"/>
        <v>2023</v>
      </c>
      <c r="H9" s="149">
        <f t="shared" si="0"/>
        <v>2024</v>
      </c>
      <c r="I9" s="149">
        <f t="shared" si="0"/>
        <v>2025</v>
      </c>
      <c r="J9" s="149">
        <f t="shared" si="0"/>
        <v>2026</v>
      </c>
      <c r="K9" s="149">
        <f t="shared" si="0"/>
        <v>2027</v>
      </c>
      <c r="L9" s="149">
        <f t="shared" si="0"/>
        <v>2028</v>
      </c>
      <c r="M9" s="149">
        <f t="shared" si="0"/>
        <v>2029</v>
      </c>
      <c r="N9" s="149">
        <f t="shared" si="0"/>
        <v>2030</v>
      </c>
      <c r="O9" s="149">
        <f t="shared" si="0"/>
        <v>2031</v>
      </c>
      <c r="P9" s="149">
        <f t="shared" si="0"/>
        <v>2032</v>
      </c>
      <c r="Q9" s="149">
        <f t="shared" si="0"/>
        <v>2033</v>
      </c>
      <c r="R9" s="149">
        <f t="shared" si="0"/>
        <v>2034</v>
      </c>
      <c r="S9" s="149">
        <f t="shared" si="0"/>
        <v>2035</v>
      </c>
      <c r="T9" s="149">
        <f t="shared" si="0"/>
        <v>2036</v>
      </c>
      <c r="U9" s="149">
        <f t="shared" si="0"/>
        <v>2037</v>
      </c>
      <c r="V9" s="149">
        <f t="shared" si="0"/>
        <v>2038</v>
      </c>
      <c r="W9" s="149">
        <f t="shared" si="0"/>
        <v>2039</v>
      </c>
      <c r="X9" s="149">
        <f t="shared" si="0"/>
        <v>2040</v>
      </c>
      <c r="Y9" s="149">
        <f t="shared" si="0"/>
        <v>2041</v>
      </c>
      <c r="Z9" s="149">
        <f t="shared" si="0"/>
        <v>2042</v>
      </c>
      <c r="AA9" s="149">
        <f t="shared" si="0"/>
        <v>2043</v>
      </c>
      <c r="AB9" s="149">
        <f t="shared" si="0"/>
        <v>2044</v>
      </c>
      <c r="AC9" s="149">
        <f t="shared" si="0"/>
        <v>2045</v>
      </c>
      <c r="AD9" s="149">
        <f t="shared" si="0"/>
        <v>2046</v>
      </c>
      <c r="AE9" s="149">
        <f t="shared" si="0"/>
        <v>2047</v>
      </c>
      <c r="AF9" s="149">
        <f t="shared" si="0"/>
        <v>2048</v>
      </c>
      <c r="AG9" s="149">
        <f t="shared" si="0"/>
        <v>2049</v>
      </c>
      <c r="AH9" s="149">
        <f t="shared" si="0"/>
        <v>2050</v>
      </c>
    </row>
    <row r="10" spans="1:35" ht="15" customHeight="1" thickTop="1" x14ac:dyDescent="0.25"/>
    <row r="11" spans="1:35" ht="15" customHeight="1" x14ac:dyDescent="0.25">
      <c r="B11" t="s">
        <v>838</v>
      </c>
      <c r="C11" t="s">
        <v>839</v>
      </c>
      <c r="D11" t="s">
        <v>840</v>
      </c>
      <c r="E11">
        <v>2021</v>
      </c>
      <c r="F11">
        <v>2022</v>
      </c>
      <c r="G11">
        <v>2023</v>
      </c>
      <c r="H11">
        <v>2024</v>
      </c>
      <c r="I11">
        <v>2025</v>
      </c>
      <c r="J11">
        <v>2026</v>
      </c>
      <c r="K11">
        <v>2027</v>
      </c>
      <c r="L11">
        <v>2028</v>
      </c>
      <c r="M11">
        <v>2029</v>
      </c>
      <c r="N11">
        <v>2030</v>
      </c>
      <c r="O11">
        <v>2031</v>
      </c>
      <c r="P11">
        <v>2032</v>
      </c>
      <c r="Q11">
        <v>2033</v>
      </c>
      <c r="R11">
        <v>2034</v>
      </c>
      <c r="S11">
        <v>2035</v>
      </c>
      <c r="T11">
        <v>2036</v>
      </c>
      <c r="U11">
        <v>2037</v>
      </c>
      <c r="V11">
        <v>2038</v>
      </c>
      <c r="W11">
        <v>2039</v>
      </c>
      <c r="X11">
        <v>2040</v>
      </c>
      <c r="Y11">
        <v>2041</v>
      </c>
      <c r="Z11">
        <v>2042</v>
      </c>
      <c r="AA11">
        <v>2043</v>
      </c>
      <c r="AB11">
        <v>2044</v>
      </c>
      <c r="AC11">
        <v>2045</v>
      </c>
      <c r="AD11">
        <v>2046</v>
      </c>
      <c r="AE11">
        <v>2047</v>
      </c>
      <c r="AF11">
        <v>2048</v>
      </c>
      <c r="AG11">
        <v>2049</v>
      </c>
      <c r="AH11">
        <v>2050</v>
      </c>
      <c r="AI11" t="s">
        <v>841</v>
      </c>
    </row>
    <row r="12" spans="1:35" ht="15" customHeight="1" x14ac:dyDescent="0.25">
      <c r="A12" t="s">
        <v>842</v>
      </c>
    </row>
    <row r="13" spans="1:35" ht="15" customHeight="1" x14ac:dyDescent="0.25">
      <c r="A13" t="s">
        <v>843</v>
      </c>
      <c r="B13" t="s">
        <v>844</v>
      </c>
      <c r="C13" t="s">
        <v>845</v>
      </c>
      <c r="D13" t="s">
        <v>846</v>
      </c>
      <c r="F13">
        <v>102.129997</v>
      </c>
      <c r="G13">
        <v>91.544692999999995</v>
      </c>
      <c r="H13">
        <v>92.531395000000003</v>
      </c>
      <c r="I13">
        <v>87.048607000000004</v>
      </c>
      <c r="J13">
        <v>87.882819999999995</v>
      </c>
      <c r="K13">
        <v>88.306426999999999</v>
      </c>
      <c r="L13">
        <v>88.879097000000002</v>
      </c>
      <c r="M13">
        <v>89.470894000000001</v>
      </c>
      <c r="N13">
        <v>90.163071000000002</v>
      </c>
      <c r="O13">
        <v>90.724143999999995</v>
      </c>
      <c r="P13">
        <v>91.546386999999996</v>
      </c>
      <c r="Q13">
        <v>92.007187000000002</v>
      </c>
      <c r="R13">
        <v>92.694916000000006</v>
      </c>
      <c r="S13">
        <v>93.552750000000003</v>
      </c>
      <c r="T13">
        <v>94.142882999999998</v>
      </c>
      <c r="U13">
        <v>94.796172999999996</v>
      </c>
      <c r="V13">
        <v>95.331740999999994</v>
      </c>
      <c r="W13">
        <v>95.867317</v>
      </c>
      <c r="X13">
        <v>96.392180999999994</v>
      </c>
      <c r="Y13">
        <v>96.938461000000004</v>
      </c>
      <c r="Z13">
        <v>97.381507999999997</v>
      </c>
      <c r="AA13">
        <v>97.758681999999993</v>
      </c>
      <c r="AB13">
        <v>98.241776000000002</v>
      </c>
      <c r="AC13">
        <v>98.596687000000003</v>
      </c>
      <c r="AD13">
        <v>99.377373000000006</v>
      </c>
      <c r="AE13">
        <v>99.794150999999999</v>
      </c>
      <c r="AF13">
        <v>100.384407</v>
      </c>
      <c r="AG13">
        <v>101.06875599999999</v>
      </c>
      <c r="AH13">
        <v>101.34071400000001</v>
      </c>
      <c r="AI13" s="159">
        <v>0</v>
      </c>
    </row>
    <row r="14" spans="1:35" ht="15" customHeight="1" x14ac:dyDescent="0.25">
      <c r="A14" t="s">
        <v>847</v>
      </c>
      <c r="B14" t="s">
        <v>848</v>
      </c>
      <c r="C14" t="s">
        <v>849</v>
      </c>
      <c r="D14" t="s">
        <v>846</v>
      </c>
      <c r="F14">
        <v>95.875998999999993</v>
      </c>
      <c r="G14">
        <v>85.782882999999998</v>
      </c>
      <c r="H14">
        <v>91.164046999999997</v>
      </c>
      <c r="I14">
        <v>85.233161999999993</v>
      </c>
      <c r="J14">
        <v>85.255095999999995</v>
      </c>
      <c r="K14">
        <v>85.532898000000003</v>
      </c>
      <c r="L14">
        <v>86.264731999999995</v>
      </c>
      <c r="M14">
        <v>86.738144000000005</v>
      </c>
      <c r="N14">
        <v>87.188271</v>
      </c>
      <c r="O14">
        <v>87.748749000000004</v>
      </c>
      <c r="P14">
        <v>88.512123000000003</v>
      </c>
      <c r="Q14">
        <v>88.937447000000006</v>
      </c>
      <c r="R14">
        <v>89.608727000000002</v>
      </c>
      <c r="S14">
        <v>90.032150000000001</v>
      </c>
      <c r="T14">
        <v>90.825806</v>
      </c>
      <c r="U14">
        <v>91.434028999999995</v>
      </c>
      <c r="V14">
        <v>91.807198</v>
      </c>
      <c r="W14">
        <v>92.341896000000006</v>
      </c>
      <c r="X14">
        <v>92.759917999999999</v>
      </c>
      <c r="Y14">
        <v>93.263626000000002</v>
      </c>
      <c r="Z14">
        <v>93.719948000000002</v>
      </c>
      <c r="AA14">
        <v>94.111892999999995</v>
      </c>
      <c r="AB14">
        <v>94.517478999999994</v>
      </c>
      <c r="AC14">
        <v>94.856955999999997</v>
      </c>
      <c r="AD14">
        <v>95.591453999999999</v>
      </c>
      <c r="AE14">
        <v>96.024887000000007</v>
      </c>
      <c r="AF14">
        <v>96.717949000000004</v>
      </c>
      <c r="AG14">
        <v>97.444785999999993</v>
      </c>
      <c r="AH14">
        <v>97.681374000000005</v>
      </c>
      <c r="AI14" s="159">
        <v>1E-3</v>
      </c>
    </row>
    <row r="15" spans="1:35" ht="15" customHeight="1" x14ac:dyDescent="0.25">
      <c r="A15" t="s">
        <v>850</v>
      </c>
      <c r="B15" t="s">
        <v>851</v>
      </c>
      <c r="C15" t="s">
        <v>852</v>
      </c>
      <c r="D15" t="s">
        <v>846</v>
      </c>
      <c r="F15">
        <v>93.169998000000007</v>
      </c>
      <c r="G15">
        <v>83.181426999999999</v>
      </c>
      <c r="H15">
        <v>89.115829000000005</v>
      </c>
      <c r="I15">
        <v>83.701424000000003</v>
      </c>
      <c r="J15">
        <v>83.868926999999999</v>
      </c>
      <c r="K15">
        <v>84.332938999999996</v>
      </c>
      <c r="L15">
        <v>84.598572000000004</v>
      </c>
      <c r="M15">
        <v>85.159949999999995</v>
      </c>
      <c r="N15">
        <v>85.657050999999996</v>
      </c>
      <c r="O15">
        <v>85.925101999999995</v>
      </c>
      <c r="P15">
        <v>86.563086999999996</v>
      </c>
      <c r="Q15">
        <v>86.998703000000006</v>
      </c>
      <c r="R15">
        <v>87.270179999999996</v>
      </c>
      <c r="S15">
        <v>87.783455000000004</v>
      </c>
      <c r="T15">
        <v>88.702636999999996</v>
      </c>
      <c r="U15">
        <v>89.085898999999998</v>
      </c>
      <c r="V15">
        <v>89.644301999999996</v>
      </c>
      <c r="W15">
        <v>90.130309999999994</v>
      </c>
      <c r="X15">
        <v>90.801186000000001</v>
      </c>
      <c r="Y15">
        <v>91.362633000000002</v>
      </c>
      <c r="Z15">
        <v>91.912300000000002</v>
      </c>
      <c r="AA15">
        <v>91.944991999999999</v>
      </c>
      <c r="AB15">
        <v>92.211074999999994</v>
      </c>
      <c r="AC15">
        <v>92.521377999999999</v>
      </c>
      <c r="AD15">
        <v>93.186806000000004</v>
      </c>
      <c r="AE15">
        <v>93.653473000000005</v>
      </c>
      <c r="AF15">
        <v>94.190331</v>
      </c>
      <c r="AG15">
        <v>94.782402000000005</v>
      </c>
      <c r="AH15">
        <v>95.239243000000002</v>
      </c>
      <c r="AI15" s="159">
        <v>1E-3</v>
      </c>
    </row>
    <row r="16" spans="1:35" ht="15" customHeight="1" x14ac:dyDescent="0.25">
      <c r="A16" t="s">
        <v>853</v>
      </c>
      <c r="B16" t="s">
        <v>854</v>
      </c>
      <c r="C16" t="s">
        <v>855</v>
      </c>
      <c r="D16" t="s">
        <v>846</v>
      </c>
      <c r="F16">
        <v>6.2539980000000002</v>
      </c>
      <c r="G16">
        <v>5.7618099999999997</v>
      </c>
      <c r="H16">
        <v>1.367348</v>
      </c>
      <c r="I16">
        <v>1.815445</v>
      </c>
      <c r="J16">
        <v>2.6277240000000002</v>
      </c>
      <c r="K16">
        <v>2.7735289999999999</v>
      </c>
      <c r="L16">
        <v>2.6143649999999998</v>
      </c>
      <c r="M16">
        <v>2.7327499999999998</v>
      </c>
      <c r="N16">
        <v>2.9748000000000001</v>
      </c>
      <c r="O16">
        <v>2.9753949999999998</v>
      </c>
      <c r="P16">
        <v>3.0342639999999999</v>
      </c>
      <c r="Q16">
        <v>3.0697399999999999</v>
      </c>
      <c r="R16">
        <v>3.0861890000000001</v>
      </c>
      <c r="S16">
        <v>3.5205989999999998</v>
      </c>
      <c r="T16">
        <v>3.317078</v>
      </c>
      <c r="U16">
        <v>3.3621439999999998</v>
      </c>
      <c r="V16">
        <v>3.5245440000000001</v>
      </c>
      <c r="W16">
        <v>3.5254210000000001</v>
      </c>
      <c r="X16">
        <v>3.632263</v>
      </c>
      <c r="Y16">
        <v>3.6748349999999999</v>
      </c>
      <c r="Z16">
        <v>3.6615600000000001</v>
      </c>
      <c r="AA16">
        <v>3.6467900000000002</v>
      </c>
      <c r="AB16">
        <v>3.724297</v>
      </c>
      <c r="AC16">
        <v>3.7397309999999999</v>
      </c>
      <c r="AD16">
        <v>3.7859189999999998</v>
      </c>
      <c r="AE16">
        <v>3.7692640000000002</v>
      </c>
      <c r="AF16">
        <v>3.666458</v>
      </c>
      <c r="AG16">
        <v>3.6239699999999999</v>
      </c>
      <c r="AH16">
        <v>3.6593399999999998</v>
      </c>
      <c r="AI16" s="159">
        <v>-1.9E-2</v>
      </c>
    </row>
    <row r="17" spans="1:35" ht="15" customHeight="1" x14ac:dyDescent="0.25">
      <c r="A17" t="s">
        <v>637</v>
      </c>
    </row>
    <row r="18" spans="1:35" ht="15" customHeight="1" x14ac:dyDescent="0.25">
      <c r="A18" t="s">
        <v>856</v>
      </c>
    </row>
    <row r="19" spans="1:35" ht="15" customHeight="1" x14ac:dyDescent="0.25">
      <c r="A19" t="s">
        <v>857</v>
      </c>
      <c r="B19" t="s">
        <v>858</v>
      </c>
      <c r="C19" t="s">
        <v>859</v>
      </c>
      <c r="D19" t="s">
        <v>860</v>
      </c>
      <c r="F19">
        <v>2.6643159999999999</v>
      </c>
      <c r="G19">
        <v>2.8630779999999998</v>
      </c>
      <c r="H19">
        <v>2.8797419999999998</v>
      </c>
      <c r="I19">
        <v>2.7814679999999998</v>
      </c>
      <c r="J19">
        <v>2.681082</v>
      </c>
      <c r="K19">
        <v>2.6001979999999998</v>
      </c>
      <c r="L19">
        <v>2.5540069999999999</v>
      </c>
      <c r="M19">
        <v>2.536594</v>
      </c>
      <c r="N19">
        <v>2.5447959999999998</v>
      </c>
      <c r="O19">
        <v>2.571148</v>
      </c>
      <c r="P19">
        <v>2.6134659999999998</v>
      </c>
      <c r="Q19">
        <v>2.6673170000000002</v>
      </c>
      <c r="R19">
        <v>2.7211690000000002</v>
      </c>
      <c r="S19">
        <v>2.7643490000000002</v>
      </c>
      <c r="T19">
        <v>2.796783</v>
      </c>
      <c r="U19">
        <v>2.8257850000000002</v>
      </c>
      <c r="V19">
        <v>2.8631180000000001</v>
      </c>
      <c r="W19">
        <v>2.8814160000000002</v>
      </c>
      <c r="X19">
        <v>2.9110900000000002</v>
      </c>
      <c r="Y19">
        <v>2.9402020000000002</v>
      </c>
      <c r="Z19">
        <v>2.961004</v>
      </c>
      <c r="AA19">
        <v>2.971813</v>
      </c>
      <c r="AB19">
        <v>2.9747400000000002</v>
      </c>
      <c r="AC19">
        <v>2.9815019999999999</v>
      </c>
      <c r="AD19">
        <v>3.0013160000000001</v>
      </c>
      <c r="AE19">
        <v>3.0050089999999998</v>
      </c>
      <c r="AF19">
        <v>3.012823</v>
      </c>
      <c r="AG19">
        <v>3.015603</v>
      </c>
      <c r="AH19">
        <v>3.0145979999999999</v>
      </c>
      <c r="AI19" s="159">
        <v>4.0000000000000001E-3</v>
      </c>
    </row>
    <row r="20" spans="1:35" x14ac:dyDescent="0.25">
      <c r="A20" t="s">
        <v>861</v>
      </c>
      <c r="B20" t="s">
        <v>862</v>
      </c>
      <c r="C20" t="s">
        <v>863</v>
      </c>
      <c r="D20" t="s">
        <v>860</v>
      </c>
      <c r="F20">
        <v>4.8463640000000003</v>
      </c>
      <c r="G20">
        <v>4.5140390000000004</v>
      </c>
      <c r="H20">
        <v>4.347709</v>
      </c>
      <c r="I20">
        <v>4.1217839999999999</v>
      </c>
      <c r="J20">
        <v>4.0582060000000002</v>
      </c>
      <c r="K20">
        <v>3.9971329999999998</v>
      </c>
      <c r="L20">
        <v>3.9580090000000001</v>
      </c>
      <c r="M20">
        <v>3.9700790000000001</v>
      </c>
      <c r="N20">
        <v>3.9710869999999998</v>
      </c>
      <c r="O20">
        <v>3.995463</v>
      </c>
      <c r="P20">
        <v>4.0073780000000001</v>
      </c>
      <c r="Q20">
        <v>4.0234160000000001</v>
      </c>
      <c r="R20">
        <v>4.0295750000000004</v>
      </c>
      <c r="S20">
        <v>4.053515</v>
      </c>
      <c r="T20">
        <v>4.0556989999999997</v>
      </c>
      <c r="U20">
        <v>4.0724479999999996</v>
      </c>
      <c r="V20">
        <v>4.0845859999999998</v>
      </c>
      <c r="W20">
        <v>4.0903140000000002</v>
      </c>
      <c r="X20">
        <v>4.0967500000000001</v>
      </c>
      <c r="Y20">
        <v>4.1182420000000004</v>
      </c>
      <c r="Z20">
        <v>4.1173159999999998</v>
      </c>
      <c r="AA20">
        <v>4.1329140000000004</v>
      </c>
      <c r="AB20">
        <v>4.1198990000000002</v>
      </c>
      <c r="AC20">
        <v>4.1259519999999998</v>
      </c>
      <c r="AD20">
        <v>4.1547200000000002</v>
      </c>
      <c r="AE20">
        <v>4.1582730000000003</v>
      </c>
      <c r="AF20">
        <v>4.1627400000000003</v>
      </c>
      <c r="AG20">
        <v>4.1717849999999999</v>
      </c>
      <c r="AH20">
        <v>4.1716879999999996</v>
      </c>
      <c r="AI20" s="159">
        <v>-5.0000000000000001E-3</v>
      </c>
    </row>
    <row r="21" spans="1:35" x14ac:dyDescent="0.25">
      <c r="A21" t="s">
        <v>864</v>
      </c>
    </row>
    <row r="22" spans="1:35" x14ac:dyDescent="0.25">
      <c r="A22" t="s">
        <v>861</v>
      </c>
      <c r="B22" t="s">
        <v>865</v>
      </c>
      <c r="C22" t="s">
        <v>866</v>
      </c>
      <c r="D22" t="s">
        <v>860</v>
      </c>
      <c r="F22">
        <v>4.8492800000000003</v>
      </c>
      <c r="G22">
        <v>4.5354159999999997</v>
      </c>
      <c r="H22">
        <v>4.2103200000000003</v>
      </c>
      <c r="I22">
        <v>3.8251140000000001</v>
      </c>
      <c r="J22">
        <v>3.5996990000000002</v>
      </c>
      <c r="K22">
        <v>3.3800509999999999</v>
      </c>
      <c r="L22">
        <v>3.1807460000000001</v>
      </c>
      <c r="M22">
        <v>3.1921550000000001</v>
      </c>
      <c r="N22">
        <v>3.1924000000000001</v>
      </c>
      <c r="O22">
        <v>3.215271</v>
      </c>
      <c r="P22">
        <v>3.2281240000000002</v>
      </c>
      <c r="Q22">
        <v>3.2425609999999998</v>
      </c>
      <c r="R22">
        <v>3.2499929999999999</v>
      </c>
      <c r="S22">
        <v>3.2709790000000001</v>
      </c>
      <c r="T22">
        <v>3.2745950000000001</v>
      </c>
      <c r="U22">
        <v>3.290133</v>
      </c>
      <c r="V22">
        <v>3.301542</v>
      </c>
      <c r="W22">
        <v>3.3072140000000001</v>
      </c>
      <c r="X22">
        <v>3.313672</v>
      </c>
      <c r="Y22">
        <v>3.3349549999999999</v>
      </c>
      <c r="Z22">
        <v>3.3340209999999999</v>
      </c>
      <c r="AA22">
        <v>3.3497509999999999</v>
      </c>
      <c r="AB22">
        <v>3.3373059999999999</v>
      </c>
      <c r="AC22">
        <v>3.346911</v>
      </c>
      <c r="AD22">
        <v>3.418501</v>
      </c>
      <c r="AE22">
        <v>3.4204050000000001</v>
      </c>
      <c r="AF22">
        <v>3.4248080000000001</v>
      </c>
      <c r="AG22">
        <v>3.4345129999999999</v>
      </c>
      <c r="AH22">
        <v>3.434647</v>
      </c>
      <c r="AI22" s="159">
        <v>-1.2E-2</v>
      </c>
    </row>
    <row r="23" spans="1:35" x14ac:dyDescent="0.25">
      <c r="A23" t="s">
        <v>867</v>
      </c>
      <c r="B23" t="s">
        <v>868</v>
      </c>
      <c r="C23" t="s">
        <v>869</v>
      </c>
      <c r="D23" t="s">
        <v>860</v>
      </c>
      <c r="F23">
        <v>1.8904399999999999</v>
      </c>
      <c r="G23">
        <v>1.177325</v>
      </c>
      <c r="H23">
        <v>1.412236</v>
      </c>
      <c r="I23">
        <v>1.457727</v>
      </c>
      <c r="J23">
        <v>1.666647</v>
      </c>
      <c r="K23">
        <v>1.8763049999999999</v>
      </c>
      <c r="L23">
        <v>2.0994519999999999</v>
      </c>
      <c r="M23">
        <v>2.1110579999999999</v>
      </c>
      <c r="N23">
        <v>2.1236519999999999</v>
      </c>
      <c r="O23">
        <v>2.139758</v>
      </c>
      <c r="P23">
        <v>2.154433</v>
      </c>
      <c r="Q23">
        <v>2.1678649999999999</v>
      </c>
      <c r="R23">
        <v>2.1828439999999998</v>
      </c>
      <c r="S23">
        <v>2.1996030000000002</v>
      </c>
      <c r="T23">
        <v>2.2129699999999999</v>
      </c>
      <c r="U23">
        <v>2.227471</v>
      </c>
      <c r="V23">
        <v>2.2432460000000001</v>
      </c>
      <c r="W23">
        <v>2.2532719999999999</v>
      </c>
      <c r="X23">
        <v>2.2659319999999998</v>
      </c>
      <c r="Y23">
        <v>2.2849089999999999</v>
      </c>
      <c r="Z23">
        <v>2.286969</v>
      </c>
      <c r="AA23">
        <v>2.2973309999999998</v>
      </c>
      <c r="AB23">
        <v>2.3017270000000001</v>
      </c>
      <c r="AC23">
        <v>2.3101980000000002</v>
      </c>
      <c r="AD23">
        <v>2.334409</v>
      </c>
      <c r="AE23">
        <v>2.3342909999999999</v>
      </c>
      <c r="AF23">
        <v>2.352319</v>
      </c>
      <c r="AG23">
        <v>2.365767</v>
      </c>
      <c r="AH23">
        <v>2.3760479999999999</v>
      </c>
      <c r="AI23" s="159">
        <v>8.0000000000000002E-3</v>
      </c>
    </row>
    <row r="24" spans="1:35" x14ac:dyDescent="0.25">
      <c r="A24" t="s">
        <v>870</v>
      </c>
      <c r="B24" t="s">
        <v>868</v>
      </c>
      <c r="C24" t="s">
        <v>871</v>
      </c>
      <c r="D24" t="s">
        <v>846</v>
      </c>
      <c r="F24">
        <v>79.398491000000007</v>
      </c>
      <c r="G24">
        <v>49.447670000000002</v>
      </c>
      <c r="H24">
        <v>59.313910999999997</v>
      </c>
      <c r="I24">
        <v>61.224522</v>
      </c>
      <c r="J24">
        <v>69.999184</v>
      </c>
      <c r="K24">
        <v>78.804794000000001</v>
      </c>
      <c r="L24">
        <v>88.176963999999998</v>
      </c>
      <c r="M24">
        <v>88.664444000000003</v>
      </c>
      <c r="N24">
        <v>89.193382</v>
      </c>
      <c r="O24">
        <v>89.869820000000004</v>
      </c>
      <c r="P24">
        <v>90.486191000000005</v>
      </c>
      <c r="Q24">
        <v>91.050346000000005</v>
      </c>
      <c r="R24">
        <v>91.679443000000006</v>
      </c>
      <c r="S24">
        <v>92.383324000000002</v>
      </c>
      <c r="T24">
        <v>92.944762999999995</v>
      </c>
      <c r="U24">
        <v>93.553771999999995</v>
      </c>
      <c r="V24">
        <v>94.216346999999999</v>
      </c>
      <c r="W24">
        <v>94.637428</v>
      </c>
      <c r="X24">
        <v>95.169144000000003</v>
      </c>
      <c r="Y24">
        <v>95.966194000000002</v>
      </c>
      <c r="Z24">
        <v>96.052711000000002</v>
      </c>
      <c r="AA24">
        <v>96.487915000000001</v>
      </c>
      <c r="AB24">
        <v>96.672522999999998</v>
      </c>
      <c r="AC24">
        <v>97.028312999999997</v>
      </c>
      <c r="AD24">
        <v>98.045188999999993</v>
      </c>
      <c r="AE24">
        <v>98.040199000000001</v>
      </c>
      <c r="AF24">
        <v>98.797393999999997</v>
      </c>
      <c r="AG24">
        <v>99.362212999999997</v>
      </c>
      <c r="AH24">
        <v>99.794021999999998</v>
      </c>
      <c r="AI24" s="159">
        <v>8.0000000000000002E-3</v>
      </c>
    </row>
    <row r="25" spans="1:35" x14ac:dyDescent="0.25">
      <c r="A25" t="s">
        <v>872</v>
      </c>
    </row>
    <row r="26" spans="1:35" x14ac:dyDescent="0.25">
      <c r="A26" t="s">
        <v>857</v>
      </c>
      <c r="B26" t="s">
        <v>873</v>
      </c>
      <c r="C26" t="s">
        <v>874</v>
      </c>
      <c r="D26" t="s">
        <v>860</v>
      </c>
      <c r="F26">
        <v>2.1431879999999999</v>
      </c>
      <c r="G26">
        <v>1.963403</v>
      </c>
      <c r="H26">
        <v>1.7563899999999999</v>
      </c>
      <c r="I26">
        <v>1.5550539999999999</v>
      </c>
      <c r="J26">
        <v>1.457074</v>
      </c>
      <c r="K26">
        <v>1.405451</v>
      </c>
      <c r="L26">
        <v>1.396488</v>
      </c>
      <c r="M26">
        <v>1.408512</v>
      </c>
      <c r="N26">
        <v>1.438361</v>
      </c>
      <c r="O26">
        <v>1.4768140000000001</v>
      </c>
      <c r="P26">
        <v>1.5256419999999999</v>
      </c>
      <c r="Q26">
        <v>1.5801799999999999</v>
      </c>
      <c r="R26">
        <v>1.6250610000000001</v>
      </c>
      <c r="S26">
        <v>1.651143</v>
      </c>
      <c r="T26">
        <v>1.666981</v>
      </c>
      <c r="U26">
        <v>1.6858869999999999</v>
      </c>
      <c r="V26">
        <v>1.722269</v>
      </c>
      <c r="W26">
        <v>1.7224630000000001</v>
      </c>
      <c r="X26">
        <v>1.753614</v>
      </c>
      <c r="Y26">
        <v>1.7780860000000001</v>
      </c>
      <c r="Z26">
        <v>1.788373</v>
      </c>
      <c r="AA26">
        <v>1.7879309999999999</v>
      </c>
      <c r="AB26">
        <v>1.7823910000000001</v>
      </c>
      <c r="AC26">
        <v>1.7880469999999999</v>
      </c>
      <c r="AD26">
        <v>1.787463</v>
      </c>
      <c r="AE26">
        <v>1.791263</v>
      </c>
      <c r="AF26">
        <v>1.801131</v>
      </c>
      <c r="AG26">
        <v>1.7997559999999999</v>
      </c>
      <c r="AH26">
        <v>1.795212</v>
      </c>
      <c r="AI26" s="159">
        <v>-6.0000000000000001E-3</v>
      </c>
    </row>
    <row r="27" spans="1:35" x14ac:dyDescent="0.25">
      <c r="A27" t="s">
        <v>861</v>
      </c>
      <c r="B27" t="s">
        <v>875</v>
      </c>
      <c r="C27" t="s">
        <v>876</v>
      </c>
      <c r="D27" t="s">
        <v>860</v>
      </c>
      <c r="F27">
        <v>4.838775</v>
      </c>
      <c r="G27">
        <v>4.5111429999999997</v>
      </c>
      <c r="H27">
        <v>4.191262</v>
      </c>
      <c r="I27">
        <v>3.8006980000000001</v>
      </c>
      <c r="J27">
        <v>3.5697489999999998</v>
      </c>
      <c r="K27">
        <v>3.345469</v>
      </c>
      <c r="L27">
        <v>3.1411560000000001</v>
      </c>
      <c r="M27">
        <v>3.154404</v>
      </c>
      <c r="N27">
        <v>3.1552929999999999</v>
      </c>
      <c r="O27">
        <v>3.178633</v>
      </c>
      <c r="P27">
        <v>3.1927840000000001</v>
      </c>
      <c r="Q27">
        <v>3.2095259999999999</v>
      </c>
      <c r="R27">
        <v>3.2171979999999998</v>
      </c>
      <c r="S27">
        <v>3.2407659999999998</v>
      </c>
      <c r="T27">
        <v>3.244532</v>
      </c>
      <c r="U27">
        <v>3.2617189999999998</v>
      </c>
      <c r="V27">
        <v>3.2740960000000001</v>
      </c>
      <c r="W27">
        <v>3.2807770000000001</v>
      </c>
      <c r="X27">
        <v>3.2883239999999998</v>
      </c>
      <c r="Y27">
        <v>3.3109489999999999</v>
      </c>
      <c r="Z27">
        <v>3.3110439999999999</v>
      </c>
      <c r="AA27">
        <v>3.3282090000000002</v>
      </c>
      <c r="AB27">
        <v>3.3171210000000002</v>
      </c>
      <c r="AC27">
        <v>3.3249339999999998</v>
      </c>
      <c r="AD27">
        <v>3.355874</v>
      </c>
      <c r="AE27">
        <v>3.359229</v>
      </c>
      <c r="AF27">
        <v>3.3648400000000001</v>
      </c>
      <c r="AG27">
        <v>3.3754819999999999</v>
      </c>
      <c r="AH27">
        <v>3.3764479999999999</v>
      </c>
      <c r="AI27" s="159">
        <v>-1.2999999999999999E-2</v>
      </c>
    </row>
    <row r="28" spans="1:35" x14ac:dyDescent="0.25">
      <c r="A28" t="s">
        <v>867</v>
      </c>
      <c r="B28" t="s">
        <v>877</v>
      </c>
      <c r="C28" t="s">
        <v>878</v>
      </c>
      <c r="D28" t="s">
        <v>860</v>
      </c>
      <c r="F28">
        <v>1.9976419999999999</v>
      </c>
      <c r="G28">
        <v>1.271792</v>
      </c>
      <c r="H28">
        <v>1.5221199999999999</v>
      </c>
      <c r="I28">
        <v>1.607081</v>
      </c>
      <c r="J28">
        <v>1.83802</v>
      </c>
      <c r="K28">
        <v>2.0842230000000002</v>
      </c>
      <c r="L28">
        <v>2.326254</v>
      </c>
      <c r="M28">
        <v>2.3387730000000002</v>
      </c>
      <c r="N28">
        <v>2.3543880000000001</v>
      </c>
      <c r="O28">
        <v>2.372655</v>
      </c>
      <c r="P28">
        <v>2.3906550000000002</v>
      </c>
      <c r="Q28">
        <v>2.4077679999999999</v>
      </c>
      <c r="R28">
        <v>2.4258229999999998</v>
      </c>
      <c r="S28">
        <v>2.4452539999999998</v>
      </c>
      <c r="T28">
        <v>2.460013</v>
      </c>
      <c r="U28">
        <v>2.4755509999999998</v>
      </c>
      <c r="V28">
        <v>2.4935779999999999</v>
      </c>
      <c r="W28">
        <v>2.5050490000000001</v>
      </c>
      <c r="X28">
        <v>2.519933</v>
      </c>
      <c r="Y28">
        <v>2.5404770000000001</v>
      </c>
      <c r="Z28">
        <v>2.5436290000000001</v>
      </c>
      <c r="AA28">
        <v>2.5546519999999999</v>
      </c>
      <c r="AB28">
        <v>2.5531950000000001</v>
      </c>
      <c r="AC28">
        <v>2.5622569999999998</v>
      </c>
      <c r="AD28">
        <v>2.5884939999999999</v>
      </c>
      <c r="AE28">
        <v>2.5892140000000001</v>
      </c>
      <c r="AF28">
        <v>2.6063320000000001</v>
      </c>
      <c r="AG28">
        <v>2.6191870000000002</v>
      </c>
      <c r="AH28">
        <v>2.630169</v>
      </c>
      <c r="AI28" s="159">
        <v>0.01</v>
      </c>
    </row>
    <row r="29" spans="1:35" ht="15" customHeight="1" x14ac:dyDescent="0.25">
      <c r="A29" t="s">
        <v>870</v>
      </c>
      <c r="B29" t="s">
        <v>877</v>
      </c>
      <c r="C29" t="s">
        <v>879</v>
      </c>
      <c r="D29" t="s">
        <v>846</v>
      </c>
      <c r="F29">
        <v>83.900963000000004</v>
      </c>
      <c r="G29">
        <v>53.415267999999998</v>
      </c>
      <c r="H29">
        <v>63.929031000000002</v>
      </c>
      <c r="I29">
        <v>67.497398000000004</v>
      </c>
      <c r="J29">
        <v>77.196831000000003</v>
      </c>
      <c r="K29">
        <v>87.537368999999998</v>
      </c>
      <c r="L29">
        <v>97.702674999999999</v>
      </c>
      <c r="M29">
        <v>98.228470000000002</v>
      </c>
      <c r="N29">
        <v>98.884315000000001</v>
      </c>
      <c r="O29">
        <v>99.651497000000006</v>
      </c>
      <c r="P29">
        <v>100.407509</v>
      </c>
      <c r="Q29">
        <v>101.12623600000001</v>
      </c>
      <c r="R29">
        <v>101.88458300000001</v>
      </c>
      <c r="S29">
        <v>102.700684</v>
      </c>
      <c r="T29">
        <v>103.320564</v>
      </c>
      <c r="U29">
        <v>103.97315999999999</v>
      </c>
      <c r="V29">
        <v>104.730293</v>
      </c>
      <c r="W29">
        <v>105.212067</v>
      </c>
      <c r="X29">
        <v>105.837181</v>
      </c>
      <c r="Y29">
        <v>106.70005</v>
      </c>
      <c r="Z29">
        <v>106.83242799999999</v>
      </c>
      <c r="AA29">
        <v>107.295372</v>
      </c>
      <c r="AB29">
        <v>107.23421500000001</v>
      </c>
      <c r="AC29">
        <v>107.614799</v>
      </c>
      <c r="AD29">
        <v>108.716728</v>
      </c>
      <c r="AE29">
        <v>108.746979</v>
      </c>
      <c r="AF29">
        <v>109.46595000000001</v>
      </c>
      <c r="AG29">
        <v>110.005844</v>
      </c>
      <c r="AH29">
        <v>110.467102</v>
      </c>
      <c r="AI29" s="159">
        <v>0.01</v>
      </c>
    </row>
    <row r="30" spans="1:35" ht="15" customHeight="1" x14ac:dyDescent="0.25">
      <c r="A30" t="s">
        <v>880</v>
      </c>
    </row>
    <row r="31" spans="1:35" ht="15" customHeight="1" x14ac:dyDescent="0.25">
      <c r="A31" t="s">
        <v>857</v>
      </c>
      <c r="B31" t="s">
        <v>881</v>
      </c>
      <c r="C31" t="s">
        <v>882</v>
      </c>
      <c r="D31" t="s">
        <v>860</v>
      </c>
      <c r="F31">
        <v>2.3479260000000002</v>
      </c>
      <c r="G31">
        <v>2.2066249999999998</v>
      </c>
      <c r="H31">
        <v>2.0551140000000001</v>
      </c>
      <c r="I31">
        <v>1.9036690000000001</v>
      </c>
      <c r="J31">
        <v>1.8289500000000001</v>
      </c>
      <c r="K31">
        <v>1.788991</v>
      </c>
      <c r="L31">
        <v>1.7826040000000001</v>
      </c>
      <c r="M31">
        <v>1.7926709999999999</v>
      </c>
      <c r="N31">
        <v>1.816743</v>
      </c>
      <c r="O31">
        <v>1.847197</v>
      </c>
      <c r="P31">
        <v>1.885391</v>
      </c>
      <c r="Q31">
        <v>1.9274119999999999</v>
      </c>
      <c r="R31">
        <v>1.9613529999999999</v>
      </c>
      <c r="S31">
        <v>1.9806859999999999</v>
      </c>
      <c r="T31">
        <v>1.9923599999999999</v>
      </c>
      <c r="U31">
        <v>2.0064739999999999</v>
      </c>
      <c r="V31">
        <v>2.0337640000000001</v>
      </c>
      <c r="W31">
        <v>2.033407</v>
      </c>
      <c r="X31">
        <v>2.056775</v>
      </c>
      <c r="Y31">
        <v>2.074668</v>
      </c>
      <c r="Z31">
        <v>2.0819719999999999</v>
      </c>
      <c r="AA31">
        <v>2.0814759999999999</v>
      </c>
      <c r="AB31">
        <v>2.0773579999999998</v>
      </c>
      <c r="AC31">
        <v>2.082856</v>
      </c>
      <c r="AD31">
        <v>2.1056810000000001</v>
      </c>
      <c r="AE31">
        <v>2.108654</v>
      </c>
      <c r="AF31">
        <v>2.1160830000000002</v>
      </c>
      <c r="AG31">
        <v>2.115075</v>
      </c>
      <c r="AH31">
        <v>2.1118459999999999</v>
      </c>
      <c r="AI31" s="159">
        <v>-4.0000000000000001E-3</v>
      </c>
    </row>
    <row r="32" spans="1:35" ht="15" customHeight="1" x14ac:dyDescent="0.25">
      <c r="A32" t="s">
        <v>883</v>
      </c>
      <c r="B32" t="s">
        <v>884</v>
      </c>
      <c r="C32" t="s">
        <v>885</v>
      </c>
      <c r="D32" t="s">
        <v>860</v>
      </c>
      <c r="F32">
        <v>3.6287739999999999</v>
      </c>
      <c r="G32">
        <v>3.2092299999999998</v>
      </c>
      <c r="H32">
        <v>3.082716</v>
      </c>
      <c r="I32">
        <v>2.877373</v>
      </c>
      <c r="J32">
        <v>2.8500909999999999</v>
      </c>
      <c r="K32">
        <v>2.8347180000000001</v>
      </c>
      <c r="L32">
        <v>2.8384230000000001</v>
      </c>
      <c r="M32">
        <v>2.8456999999999999</v>
      </c>
      <c r="N32">
        <v>2.8585970000000001</v>
      </c>
      <c r="O32">
        <v>2.856427</v>
      </c>
      <c r="P32">
        <v>2.8747340000000001</v>
      </c>
      <c r="Q32">
        <v>2.8845730000000001</v>
      </c>
      <c r="R32">
        <v>2.8976389999999999</v>
      </c>
      <c r="S32">
        <v>2.90673</v>
      </c>
      <c r="T32">
        <v>2.941217</v>
      </c>
      <c r="U32">
        <v>2.9479160000000002</v>
      </c>
      <c r="V32">
        <v>2.959406</v>
      </c>
      <c r="W32">
        <v>2.974275</v>
      </c>
      <c r="X32">
        <v>2.9800339999999998</v>
      </c>
      <c r="Y32">
        <v>2.981684</v>
      </c>
      <c r="Z32">
        <v>2.9911240000000001</v>
      </c>
      <c r="AA32">
        <v>2.98021</v>
      </c>
      <c r="AB32">
        <v>3.0009670000000002</v>
      </c>
      <c r="AC32">
        <v>3.0034200000000002</v>
      </c>
      <c r="AD32">
        <v>3.083377</v>
      </c>
      <c r="AE32">
        <v>3.0842700000000001</v>
      </c>
      <c r="AF32">
        <v>3.111135</v>
      </c>
      <c r="AG32">
        <v>3.1206330000000002</v>
      </c>
      <c r="AH32">
        <v>3.1498550000000001</v>
      </c>
      <c r="AI32" s="159">
        <v>-5.0000000000000001E-3</v>
      </c>
    </row>
    <row r="33" spans="1:35" ht="15" customHeight="1" x14ac:dyDescent="0.25">
      <c r="A33" t="s">
        <v>886</v>
      </c>
      <c r="B33" t="s">
        <v>887</v>
      </c>
      <c r="C33" t="s">
        <v>888</v>
      </c>
      <c r="D33" t="s">
        <v>860</v>
      </c>
      <c r="F33">
        <v>1.5593049999999999</v>
      </c>
      <c r="G33">
        <v>1.5593049999999999</v>
      </c>
      <c r="H33">
        <v>1.581998</v>
      </c>
      <c r="I33">
        <v>1.4752050000000001</v>
      </c>
      <c r="J33">
        <v>1.472151</v>
      </c>
      <c r="K33">
        <v>1.46807</v>
      </c>
      <c r="L33">
        <v>1.466637</v>
      </c>
      <c r="M33">
        <v>1.464696</v>
      </c>
      <c r="N33">
        <v>1.4683649999999999</v>
      </c>
      <c r="O33">
        <v>1.467147</v>
      </c>
      <c r="P33">
        <v>1.463506</v>
      </c>
      <c r="Q33">
        <v>1.421122</v>
      </c>
      <c r="R33">
        <v>1.435924</v>
      </c>
      <c r="S33">
        <v>1.40917</v>
      </c>
      <c r="T33">
        <v>1.4301889999999999</v>
      </c>
      <c r="U33">
        <v>1.4173990000000001</v>
      </c>
      <c r="V33">
        <v>1.4003920000000001</v>
      </c>
      <c r="W33">
        <v>1.3850180000000001</v>
      </c>
      <c r="X33">
        <v>1.383724</v>
      </c>
      <c r="Y33">
        <v>1.373453</v>
      </c>
      <c r="Z33">
        <v>1.37069</v>
      </c>
      <c r="AA33">
        <v>1.3708800000000001</v>
      </c>
      <c r="AB33">
        <v>1.4269849999999999</v>
      </c>
      <c r="AC33">
        <v>1.4443699999999999</v>
      </c>
      <c r="AD33">
        <v>1.495598</v>
      </c>
      <c r="AE33">
        <v>1.478124</v>
      </c>
      <c r="AF33">
        <v>1.4730019999999999</v>
      </c>
      <c r="AG33">
        <v>1.507854</v>
      </c>
      <c r="AH33">
        <v>1.7244600000000001</v>
      </c>
      <c r="AI33" s="159">
        <v>4.0000000000000001E-3</v>
      </c>
    </row>
    <row r="34" spans="1:35" s="409" customFormat="1" ht="15" customHeight="1" x14ac:dyDescent="0.25">
      <c r="A34" s="409" t="s">
        <v>889</v>
      </c>
      <c r="B34" s="409" t="s">
        <v>890</v>
      </c>
      <c r="C34" s="409" t="s">
        <v>891</v>
      </c>
      <c r="D34" s="409" t="s">
        <v>860</v>
      </c>
      <c r="F34" s="409">
        <v>4.1839969999999997</v>
      </c>
      <c r="G34" s="409">
        <v>3.6677590000000002</v>
      </c>
      <c r="H34" s="409">
        <v>3.3247</v>
      </c>
      <c r="I34" s="409">
        <v>3.1027680000000002</v>
      </c>
      <c r="J34" s="409">
        <v>3.069134</v>
      </c>
      <c r="K34" s="409">
        <v>3.050068</v>
      </c>
      <c r="L34" s="409">
        <v>3.0508000000000002</v>
      </c>
      <c r="M34" s="409">
        <v>3.0554380000000001</v>
      </c>
      <c r="N34" s="409">
        <v>3.065353</v>
      </c>
      <c r="O34" s="409">
        <v>3.0602819999999999</v>
      </c>
      <c r="P34" s="409">
        <v>3.075698</v>
      </c>
      <c r="Q34" s="409">
        <v>3.0825239999999998</v>
      </c>
      <c r="R34" s="409">
        <v>3.0924680000000002</v>
      </c>
      <c r="S34" s="409">
        <v>3.0986539999999998</v>
      </c>
      <c r="T34" s="409">
        <v>3.1315810000000002</v>
      </c>
      <c r="U34" s="409">
        <v>3.1356619999999999</v>
      </c>
      <c r="V34" s="409">
        <v>3.1447769999999999</v>
      </c>
      <c r="W34" s="409">
        <v>3.1580710000000001</v>
      </c>
      <c r="X34" s="409">
        <v>3.161826</v>
      </c>
      <c r="Y34" s="409">
        <v>3.161508</v>
      </c>
      <c r="Z34" s="409">
        <v>3.169308</v>
      </c>
      <c r="AA34" s="409">
        <v>3.1561599999999999</v>
      </c>
      <c r="AB34" s="409">
        <v>3.1765319999999999</v>
      </c>
      <c r="AC34" s="409">
        <v>3.1773859999999998</v>
      </c>
      <c r="AD34" s="409">
        <v>3.2653660000000002</v>
      </c>
      <c r="AE34" s="409">
        <v>3.2646809999999999</v>
      </c>
      <c r="AF34" s="409">
        <v>3.2908629999999999</v>
      </c>
      <c r="AG34" s="409">
        <v>3.2989959999999998</v>
      </c>
      <c r="AH34" s="409">
        <v>3.327496</v>
      </c>
      <c r="AI34" s="410">
        <v>-8.0000000000000002E-3</v>
      </c>
    </row>
    <row r="35" spans="1:35" ht="15" customHeight="1" x14ac:dyDescent="0.25">
      <c r="A35" t="s">
        <v>892</v>
      </c>
      <c r="B35" t="s">
        <v>893</v>
      </c>
      <c r="C35" t="s">
        <v>894</v>
      </c>
      <c r="D35" t="s">
        <v>860</v>
      </c>
      <c r="F35">
        <v>3.6098750000000002</v>
      </c>
      <c r="G35">
        <v>3.0466530000000001</v>
      </c>
      <c r="H35">
        <v>2.9238960000000001</v>
      </c>
      <c r="I35">
        <v>2.7237170000000002</v>
      </c>
      <c r="J35">
        <v>2.6927949999999998</v>
      </c>
      <c r="K35">
        <v>2.6613739999999999</v>
      </c>
      <c r="L35">
        <v>2.6486499999999999</v>
      </c>
      <c r="M35">
        <v>2.6639539999999999</v>
      </c>
      <c r="N35">
        <v>2.6669100000000001</v>
      </c>
      <c r="O35">
        <v>2.6962769999999998</v>
      </c>
      <c r="P35">
        <v>2.717784</v>
      </c>
      <c r="Q35">
        <v>2.7295210000000001</v>
      </c>
      <c r="R35">
        <v>2.7497220000000002</v>
      </c>
      <c r="S35">
        <v>2.770591</v>
      </c>
      <c r="T35">
        <v>2.7839860000000001</v>
      </c>
      <c r="U35">
        <v>2.8007270000000002</v>
      </c>
      <c r="V35">
        <v>2.8173349999999999</v>
      </c>
      <c r="W35">
        <v>2.8305150000000001</v>
      </c>
      <c r="X35">
        <v>2.8468330000000002</v>
      </c>
      <c r="Y35">
        <v>2.874746</v>
      </c>
      <c r="Z35">
        <v>2.8813240000000002</v>
      </c>
      <c r="AA35">
        <v>2.9034469999999999</v>
      </c>
      <c r="AB35">
        <v>2.8980489999999999</v>
      </c>
      <c r="AC35">
        <v>2.9190800000000001</v>
      </c>
      <c r="AD35">
        <v>2.9625029999999999</v>
      </c>
      <c r="AE35">
        <v>2.968712</v>
      </c>
      <c r="AF35">
        <v>2.9768970000000001</v>
      </c>
      <c r="AG35">
        <v>2.9904410000000001</v>
      </c>
      <c r="AH35">
        <v>2.9943379999999999</v>
      </c>
      <c r="AI35" s="159">
        <v>-7.0000000000000001E-3</v>
      </c>
    </row>
    <row r="36" spans="1:35" s="409" customFormat="1" ht="15" customHeight="1" x14ac:dyDescent="0.25">
      <c r="A36" s="409" t="s">
        <v>895</v>
      </c>
      <c r="B36" s="409" t="s">
        <v>896</v>
      </c>
      <c r="C36" s="409" t="s">
        <v>897</v>
      </c>
      <c r="D36" s="409" t="s">
        <v>860</v>
      </c>
      <c r="F36" s="409">
        <v>5.1050589999999998</v>
      </c>
      <c r="G36" s="409">
        <v>4.5184139999999999</v>
      </c>
      <c r="H36" s="409">
        <v>4.2866369999999998</v>
      </c>
      <c r="I36" s="409">
        <v>3.996505</v>
      </c>
      <c r="J36" s="409">
        <v>3.8693710000000001</v>
      </c>
      <c r="K36" s="409">
        <v>3.7410540000000001</v>
      </c>
      <c r="L36" s="409">
        <v>3.6345890000000001</v>
      </c>
      <c r="M36" s="409">
        <v>3.647751</v>
      </c>
      <c r="N36" s="409">
        <v>3.6511490000000002</v>
      </c>
      <c r="O36" s="409">
        <v>3.6727180000000001</v>
      </c>
      <c r="P36" s="409">
        <v>3.6899760000000001</v>
      </c>
      <c r="Q36" s="409">
        <v>3.7063929999999998</v>
      </c>
      <c r="R36" s="409">
        <v>3.7128269999999999</v>
      </c>
      <c r="S36" s="409">
        <v>3.7413090000000002</v>
      </c>
      <c r="T36" s="409">
        <v>3.7421289999999998</v>
      </c>
      <c r="U36" s="409">
        <v>3.7611910000000002</v>
      </c>
      <c r="V36" s="409">
        <v>3.7750789999999999</v>
      </c>
      <c r="W36" s="409">
        <v>3.7809750000000002</v>
      </c>
      <c r="X36" s="409">
        <v>3.787541</v>
      </c>
      <c r="Y36" s="409">
        <v>3.810997</v>
      </c>
      <c r="Z36" s="409">
        <v>3.8124370000000001</v>
      </c>
      <c r="AA36" s="409">
        <v>3.8289230000000001</v>
      </c>
      <c r="AB36" s="409">
        <v>3.8159420000000002</v>
      </c>
      <c r="AC36" s="409">
        <v>3.82362</v>
      </c>
      <c r="AD36" s="409">
        <v>3.9042400000000002</v>
      </c>
      <c r="AE36" s="409">
        <v>3.9077069999999998</v>
      </c>
      <c r="AF36" s="409">
        <v>3.9143530000000002</v>
      </c>
      <c r="AG36" s="409">
        <v>3.9231009999999999</v>
      </c>
      <c r="AH36" s="409">
        <v>3.9241450000000002</v>
      </c>
      <c r="AI36" s="410">
        <v>-8.9999999999999993E-3</v>
      </c>
    </row>
    <row r="37" spans="1:35" ht="15" customHeight="1" x14ac:dyDescent="0.25">
      <c r="A37" t="s">
        <v>867</v>
      </c>
      <c r="B37" t="s">
        <v>898</v>
      </c>
      <c r="C37" t="s">
        <v>899</v>
      </c>
      <c r="D37" t="s">
        <v>860</v>
      </c>
      <c r="F37">
        <v>2.3040080000000001</v>
      </c>
      <c r="G37">
        <v>2.3279770000000002</v>
      </c>
      <c r="H37">
        <v>2.5897610000000002</v>
      </c>
      <c r="I37">
        <v>2.4563440000000001</v>
      </c>
      <c r="J37">
        <v>2.4590679999999998</v>
      </c>
      <c r="K37">
        <v>2.4703020000000002</v>
      </c>
      <c r="L37">
        <v>2.4751850000000002</v>
      </c>
      <c r="M37">
        <v>2.48699</v>
      </c>
      <c r="N37">
        <v>2.5019779999999998</v>
      </c>
      <c r="O37">
        <v>2.5135969999999999</v>
      </c>
      <c r="P37">
        <v>2.5283009999999999</v>
      </c>
      <c r="Q37">
        <v>2.542367</v>
      </c>
      <c r="R37">
        <v>2.5562969999999998</v>
      </c>
      <c r="S37">
        <v>2.5734979999999998</v>
      </c>
      <c r="T37">
        <v>2.5821580000000002</v>
      </c>
      <c r="U37">
        <v>2.5956999999999999</v>
      </c>
      <c r="V37">
        <v>2.6105429999999998</v>
      </c>
      <c r="W37">
        <v>2.6213199999999999</v>
      </c>
      <c r="X37">
        <v>2.6310989999999999</v>
      </c>
      <c r="Y37">
        <v>2.6474310000000001</v>
      </c>
      <c r="Z37">
        <v>2.6513390000000001</v>
      </c>
      <c r="AA37">
        <v>2.6629170000000002</v>
      </c>
      <c r="AB37">
        <v>2.6625019999999999</v>
      </c>
      <c r="AC37">
        <v>2.6692269999999998</v>
      </c>
      <c r="AD37">
        <v>2.6963599999999999</v>
      </c>
      <c r="AE37">
        <v>2.6958600000000001</v>
      </c>
      <c r="AF37">
        <v>2.7113369999999999</v>
      </c>
      <c r="AG37">
        <v>2.7242839999999999</v>
      </c>
      <c r="AH37">
        <v>2.7377379999999998</v>
      </c>
      <c r="AI37" s="159">
        <v>6.0000000000000001E-3</v>
      </c>
    </row>
    <row r="38" spans="1:35" ht="15" customHeight="1" x14ac:dyDescent="0.25">
      <c r="A38" t="s">
        <v>870</v>
      </c>
      <c r="B38" t="s">
        <v>898</v>
      </c>
      <c r="C38" t="s">
        <v>900</v>
      </c>
      <c r="D38" t="s">
        <v>846</v>
      </c>
      <c r="F38">
        <v>96.768317999999994</v>
      </c>
      <c r="G38">
        <v>97.775040000000004</v>
      </c>
      <c r="H38">
        <v>108.769981</v>
      </c>
      <c r="I38">
        <v>103.16643500000001</v>
      </c>
      <c r="J38">
        <v>103.280869</v>
      </c>
      <c r="K38">
        <v>103.752701</v>
      </c>
      <c r="L38">
        <v>103.957787</v>
      </c>
      <c r="M38">
        <v>104.453575</v>
      </c>
      <c r="N38">
        <v>105.08306899999999</v>
      </c>
      <c r="O38">
        <v>105.57107499999999</v>
      </c>
      <c r="P38">
        <v>106.18862900000001</v>
      </c>
      <c r="Q38">
        <v>106.779404</v>
      </c>
      <c r="R38">
        <v>107.364464</v>
      </c>
      <c r="S38">
        <v>108.086929</v>
      </c>
      <c r="T38">
        <v>108.45062299999999</v>
      </c>
      <c r="U38">
        <v>109.019402</v>
      </c>
      <c r="V38">
        <v>109.642792</v>
      </c>
      <c r="W38">
        <v>110.095421</v>
      </c>
      <c r="X38">
        <v>110.506165</v>
      </c>
      <c r="Y38">
        <v>111.192108</v>
      </c>
      <c r="Z38">
        <v>111.35623200000001</v>
      </c>
      <c r="AA38">
        <v>111.842499</v>
      </c>
      <c r="AB38">
        <v>111.82508900000001</v>
      </c>
      <c r="AC38">
        <v>112.107552</v>
      </c>
      <c r="AD38">
        <v>113.247139</v>
      </c>
      <c r="AE38">
        <v>113.226105</v>
      </c>
      <c r="AF38">
        <v>113.876167</v>
      </c>
      <c r="AG38">
        <v>114.41992999999999</v>
      </c>
      <c r="AH38">
        <v>114.985016</v>
      </c>
      <c r="AI38" s="159">
        <v>6.0000000000000001E-3</v>
      </c>
    </row>
    <row r="39" spans="1:35" ht="15" customHeight="1" x14ac:dyDescent="0.25">
      <c r="A39" t="s">
        <v>901</v>
      </c>
    </row>
    <row r="40" spans="1:35" ht="15" customHeight="1" x14ac:dyDescent="0.25">
      <c r="A40" t="s">
        <v>861</v>
      </c>
      <c r="B40" t="s">
        <v>902</v>
      </c>
      <c r="C40" t="s">
        <v>903</v>
      </c>
      <c r="D40" t="s">
        <v>860</v>
      </c>
      <c r="F40">
        <v>4.8486900000000004</v>
      </c>
      <c r="G40">
        <v>4.5254430000000001</v>
      </c>
      <c r="H40">
        <v>4.2241049999999998</v>
      </c>
      <c r="I40">
        <v>3.8336610000000002</v>
      </c>
      <c r="J40">
        <v>3.6123069999999999</v>
      </c>
      <c r="K40">
        <v>3.3906109999999998</v>
      </c>
      <c r="L40">
        <v>3.1805569999999999</v>
      </c>
      <c r="M40">
        <v>3.2053769999999999</v>
      </c>
      <c r="N40">
        <v>3.2244760000000001</v>
      </c>
      <c r="O40">
        <v>3.2227969999999999</v>
      </c>
      <c r="P40">
        <v>3.2384010000000001</v>
      </c>
      <c r="Q40">
        <v>3.2372359999999998</v>
      </c>
      <c r="R40">
        <v>3.2561330000000002</v>
      </c>
      <c r="S40">
        <v>3.2694070000000002</v>
      </c>
      <c r="T40">
        <v>3.279118</v>
      </c>
      <c r="U40">
        <v>3.2860149999999999</v>
      </c>
      <c r="V40">
        <v>3.291461</v>
      </c>
      <c r="W40">
        <v>3.301774</v>
      </c>
      <c r="X40">
        <v>3.314584</v>
      </c>
      <c r="Y40">
        <v>3.3363809999999998</v>
      </c>
      <c r="Z40">
        <v>3.3352900000000001</v>
      </c>
      <c r="AA40">
        <v>3.3507389999999999</v>
      </c>
      <c r="AB40">
        <v>3.3427419999999999</v>
      </c>
      <c r="AC40">
        <v>3.3585750000000001</v>
      </c>
      <c r="AD40">
        <v>3.3915470000000001</v>
      </c>
      <c r="AE40">
        <v>3.396712</v>
      </c>
      <c r="AF40">
        <v>3.4034450000000001</v>
      </c>
      <c r="AG40">
        <v>3.4199099999999998</v>
      </c>
      <c r="AH40">
        <v>3.4207770000000002</v>
      </c>
      <c r="AI40" s="159">
        <v>-1.2E-2</v>
      </c>
    </row>
    <row r="41" spans="1:35" ht="15" customHeight="1" x14ac:dyDescent="0.25">
      <c r="A41" t="s">
        <v>867</v>
      </c>
      <c r="B41" t="s">
        <v>904</v>
      </c>
      <c r="C41" t="s">
        <v>905</v>
      </c>
      <c r="D41" t="s">
        <v>860</v>
      </c>
      <c r="F41">
        <v>3.2552680000000001</v>
      </c>
      <c r="G41">
        <v>2.7817859999999999</v>
      </c>
      <c r="H41">
        <v>2.759954</v>
      </c>
      <c r="I41">
        <v>2.608609</v>
      </c>
      <c r="J41">
        <v>2.6040359999999998</v>
      </c>
      <c r="K41">
        <v>2.6122320000000001</v>
      </c>
      <c r="L41">
        <v>2.6114250000000001</v>
      </c>
      <c r="M41">
        <v>2.620187</v>
      </c>
      <c r="N41">
        <v>2.6323599999999998</v>
      </c>
      <c r="O41">
        <v>2.6387049999999999</v>
      </c>
      <c r="P41">
        <v>2.6515689999999998</v>
      </c>
      <c r="Q41">
        <v>2.662893</v>
      </c>
      <c r="R41">
        <v>2.6735549999999999</v>
      </c>
      <c r="S41">
        <v>2.6913299999999998</v>
      </c>
      <c r="T41">
        <v>2.6992050000000001</v>
      </c>
      <c r="U41">
        <v>2.7084830000000002</v>
      </c>
      <c r="V41">
        <v>2.7191109999999998</v>
      </c>
      <c r="W41">
        <v>2.7277149999999999</v>
      </c>
      <c r="X41">
        <v>2.729606</v>
      </c>
      <c r="Y41">
        <v>2.725908</v>
      </c>
      <c r="Z41">
        <v>2.7102970000000002</v>
      </c>
      <c r="AA41">
        <v>2.6926060000000001</v>
      </c>
      <c r="AB41">
        <v>2.663948</v>
      </c>
      <c r="AC41">
        <v>2.6315249999999999</v>
      </c>
      <c r="AD41">
        <v>2.664361</v>
      </c>
      <c r="AE41">
        <v>2.6684269999999999</v>
      </c>
      <c r="AF41">
        <v>2.6841569999999999</v>
      </c>
      <c r="AG41">
        <v>2.6984469999999998</v>
      </c>
      <c r="AH41">
        <v>2.708278</v>
      </c>
      <c r="AI41" s="159">
        <v>-7.0000000000000001E-3</v>
      </c>
    </row>
    <row r="42" spans="1:35" ht="15" customHeight="1" x14ac:dyDescent="0.25">
      <c r="A42" t="s">
        <v>870</v>
      </c>
      <c r="B42" t="s">
        <v>904</v>
      </c>
      <c r="C42" t="s">
        <v>906</v>
      </c>
      <c r="D42" t="s">
        <v>846</v>
      </c>
      <c r="F42">
        <v>136.721237</v>
      </c>
      <c r="G42">
        <v>116.835022</v>
      </c>
      <c r="H42">
        <v>115.91806800000001</v>
      </c>
      <c r="I42">
        <v>109.561584</v>
      </c>
      <c r="J42">
        <v>109.36949199999999</v>
      </c>
      <c r="K42">
        <v>109.713745</v>
      </c>
      <c r="L42">
        <v>109.679855</v>
      </c>
      <c r="M42">
        <v>110.047844</v>
      </c>
      <c r="N42">
        <v>110.55914300000001</v>
      </c>
      <c r="O42">
        <v>110.82560700000001</v>
      </c>
      <c r="P42">
        <v>111.365891</v>
      </c>
      <c r="Q42">
        <v>111.84148399999999</v>
      </c>
      <c r="R42">
        <v>112.28929100000001</v>
      </c>
      <c r="S42">
        <v>113.035873</v>
      </c>
      <c r="T42">
        <v>113.366631</v>
      </c>
      <c r="U42">
        <v>113.756271</v>
      </c>
      <c r="V42">
        <v>114.202682</v>
      </c>
      <c r="W42">
        <v>114.56403400000001</v>
      </c>
      <c r="X42">
        <v>114.64344</v>
      </c>
      <c r="Y42">
        <v>114.488136</v>
      </c>
      <c r="Z42">
        <v>113.832466</v>
      </c>
      <c r="AA42">
        <v>113.089439</v>
      </c>
      <c r="AB42">
        <v>111.885803</v>
      </c>
      <c r="AC42">
        <v>110.524033</v>
      </c>
      <c r="AD42">
        <v>111.90316799999999</v>
      </c>
      <c r="AE42">
        <v>112.073914</v>
      </c>
      <c r="AF42">
        <v>112.734596</v>
      </c>
      <c r="AG42">
        <v>113.334763</v>
      </c>
      <c r="AH42">
        <v>113.747665</v>
      </c>
      <c r="AI42" s="159">
        <v>-7.0000000000000001E-3</v>
      </c>
    </row>
    <row r="43" spans="1:35" ht="15" customHeight="1" x14ac:dyDescent="0.25">
      <c r="A43" t="s">
        <v>907</v>
      </c>
      <c r="B43" t="s">
        <v>908</v>
      </c>
    </row>
    <row r="44" spans="1:35" x14ac:dyDescent="0.25">
      <c r="A44" t="s">
        <v>857</v>
      </c>
      <c r="B44" t="s">
        <v>909</v>
      </c>
      <c r="C44" t="s">
        <v>910</v>
      </c>
      <c r="D44" t="s">
        <v>860</v>
      </c>
      <c r="F44">
        <v>2.567952</v>
      </c>
      <c r="G44">
        <v>2.6395970000000002</v>
      </c>
      <c r="H44">
        <v>2.5220400000000001</v>
      </c>
      <c r="I44">
        <v>2.3806780000000001</v>
      </c>
      <c r="J44">
        <v>2.2791610000000002</v>
      </c>
      <c r="K44">
        <v>2.2087379999999999</v>
      </c>
      <c r="L44">
        <v>2.1763780000000001</v>
      </c>
      <c r="M44">
        <v>2.1687729999999998</v>
      </c>
      <c r="N44">
        <v>2.1835800000000001</v>
      </c>
      <c r="O44">
        <v>2.212358</v>
      </c>
      <c r="P44">
        <v>2.2536510000000001</v>
      </c>
      <c r="Q44">
        <v>2.304405</v>
      </c>
      <c r="R44">
        <v>2.3509370000000001</v>
      </c>
      <c r="S44">
        <v>2.3835130000000002</v>
      </c>
      <c r="T44">
        <v>2.4058440000000001</v>
      </c>
      <c r="U44">
        <v>2.4271250000000002</v>
      </c>
      <c r="V44">
        <v>2.46034</v>
      </c>
      <c r="W44">
        <v>2.4682279999999999</v>
      </c>
      <c r="X44">
        <v>2.4952610000000002</v>
      </c>
      <c r="Y44">
        <v>2.5194239999999999</v>
      </c>
      <c r="Z44">
        <v>2.5330879999999998</v>
      </c>
      <c r="AA44">
        <v>2.5369320000000002</v>
      </c>
      <c r="AB44">
        <v>2.5344229999999999</v>
      </c>
      <c r="AC44">
        <v>2.5390929999999998</v>
      </c>
      <c r="AD44">
        <v>2.5535030000000001</v>
      </c>
      <c r="AE44">
        <v>2.555444</v>
      </c>
      <c r="AF44">
        <v>2.5623779999999998</v>
      </c>
      <c r="AG44">
        <v>2.5619000000000001</v>
      </c>
      <c r="AH44">
        <v>2.5577700000000001</v>
      </c>
      <c r="AI44" s="159">
        <v>0</v>
      </c>
    </row>
    <row r="45" spans="1:35" ht="15" customHeight="1" x14ac:dyDescent="0.25">
      <c r="A45" t="s">
        <v>889</v>
      </c>
      <c r="B45" t="s">
        <v>911</v>
      </c>
      <c r="C45" t="s">
        <v>912</v>
      </c>
      <c r="D45" t="s">
        <v>860</v>
      </c>
      <c r="F45">
        <v>4.1836200000000003</v>
      </c>
      <c r="G45">
        <v>3.6619549999999998</v>
      </c>
      <c r="H45">
        <v>3.3248639999999998</v>
      </c>
      <c r="I45">
        <v>3.1057049999999999</v>
      </c>
      <c r="J45">
        <v>3.0728080000000002</v>
      </c>
      <c r="K45">
        <v>3.0532469999999998</v>
      </c>
      <c r="L45">
        <v>3.0528710000000001</v>
      </c>
      <c r="M45">
        <v>3.057626</v>
      </c>
      <c r="N45">
        <v>3.0676570000000001</v>
      </c>
      <c r="O45">
        <v>3.0627360000000001</v>
      </c>
      <c r="P45">
        <v>3.078265</v>
      </c>
      <c r="Q45">
        <v>3.0852170000000001</v>
      </c>
      <c r="R45">
        <v>3.0952579999999998</v>
      </c>
      <c r="S45">
        <v>3.1015570000000001</v>
      </c>
      <c r="T45">
        <v>3.134493</v>
      </c>
      <c r="U45">
        <v>3.1386980000000002</v>
      </c>
      <c r="V45">
        <v>3.1479089999999998</v>
      </c>
      <c r="W45">
        <v>3.1612650000000002</v>
      </c>
      <c r="X45">
        <v>3.1651120000000001</v>
      </c>
      <c r="Y45">
        <v>3.164898</v>
      </c>
      <c r="Z45">
        <v>3.1727780000000001</v>
      </c>
      <c r="AA45">
        <v>3.159735</v>
      </c>
      <c r="AB45">
        <v>3.1801680000000001</v>
      </c>
      <c r="AC45">
        <v>3.1811430000000001</v>
      </c>
      <c r="AD45">
        <v>3.2696860000000001</v>
      </c>
      <c r="AE45">
        <v>3.269069</v>
      </c>
      <c r="AF45">
        <v>3.2952659999999998</v>
      </c>
      <c r="AG45">
        <v>3.3034560000000002</v>
      </c>
      <c r="AH45">
        <v>3.3319719999999999</v>
      </c>
      <c r="AI45" s="159">
        <v>-8.0000000000000002E-3</v>
      </c>
    </row>
    <row r="46" spans="1:35" ht="15" customHeight="1" x14ac:dyDescent="0.25">
      <c r="A46" t="s">
        <v>892</v>
      </c>
      <c r="B46" t="s">
        <v>913</v>
      </c>
      <c r="C46" t="s">
        <v>914</v>
      </c>
      <c r="D46" t="s">
        <v>860</v>
      </c>
      <c r="F46">
        <v>3.6098750000000002</v>
      </c>
      <c r="G46">
        <v>3.0466530000000001</v>
      </c>
      <c r="H46">
        <v>2.9238960000000001</v>
      </c>
      <c r="I46">
        <v>2.7237170000000002</v>
      </c>
      <c r="J46">
        <v>2.6927949999999998</v>
      </c>
      <c r="K46">
        <v>2.6613739999999999</v>
      </c>
      <c r="L46">
        <v>2.6486499999999999</v>
      </c>
      <c r="M46">
        <v>2.6639539999999999</v>
      </c>
      <c r="N46">
        <v>2.6669100000000001</v>
      </c>
      <c r="O46">
        <v>2.6962769999999998</v>
      </c>
      <c r="P46">
        <v>2.717784</v>
      </c>
      <c r="Q46">
        <v>2.7295210000000001</v>
      </c>
      <c r="R46">
        <v>2.7497220000000002</v>
      </c>
      <c r="S46">
        <v>2.770591</v>
      </c>
      <c r="T46">
        <v>2.7839860000000001</v>
      </c>
      <c r="U46">
        <v>2.8007270000000002</v>
      </c>
      <c r="V46">
        <v>2.8173349999999999</v>
      </c>
      <c r="W46">
        <v>2.8305150000000001</v>
      </c>
      <c r="X46">
        <v>2.8468330000000002</v>
      </c>
      <c r="Y46">
        <v>2.874746</v>
      </c>
      <c r="Z46">
        <v>2.8813240000000002</v>
      </c>
      <c r="AA46">
        <v>2.9034469999999999</v>
      </c>
      <c r="AB46">
        <v>2.8980489999999999</v>
      </c>
      <c r="AC46">
        <v>2.9190800000000001</v>
      </c>
      <c r="AD46">
        <v>2.9625029999999999</v>
      </c>
      <c r="AE46">
        <v>2.968712</v>
      </c>
      <c r="AF46">
        <v>2.9768970000000001</v>
      </c>
      <c r="AG46">
        <v>2.9904410000000001</v>
      </c>
      <c r="AH46">
        <v>2.9943379999999999</v>
      </c>
      <c r="AI46" s="159">
        <v>-7.0000000000000001E-3</v>
      </c>
    </row>
    <row r="47" spans="1:35" ht="15" customHeight="1" x14ac:dyDescent="0.25">
      <c r="A47" t="s">
        <v>861</v>
      </c>
      <c r="B47" t="s">
        <v>915</v>
      </c>
      <c r="C47" t="s">
        <v>916</v>
      </c>
      <c r="D47" t="s">
        <v>860</v>
      </c>
      <c r="F47">
        <v>5.0437149999999997</v>
      </c>
      <c r="G47">
        <v>4.5170019999999997</v>
      </c>
      <c r="H47">
        <v>4.2724820000000001</v>
      </c>
      <c r="I47">
        <v>3.9676870000000002</v>
      </c>
      <c r="J47">
        <v>3.8243260000000001</v>
      </c>
      <c r="K47">
        <v>3.6825730000000001</v>
      </c>
      <c r="L47">
        <v>3.56162</v>
      </c>
      <c r="M47">
        <v>3.5750510000000002</v>
      </c>
      <c r="N47">
        <v>3.5763799999999999</v>
      </c>
      <c r="O47">
        <v>3.5994060000000001</v>
      </c>
      <c r="P47">
        <v>3.6140110000000001</v>
      </c>
      <c r="Q47">
        <v>3.6315849999999998</v>
      </c>
      <c r="R47">
        <v>3.637683</v>
      </c>
      <c r="S47">
        <v>3.6633939999999998</v>
      </c>
      <c r="T47">
        <v>3.6649419999999999</v>
      </c>
      <c r="U47">
        <v>3.6825190000000001</v>
      </c>
      <c r="V47">
        <v>3.6947510000000001</v>
      </c>
      <c r="W47">
        <v>3.7008740000000002</v>
      </c>
      <c r="X47">
        <v>3.7076720000000001</v>
      </c>
      <c r="Y47">
        <v>3.7295069999999999</v>
      </c>
      <c r="Z47">
        <v>3.7288619999999999</v>
      </c>
      <c r="AA47">
        <v>3.7453210000000001</v>
      </c>
      <c r="AB47">
        <v>3.7334369999999999</v>
      </c>
      <c r="AC47">
        <v>3.741387</v>
      </c>
      <c r="AD47">
        <v>3.808516</v>
      </c>
      <c r="AE47">
        <v>3.811788</v>
      </c>
      <c r="AF47">
        <v>3.8165610000000001</v>
      </c>
      <c r="AG47">
        <v>3.8263159999999998</v>
      </c>
      <c r="AH47">
        <v>3.8265769999999999</v>
      </c>
      <c r="AI47" s="159">
        <v>-0.01</v>
      </c>
    </row>
    <row r="48" spans="1:35" ht="15" customHeight="1" x14ac:dyDescent="0.25">
      <c r="A48" t="s">
        <v>867</v>
      </c>
      <c r="B48" t="s">
        <v>917</v>
      </c>
      <c r="C48" t="s">
        <v>918</v>
      </c>
      <c r="D48" t="s">
        <v>860</v>
      </c>
      <c r="F48">
        <v>2.327985</v>
      </c>
      <c r="G48">
        <v>2.2464140000000001</v>
      </c>
      <c r="H48">
        <v>2.5193629999999998</v>
      </c>
      <c r="I48">
        <v>2.4086319999999999</v>
      </c>
      <c r="J48">
        <v>2.4282970000000001</v>
      </c>
      <c r="K48">
        <v>2.4554330000000002</v>
      </c>
      <c r="L48">
        <v>2.4744329999999999</v>
      </c>
      <c r="M48">
        <v>2.4861930000000001</v>
      </c>
      <c r="N48">
        <v>2.501036</v>
      </c>
      <c r="O48">
        <v>2.5127009999999999</v>
      </c>
      <c r="P48">
        <v>2.52738</v>
      </c>
      <c r="Q48">
        <v>2.5412710000000001</v>
      </c>
      <c r="R48">
        <v>2.5550389999999998</v>
      </c>
      <c r="S48">
        <v>2.5721609999999999</v>
      </c>
      <c r="T48">
        <v>2.580854</v>
      </c>
      <c r="U48">
        <v>2.5939559999999999</v>
      </c>
      <c r="V48">
        <v>2.6083630000000002</v>
      </c>
      <c r="W48">
        <v>2.618859</v>
      </c>
      <c r="X48">
        <v>2.628136</v>
      </c>
      <c r="Y48">
        <v>2.643081</v>
      </c>
      <c r="Z48">
        <v>2.6454710000000001</v>
      </c>
      <c r="AA48">
        <v>2.6553290000000001</v>
      </c>
      <c r="AB48">
        <v>2.6534450000000001</v>
      </c>
      <c r="AC48">
        <v>2.6587149999999999</v>
      </c>
      <c r="AD48">
        <v>2.6861109999999999</v>
      </c>
      <c r="AE48">
        <v>2.685797</v>
      </c>
      <c r="AF48">
        <v>2.7013210000000001</v>
      </c>
      <c r="AG48">
        <v>2.7142460000000002</v>
      </c>
      <c r="AH48">
        <v>2.7272090000000002</v>
      </c>
      <c r="AI48" s="159">
        <v>6.0000000000000001E-3</v>
      </c>
    </row>
    <row r="49" spans="1:35" ht="15" customHeight="1" x14ac:dyDescent="0.25">
      <c r="A49" t="s">
        <v>870</v>
      </c>
      <c r="B49" t="s">
        <v>917</v>
      </c>
      <c r="C49" t="s">
        <v>919</v>
      </c>
      <c r="D49" t="s">
        <v>846</v>
      </c>
      <c r="F49">
        <v>97.775383000000005</v>
      </c>
      <c r="G49">
        <v>94.349379999999996</v>
      </c>
      <c r="H49">
        <v>105.813255</v>
      </c>
      <c r="I49">
        <v>101.16256</v>
      </c>
      <c r="J49">
        <v>101.98848700000001</v>
      </c>
      <c r="K49">
        <v>103.128204</v>
      </c>
      <c r="L49">
        <v>103.92617</v>
      </c>
      <c r="M49">
        <v>104.42012</v>
      </c>
      <c r="N49">
        <v>105.043533</v>
      </c>
      <c r="O49">
        <v>105.53344</v>
      </c>
      <c r="P49">
        <v>106.14997099999999</v>
      </c>
      <c r="Q49">
        <v>106.73337600000001</v>
      </c>
      <c r="R49">
        <v>107.31165300000001</v>
      </c>
      <c r="S49">
        <v>108.030754</v>
      </c>
      <c r="T49">
        <v>108.395882</v>
      </c>
      <c r="U49">
        <v>108.94615899999999</v>
      </c>
      <c r="V49">
        <v>109.55126199999999</v>
      </c>
      <c r="W49">
        <v>109.992081</v>
      </c>
      <c r="X49">
        <v>110.381699</v>
      </c>
      <c r="Y49">
        <v>111.009407</v>
      </c>
      <c r="Z49">
        <v>111.109787</v>
      </c>
      <c r="AA49">
        <v>111.523827</v>
      </c>
      <c r="AB49">
        <v>111.444695</v>
      </c>
      <c r="AC49">
        <v>111.66604599999999</v>
      </c>
      <c r="AD49">
        <v>112.816681</v>
      </c>
      <c r="AE49">
        <v>112.80347399999999</v>
      </c>
      <c r="AF49">
        <v>113.455467</v>
      </c>
      <c r="AG49">
        <v>113.99833700000001</v>
      </c>
      <c r="AH49">
        <v>114.54278600000001</v>
      </c>
      <c r="AI49" s="159">
        <v>6.0000000000000001E-3</v>
      </c>
    </row>
    <row r="50" spans="1:35" ht="15" customHeight="1" x14ac:dyDescent="0.25">
      <c r="A50" t="s">
        <v>634</v>
      </c>
      <c r="B50" t="s">
        <v>920</v>
      </c>
      <c r="C50" t="s">
        <v>921</v>
      </c>
      <c r="D50" t="s">
        <v>860</v>
      </c>
      <c r="F50">
        <v>3.6236540000000002</v>
      </c>
      <c r="G50">
        <v>3.1975440000000002</v>
      </c>
      <c r="H50">
        <v>2.9665219999999999</v>
      </c>
      <c r="I50">
        <v>2.75047</v>
      </c>
      <c r="J50">
        <v>2.6742520000000001</v>
      </c>
      <c r="K50">
        <v>2.6097760000000001</v>
      </c>
      <c r="L50">
        <v>2.568613</v>
      </c>
      <c r="M50">
        <v>2.5648659999999999</v>
      </c>
      <c r="N50">
        <v>2.563437</v>
      </c>
      <c r="O50">
        <v>2.56839</v>
      </c>
      <c r="P50">
        <v>2.5791580000000001</v>
      </c>
      <c r="Q50">
        <v>2.5877849999999998</v>
      </c>
      <c r="R50">
        <v>2.5931289999999998</v>
      </c>
      <c r="S50">
        <v>2.6014979999999999</v>
      </c>
      <c r="T50">
        <v>2.6131440000000001</v>
      </c>
      <c r="U50">
        <v>2.6200999999999999</v>
      </c>
      <c r="V50">
        <v>2.631872</v>
      </c>
      <c r="W50">
        <v>2.6322890000000001</v>
      </c>
      <c r="X50">
        <v>2.6405099999999999</v>
      </c>
      <c r="Y50">
        <v>2.6460360000000001</v>
      </c>
      <c r="Z50">
        <v>2.6463749999999999</v>
      </c>
      <c r="AA50">
        <v>2.6417600000000001</v>
      </c>
      <c r="AB50">
        <v>2.6448640000000001</v>
      </c>
      <c r="AC50">
        <v>2.6500590000000002</v>
      </c>
      <c r="AD50">
        <v>2.7027139999999998</v>
      </c>
      <c r="AE50">
        <v>2.7062560000000002</v>
      </c>
      <c r="AF50">
        <v>2.7217069999999999</v>
      </c>
      <c r="AG50">
        <v>2.729587</v>
      </c>
      <c r="AH50">
        <v>2.7414200000000002</v>
      </c>
      <c r="AI50" s="159">
        <v>-0.01</v>
      </c>
    </row>
    <row r="51" spans="1:35" ht="15" customHeight="1" x14ac:dyDescent="0.25">
      <c r="A51" t="s">
        <v>636</v>
      </c>
    </row>
    <row r="52" spans="1:35" ht="15" customHeight="1" x14ac:dyDescent="0.25">
      <c r="A52" t="s">
        <v>922</v>
      </c>
    </row>
    <row r="53" spans="1:35" ht="15" customHeight="1" x14ac:dyDescent="0.25">
      <c r="A53" t="s">
        <v>843</v>
      </c>
      <c r="B53" t="s">
        <v>923</v>
      </c>
      <c r="C53" t="s">
        <v>924</v>
      </c>
      <c r="D53" t="s">
        <v>925</v>
      </c>
      <c r="F53">
        <v>102.129997</v>
      </c>
      <c r="G53">
        <v>95.329002000000003</v>
      </c>
      <c r="H53">
        <v>98.708404999999999</v>
      </c>
      <c r="I53">
        <v>94.878890999999996</v>
      </c>
      <c r="J53">
        <v>97.830475000000007</v>
      </c>
      <c r="K53">
        <v>100.425552</v>
      </c>
      <c r="L53">
        <v>103.260544</v>
      </c>
      <c r="M53">
        <v>106.227829</v>
      </c>
      <c r="N53">
        <v>109.43918600000001</v>
      </c>
      <c r="O53">
        <v>112.639786</v>
      </c>
      <c r="P53">
        <v>116.265869</v>
      </c>
      <c r="Q53">
        <v>119.61837800000001</v>
      </c>
      <c r="R53">
        <v>123.399551</v>
      </c>
      <c r="S53">
        <v>127.457848</v>
      </c>
      <c r="T53">
        <v>131.21597299999999</v>
      </c>
      <c r="U53">
        <v>135.083923</v>
      </c>
      <c r="V53">
        <v>138.85072299999999</v>
      </c>
      <c r="W53">
        <v>142.69729599999999</v>
      </c>
      <c r="X53">
        <v>146.67823799999999</v>
      </c>
      <c r="Y53">
        <v>150.81691000000001</v>
      </c>
      <c r="Z53">
        <v>154.928268</v>
      </c>
      <c r="AA53">
        <v>159.09347500000001</v>
      </c>
      <c r="AB53">
        <v>163.57148699999999</v>
      </c>
      <c r="AC53">
        <v>167.987595</v>
      </c>
      <c r="AD53">
        <v>173.312363</v>
      </c>
      <c r="AE53">
        <v>178.174057</v>
      </c>
      <c r="AF53">
        <v>183.52430699999999</v>
      </c>
      <c r="AG53">
        <v>189.210342</v>
      </c>
      <c r="AH53">
        <v>194.299271</v>
      </c>
      <c r="AI53" s="159">
        <v>2.3E-2</v>
      </c>
    </row>
    <row r="54" spans="1:35" ht="15" customHeight="1" x14ac:dyDescent="0.25">
      <c r="A54" t="s">
        <v>847</v>
      </c>
      <c r="B54" t="s">
        <v>926</v>
      </c>
      <c r="C54" t="s">
        <v>927</v>
      </c>
      <c r="D54" t="s">
        <v>925</v>
      </c>
      <c r="F54">
        <v>95.875998999999993</v>
      </c>
      <c r="G54">
        <v>89.329002000000003</v>
      </c>
      <c r="H54">
        <v>97.249779000000004</v>
      </c>
      <c r="I54">
        <v>92.900146000000007</v>
      </c>
      <c r="J54">
        <v>94.905304000000001</v>
      </c>
      <c r="K54">
        <v>97.271384999999995</v>
      </c>
      <c r="L54">
        <v>100.22315999999999</v>
      </c>
      <c r="M54">
        <v>102.98326900000001</v>
      </c>
      <c r="N54">
        <v>105.828407</v>
      </c>
      <c r="O54">
        <v>108.94564099999999</v>
      </c>
      <c r="P54">
        <v>112.41229199999999</v>
      </c>
      <c r="Q54">
        <v>115.627411</v>
      </c>
      <c r="R54">
        <v>119.291077</v>
      </c>
      <c r="S54">
        <v>122.66132399999999</v>
      </c>
      <c r="T54">
        <v>126.59264400000001</v>
      </c>
      <c r="U54">
        <v>130.29289199999999</v>
      </c>
      <c r="V54">
        <v>133.71722399999999</v>
      </c>
      <c r="W54">
        <v>137.44975299999999</v>
      </c>
      <c r="X54">
        <v>141.151093</v>
      </c>
      <c r="Y54">
        <v>145.09960899999999</v>
      </c>
      <c r="Z54">
        <v>149.102936</v>
      </c>
      <c r="AA54">
        <v>153.158661</v>
      </c>
      <c r="AB54">
        <v>157.370575</v>
      </c>
      <c r="AC54">
        <v>161.615891</v>
      </c>
      <c r="AD54">
        <v>166.70979299999999</v>
      </c>
      <c r="AE54">
        <v>171.44435100000001</v>
      </c>
      <c r="AF54">
        <v>176.82122799999999</v>
      </c>
      <c r="AG54">
        <v>182.42593400000001</v>
      </c>
      <c r="AH54">
        <v>187.283264</v>
      </c>
      <c r="AI54" s="159">
        <v>2.4E-2</v>
      </c>
    </row>
    <row r="55" spans="1:35" ht="15" customHeight="1" x14ac:dyDescent="0.25">
      <c r="A55" t="s">
        <v>850</v>
      </c>
      <c r="B55" t="s">
        <v>928</v>
      </c>
      <c r="C55" t="s">
        <v>929</v>
      </c>
      <c r="D55" t="s">
        <v>925</v>
      </c>
      <c r="F55">
        <v>93.169998000000007</v>
      </c>
      <c r="G55">
        <v>86.620002999999997</v>
      </c>
      <c r="H55">
        <v>95.064835000000002</v>
      </c>
      <c r="I55">
        <v>91.230620999999999</v>
      </c>
      <c r="J55">
        <v>93.362235999999996</v>
      </c>
      <c r="K55">
        <v>95.906745999999998</v>
      </c>
      <c r="L55">
        <v>98.287398999999994</v>
      </c>
      <c r="M55">
        <v>101.109497</v>
      </c>
      <c r="N55">
        <v>103.969826</v>
      </c>
      <c r="O55">
        <v>106.68147999999999</v>
      </c>
      <c r="P55">
        <v>109.936981</v>
      </c>
      <c r="Q55">
        <v>113.10684999999999</v>
      </c>
      <c r="R55">
        <v>116.17791</v>
      </c>
      <c r="S55">
        <v>119.59766399999999</v>
      </c>
      <c r="T55">
        <v>123.633385</v>
      </c>
      <c r="U55">
        <v>126.946815</v>
      </c>
      <c r="V55">
        <v>130.566971</v>
      </c>
      <c r="W55">
        <v>134.157837</v>
      </c>
      <c r="X55">
        <v>138.17053200000001</v>
      </c>
      <c r="Y55">
        <v>142.142044</v>
      </c>
      <c r="Z55">
        <v>146.22706600000001</v>
      </c>
      <c r="AA55">
        <v>149.632217</v>
      </c>
      <c r="AB55">
        <v>153.53042600000001</v>
      </c>
      <c r="AC55">
        <v>157.63656599999999</v>
      </c>
      <c r="AD55">
        <v>162.51611299999999</v>
      </c>
      <c r="AE55">
        <v>167.21038799999999</v>
      </c>
      <c r="AF55">
        <v>172.20019500000001</v>
      </c>
      <c r="AG55">
        <v>177.44169600000001</v>
      </c>
      <c r="AH55">
        <v>182.600998</v>
      </c>
      <c r="AI55" s="159">
        <v>2.4E-2</v>
      </c>
    </row>
    <row r="56" spans="1:35" ht="15" customHeight="1" x14ac:dyDescent="0.25">
      <c r="A56" t="s">
        <v>637</v>
      </c>
    </row>
    <row r="57" spans="1:35" ht="15" customHeight="1" x14ac:dyDescent="0.25">
      <c r="A57" t="s">
        <v>638</v>
      </c>
    </row>
    <row r="58" spans="1:35" ht="15" customHeight="1" x14ac:dyDescent="0.25">
      <c r="A58" t="s">
        <v>856</v>
      </c>
    </row>
    <row r="59" spans="1:35" x14ac:dyDescent="0.25">
      <c r="A59" t="s">
        <v>857</v>
      </c>
      <c r="B59" t="s">
        <v>930</v>
      </c>
      <c r="C59" t="s">
        <v>931</v>
      </c>
      <c r="D59" t="s">
        <v>932</v>
      </c>
      <c r="F59">
        <v>2.6643159999999999</v>
      </c>
      <c r="G59">
        <v>2.981433</v>
      </c>
      <c r="H59">
        <v>3.0719810000000001</v>
      </c>
      <c r="I59">
        <v>3.0316689999999999</v>
      </c>
      <c r="J59">
        <v>2.984559</v>
      </c>
      <c r="K59">
        <v>2.9570479999999999</v>
      </c>
      <c r="L59">
        <v>2.9672689999999999</v>
      </c>
      <c r="M59">
        <v>3.0116710000000002</v>
      </c>
      <c r="N59">
        <v>3.0888520000000002</v>
      </c>
      <c r="O59">
        <v>3.1922429999999999</v>
      </c>
      <c r="P59">
        <v>3.3191579999999998</v>
      </c>
      <c r="Q59">
        <v>3.4677739999999999</v>
      </c>
      <c r="R59">
        <v>3.6225390000000002</v>
      </c>
      <c r="S59">
        <v>3.7661959999999999</v>
      </c>
      <c r="T59">
        <v>3.898145</v>
      </c>
      <c r="U59">
        <v>4.0267239999999997</v>
      </c>
      <c r="V59">
        <v>4.1701329999999999</v>
      </c>
      <c r="W59">
        <v>4.288951</v>
      </c>
      <c r="X59">
        <v>4.4297529999999998</v>
      </c>
      <c r="Y59">
        <v>4.5743679999999998</v>
      </c>
      <c r="Z59">
        <v>4.7107830000000002</v>
      </c>
      <c r="AA59">
        <v>4.8363589999999999</v>
      </c>
      <c r="AB59">
        <v>4.9529100000000001</v>
      </c>
      <c r="AC59">
        <v>5.0798389999999998</v>
      </c>
      <c r="AD59">
        <v>5.2342409999999999</v>
      </c>
      <c r="AE59">
        <v>5.3651910000000003</v>
      </c>
      <c r="AF59">
        <v>5.508089</v>
      </c>
      <c r="AG59">
        <v>5.6454950000000004</v>
      </c>
      <c r="AH59">
        <v>5.7798499999999997</v>
      </c>
      <c r="AI59" s="159">
        <v>2.8000000000000001E-2</v>
      </c>
    </row>
    <row r="60" spans="1:35" ht="15" customHeight="1" x14ac:dyDescent="0.25">
      <c r="A60" t="s">
        <v>861</v>
      </c>
      <c r="B60" t="s">
        <v>933</v>
      </c>
      <c r="C60" t="s">
        <v>934</v>
      </c>
      <c r="D60" t="s">
        <v>932</v>
      </c>
      <c r="F60">
        <v>4.8463640000000003</v>
      </c>
      <c r="G60">
        <v>4.7006420000000002</v>
      </c>
      <c r="H60">
        <v>4.6379440000000001</v>
      </c>
      <c r="I60">
        <v>4.4925509999999997</v>
      </c>
      <c r="J60">
        <v>4.517563</v>
      </c>
      <c r="K60">
        <v>4.5456979999999998</v>
      </c>
      <c r="L60">
        <v>4.5984509999999998</v>
      </c>
      <c r="M60">
        <v>4.7136329999999997</v>
      </c>
      <c r="N60">
        <v>4.8200719999999997</v>
      </c>
      <c r="O60">
        <v>4.9606199999999996</v>
      </c>
      <c r="P60">
        <v>5.0894560000000002</v>
      </c>
      <c r="Q60">
        <v>5.2308349999999999</v>
      </c>
      <c r="R60">
        <v>5.3643479999999997</v>
      </c>
      <c r="S60">
        <v>5.5225780000000002</v>
      </c>
      <c r="T60">
        <v>5.6528169999999998</v>
      </c>
      <c r="U60">
        <v>5.8032110000000001</v>
      </c>
      <c r="V60">
        <v>5.9492019999999997</v>
      </c>
      <c r="W60">
        <v>6.088381</v>
      </c>
      <c r="X60">
        <v>6.2339510000000002</v>
      </c>
      <c r="Y60">
        <v>6.4071639999999999</v>
      </c>
      <c r="Z60">
        <v>6.550408</v>
      </c>
      <c r="AA60">
        <v>6.7259460000000004</v>
      </c>
      <c r="AB60">
        <v>6.8595860000000002</v>
      </c>
      <c r="AC60">
        <v>7.0297369999999999</v>
      </c>
      <c r="AD60">
        <v>7.2457580000000004</v>
      </c>
      <c r="AE60">
        <v>7.4242460000000001</v>
      </c>
      <c r="AF60">
        <v>7.610385</v>
      </c>
      <c r="AG60">
        <v>7.8099790000000002</v>
      </c>
      <c r="AH60">
        <v>7.9983240000000002</v>
      </c>
      <c r="AI60" s="159">
        <v>1.7999999999999999E-2</v>
      </c>
    </row>
    <row r="61" spans="1:35" ht="15" customHeight="1" x14ac:dyDescent="0.25">
      <c r="A61" t="s">
        <v>864</v>
      </c>
    </row>
    <row r="62" spans="1:35" ht="15" customHeight="1" x14ac:dyDescent="0.25">
      <c r="A62" t="s">
        <v>861</v>
      </c>
      <c r="B62" t="s">
        <v>935</v>
      </c>
      <c r="C62" t="s">
        <v>936</v>
      </c>
      <c r="D62" t="s">
        <v>932</v>
      </c>
      <c r="F62">
        <v>4.8492800000000003</v>
      </c>
      <c r="G62">
        <v>4.7229029999999996</v>
      </c>
      <c r="H62">
        <v>4.4913829999999999</v>
      </c>
      <c r="I62">
        <v>4.1691950000000002</v>
      </c>
      <c r="J62">
        <v>4.0071570000000003</v>
      </c>
      <c r="K62">
        <v>3.843928</v>
      </c>
      <c r="L62">
        <v>3.6954199999999999</v>
      </c>
      <c r="M62">
        <v>3.7900109999999998</v>
      </c>
      <c r="N62">
        <v>3.874908</v>
      </c>
      <c r="O62">
        <v>3.9919630000000002</v>
      </c>
      <c r="P62">
        <v>4.0997870000000001</v>
      </c>
      <c r="Q62">
        <v>4.2156479999999998</v>
      </c>
      <c r="R62">
        <v>4.3265339999999997</v>
      </c>
      <c r="S62">
        <v>4.4564370000000002</v>
      </c>
      <c r="T62">
        <v>4.5641170000000004</v>
      </c>
      <c r="U62">
        <v>4.6884170000000003</v>
      </c>
      <c r="V62">
        <v>4.8086979999999997</v>
      </c>
      <c r="W62">
        <v>4.9227460000000001</v>
      </c>
      <c r="X62">
        <v>5.0423559999999998</v>
      </c>
      <c r="Y62">
        <v>5.1885260000000004</v>
      </c>
      <c r="Z62">
        <v>5.3042319999999998</v>
      </c>
      <c r="AA62">
        <v>5.4514189999999996</v>
      </c>
      <c r="AB62">
        <v>5.556578</v>
      </c>
      <c r="AC62">
        <v>5.7024179999999998</v>
      </c>
      <c r="AD62">
        <v>5.961805</v>
      </c>
      <c r="AE62">
        <v>6.1068449999999999</v>
      </c>
      <c r="AF62">
        <v>6.2612870000000003</v>
      </c>
      <c r="AG62">
        <v>6.429735</v>
      </c>
      <c r="AH62">
        <v>6.5852060000000003</v>
      </c>
      <c r="AI62" s="159">
        <v>1.0999999999999999E-2</v>
      </c>
    </row>
    <row r="63" spans="1:35" ht="15" customHeight="1" x14ac:dyDescent="0.25">
      <c r="A63" t="s">
        <v>867</v>
      </c>
      <c r="B63" t="s">
        <v>937</v>
      </c>
      <c r="C63" t="s">
        <v>938</v>
      </c>
      <c r="D63" t="s">
        <v>932</v>
      </c>
      <c r="F63">
        <v>1.8904399999999999</v>
      </c>
      <c r="G63">
        <v>1.225994</v>
      </c>
      <c r="H63">
        <v>1.5065109999999999</v>
      </c>
      <c r="I63">
        <v>1.588854</v>
      </c>
      <c r="J63">
        <v>1.855299</v>
      </c>
      <c r="K63">
        <v>2.1338080000000001</v>
      </c>
      <c r="L63">
        <v>2.4391620000000001</v>
      </c>
      <c r="M63">
        <v>2.506437</v>
      </c>
      <c r="N63">
        <v>2.577671</v>
      </c>
      <c r="O63">
        <v>2.6566450000000001</v>
      </c>
      <c r="P63">
        <v>2.7361759999999999</v>
      </c>
      <c r="Q63">
        <v>2.818438</v>
      </c>
      <c r="R63">
        <v>2.9058980000000001</v>
      </c>
      <c r="S63">
        <v>2.9967760000000001</v>
      </c>
      <c r="T63">
        <v>3.0844299999999998</v>
      </c>
      <c r="U63">
        <v>3.174131</v>
      </c>
      <c r="V63">
        <v>3.2672889999999999</v>
      </c>
      <c r="W63">
        <v>3.3539669999999999</v>
      </c>
      <c r="X63">
        <v>3.4480279999999999</v>
      </c>
      <c r="Y63">
        <v>3.5548630000000001</v>
      </c>
      <c r="Z63">
        <v>3.6384340000000002</v>
      </c>
      <c r="AA63">
        <v>3.7387009999999998</v>
      </c>
      <c r="AB63">
        <v>3.8323499999999999</v>
      </c>
      <c r="AC63">
        <v>3.9360819999999999</v>
      </c>
      <c r="AD63">
        <v>4.0711680000000001</v>
      </c>
      <c r="AE63">
        <v>4.1676789999999997</v>
      </c>
      <c r="AF63">
        <v>4.3005449999999996</v>
      </c>
      <c r="AG63">
        <v>4.428941</v>
      </c>
      <c r="AH63">
        <v>4.5555669999999999</v>
      </c>
      <c r="AI63" s="159">
        <v>3.2000000000000001E-2</v>
      </c>
    </row>
    <row r="64" spans="1:35" ht="15" customHeight="1" x14ac:dyDescent="0.25">
      <c r="A64" t="s">
        <v>872</v>
      </c>
    </row>
    <row r="65" spans="1:35" ht="15" customHeight="1" x14ac:dyDescent="0.25">
      <c r="A65" t="s">
        <v>857</v>
      </c>
      <c r="B65" t="s">
        <v>939</v>
      </c>
      <c r="C65" t="s">
        <v>940</v>
      </c>
      <c r="D65" t="s">
        <v>932</v>
      </c>
      <c r="F65">
        <v>2.1431879999999999</v>
      </c>
      <c r="G65">
        <v>2.0445669999999998</v>
      </c>
      <c r="H65">
        <v>1.8736390000000001</v>
      </c>
      <c r="I65">
        <v>1.694936</v>
      </c>
      <c r="J65">
        <v>1.622004</v>
      </c>
      <c r="K65">
        <v>1.5983339999999999</v>
      </c>
      <c r="L65">
        <v>1.622452</v>
      </c>
      <c r="M65">
        <v>1.672312</v>
      </c>
      <c r="N65">
        <v>1.74587</v>
      </c>
      <c r="O65">
        <v>1.8335589999999999</v>
      </c>
      <c r="P65">
        <v>1.9375979999999999</v>
      </c>
      <c r="Q65">
        <v>2.054389</v>
      </c>
      <c r="R65">
        <v>2.1633520000000002</v>
      </c>
      <c r="S65">
        <v>2.2495449999999999</v>
      </c>
      <c r="T65">
        <v>2.3234319999999999</v>
      </c>
      <c r="U65">
        <v>2.4023780000000001</v>
      </c>
      <c r="V65">
        <v>2.5084849999999999</v>
      </c>
      <c r="W65">
        <v>2.5638640000000001</v>
      </c>
      <c r="X65">
        <v>2.6684429999999999</v>
      </c>
      <c r="Y65">
        <v>2.7663479999999998</v>
      </c>
      <c r="Z65">
        <v>2.8451960000000001</v>
      </c>
      <c r="AA65">
        <v>2.909697</v>
      </c>
      <c r="AB65">
        <v>2.9676619999999998</v>
      </c>
      <c r="AC65">
        <v>3.0464479999999998</v>
      </c>
      <c r="AD65">
        <v>3.1173030000000002</v>
      </c>
      <c r="AE65">
        <v>3.1981480000000002</v>
      </c>
      <c r="AF65">
        <v>3.2928540000000002</v>
      </c>
      <c r="AG65">
        <v>3.3693140000000001</v>
      </c>
      <c r="AH65">
        <v>3.4419369999999998</v>
      </c>
      <c r="AI65" s="159">
        <v>1.7000000000000001E-2</v>
      </c>
    </row>
    <row r="66" spans="1:35" ht="15" customHeight="1" x14ac:dyDescent="0.25">
      <c r="A66" t="s">
        <v>861</v>
      </c>
      <c r="B66" t="s">
        <v>941</v>
      </c>
      <c r="C66" t="s">
        <v>942</v>
      </c>
      <c r="D66" t="s">
        <v>932</v>
      </c>
      <c r="F66">
        <v>4.838775</v>
      </c>
      <c r="G66">
        <v>4.6976259999999996</v>
      </c>
      <c r="H66">
        <v>4.4710539999999996</v>
      </c>
      <c r="I66">
        <v>4.142582</v>
      </c>
      <c r="J66">
        <v>3.9738169999999999</v>
      </c>
      <c r="K66">
        <v>3.8045990000000001</v>
      </c>
      <c r="L66">
        <v>3.6494239999999998</v>
      </c>
      <c r="M66">
        <v>3.74519</v>
      </c>
      <c r="N66">
        <v>3.829869</v>
      </c>
      <c r="O66">
        <v>3.946475</v>
      </c>
      <c r="P66">
        <v>4.0549039999999996</v>
      </c>
      <c r="Q66">
        <v>4.1726979999999996</v>
      </c>
      <c r="R66">
        <v>4.2828749999999998</v>
      </c>
      <c r="S66">
        <v>4.4152740000000001</v>
      </c>
      <c r="T66">
        <v>4.5222160000000002</v>
      </c>
      <c r="U66">
        <v>4.6479280000000003</v>
      </c>
      <c r="V66">
        <v>4.7687229999999996</v>
      </c>
      <c r="W66">
        <v>4.8833960000000003</v>
      </c>
      <c r="X66">
        <v>5.0037830000000003</v>
      </c>
      <c r="Y66">
        <v>5.1511750000000003</v>
      </c>
      <c r="Z66">
        <v>5.2676759999999998</v>
      </c>
      <c r="AA66">
        <v>5.4163610000000002</v>
      </c>
      <c r="AB66">
        <v>5.5229699999999999</v>
      </c>
      <c r="AC66">
        <v>5.664974</v>
      </c>
      <c r="AD66">
        <v>5.8525840000000002</v>
      </c>
      <c r="AE66">
        <v>5.9976209999999996</v>
      </c>
      <c r="AF66">
        <v>6.1516510000000002</v>
      </c>
      <c r="AG66">
        <v>6.3192240000000002</v>
      </c>
      <c r="AH66">
        <v>6.4736200000000004</v>
      </c>
      <c r="AI66" s="159">
        <v>0.01</v>
      </c>
    </row>
    <row r="67" spans="1:35" ht="15" customHeight="1" x14ac:dyDescent="0.25">
      <c r="A67" t="s">
        <v>867</v>
      </c>
      <c r="B67" t="s">
        <v>943</v>
      </c>
      <c r="C67" t="s">
        <v>944</v>
      </c>
      <c r="D67" t="s">
        <v>932</v>
      </c>
      <c r="F67">
        <v>1.9976419999999999</v>
      </c>
      <c r="G67">
        <v>1.3243659999999999</v>
      </c>
      <c r="H67">
        <v>1.6237299999999999</v>
      </c>
      <c r="I67">
        <v>1.7516430000000001</v>
      </c>
      <c r="J67">
        <v>2.0460690000000001</v>
      </c>
      <c r="K67">
        <v>2.3702610000000002</v>
      </c>
      <c r="L67">
        <v>2.7026629999999998</v>
      </c>
      <c r="M67">
        <v>2.7768000000000002</v>
      </c>
      <c r="N67">
        <v>2.8577370000000002</v>
      </c>
      <c r="O67">
        <v>2.9458009999999999</v>
      </c>
      <c r="P67">
        <v>3.0361829999999999</v>
      </c>
      <c r="Q67">
        <v>3.1303339999999999</v>
      </c>
      <c r="R67">
        <v>3.2293630000000002</v>
      </c>
      <c r="S67">
        <v>3.3314560000000002</v>
      </c>
      <c r="T67">
        <v>3.4287570000000001</v>
      </c>
      <c r="U67">
        <v>3.527644</v>
      </c>
      <c r="V67">
        <v>3.6318980000000001</v>
      </c>
      <c r="W67">
        <v>3.7287340000000002</v>
      </c>
      <c r="X67">
        <v>3.8345370000000001</v>
      </c>
      <c r="Y67">
        <v>3.9524759999999999</v>
      </c>
      <c r="Z67">
        <v>4.0467639999999996</v>
      </c>
      <c r="AA67">
        <v>4.1574660000000003</v>
      </c>
      <c r="AB67">
        <v>4.251042</v>
      </c>
      <c r="AC67">
        <v>4.3655359999999996</v>
      </c>
      <c r="AD67">
        <v>4.5142870000000004</v>
      </c>
      <c r="AE67">
        <v>4.6228239999999996</v>
      </c>
      <c r="AF67">
        <v>4.7649359999999996</v>
      </c>
      <c r="AG67">
        <v>4.9033680000000004</v>
      </c>
      <c r="AH67">
        <v>5.0427900000000001</v>
      </c>
      <c r="AI67" s="159">
        <v>3.4000000000000002E-2</v>
      </c>
    </row>
    <row r="68" spans="1:35" ht="15" customHeight="1" x14ac:dyDescent="0.25">
      <c r="A68" t="s">
        <v>880</v>
      </c>
    </row>
    <row r="69" spans="1:35" ht="15" customHeight="1" x14ac:dyDescent="0.25">
      <c r="A69" t="s">
        <v>857</v>
      </c>
      <c r="B69" t="s">
        <v>945</v>
      </c>
      <c r="C69" t="s">
        <v>946</v>
      </c>
      <c r="D69" t="s">
        <v>932</v>
      </c>
      <c r="F69">
        <v>2.3479260000000002</v>
      </c>
      <c r="G69">
        <v>2.2978429999999999</v>
      </c>
      <c r="H69">
        <v>2.192304</v>
      </c>
      <c r="I69">
        <v>2.07491</v>
      </c>
      <c r="J69">
        <v>2.0359720000000001</v>
      </c>
      <c r="K69">
        <v>2.0345110000000002</v>
      </c>
      <c r="L69">
        <v>2.0710459999999999</v>
      </c>
      <c r="M69">
        <v>2.1284190000000001</v>
      </c>
      <c r="N69">
        <v>2.2051470000000002</v>
      </c>
      <c r="O69">
        <v>2.293412</v>
      </c>
      <c r="P69">
        <v>2.3944860000000001</v>
      </c>
      <c r="Q69">
        <v>2.5058250000000002</v>
      </c>
      <c r="R69">
        <v>2.6110389999999999</v>
      </c>
      <c r="S69">
        <v>2.6985199999999998</v>
      </c>
      <c r="T69">
        <v>2.7769430000000002</v>
      </c>
      <c r="U69">
        <v>2.8592119999999999</v>
      </c>
      <c r="V69">
        <v>2.9621780000000002</v>
      </c>
      <c r="W69">
        <v>3.0266999999999999</v>
      </c>
      <c r="X69">
        <v>3.1297570000000001</v>
      </c>
      <c r="Y69">
        <v>3.22777</v>
      </c>
      <c r="Z69">
        <v>3.3122950000000002</v>
      </c>
      <c r="AA69">
        <v>3.387416</v>
      </c>
      <c r="AB69">
        <v>3.4587780000000001</v>
      </c>
      <c r="AC69">
        <v>3.5487389999999999</v>
      </c>
      <c r="AD69">
        <v>3.6722700000000001</v>
      </c>
      <c r="AE69">
        <v>3.7648239999999999</v>
      </c>
      <c r="AF69">
        <v>3.8686560000000001</v>
      </c>
      <c r="AG69">
        <v>3.959622</v>
      </c>
      <c r="AH69">
        <v>4.0490159999999999</v>
      </c>
      <c r="AI69" s="159">
        <v>0.02</v>
      </c>
    </row>
    <row r="70" spans="1:35" ht="15" customHeight="1" x14ac:dyDescent="0.25">
      <c r="A70" t="s">
        <v>883</v>
      </c>
      <c r="B70" t="s">
        <v>947</v>
      </c>
      <c r="C70" t="s">
        <v>948</v>
      </c>
      <c r="D70" t="s">
        <v>932</v>
      </c>
      <c r="F70">
        <v>3.6287739999999999</v>
      </c>
      <c r="G70">
        <v>3.3418939999999999</v>
      </c>
      <c r="H70">
        <v>3.2885059999999999</v>
      </c>
      <c r="I70">
        <v>3.1362009999999998</v>
      </c>
      <c r="J70">
        <v>3.172698</v>
      </c>
      <c r="K70">
        <v>3.2237529999999999</v>
      </c>
      <c r="L70">
        <v>3.2977050000000001</v>
      </c>
      <c r="M70">
        <v>3.3786689999999999</v>
      </c>
      <c r="N70">
        <v>3.4697420000000001</v>
      </c>
      <c r="O70">
        <v>3.5464349999999998</v>
      </c>
      <c r="P70">
        <v>3.6509740000000002</v>
      </c>
      <c r="Q70">
        <v>3.7502279999999999</v>
      </c>
      <c r="R70">
        <v>3.8574649999999999</v>
      </c>
      <c r="S70">
        <v>3.9601790000000001</v>
      </c>
      <c r="T70">
        <v>4.0994570000000001</v>
      </c>
      <c r="U70">
        <v>4.200761</v>
      </c>
      <c r="V70">
        <v>4.3103759999999998</v>
      </c>
      <c r="W70">
        <v>4.4271719999999997</v>
      </c>
      <c r="X70">
        <v>4.5346650000000004</v>
      </c>
      <c r="Y70">
        <v>4.6389060000000004</v>
      </c>
      <c r="Z70">
        <v>4.7587020000000004</v>
      </c>
      <c r="AA70">
        <v>4.8500240000000003</v>
      </c>
      <c r="AB70">
        <v>4.9965770000000003</v>
      </c>
      <c r="AC70">
        <v>5.1171829999999998</v>
      </c>
      <c r="AD70">
        <v>5.3773540000000004</v>
      </c>
      <c r="AE70">
        <v>5.5067050000000002</v>
      </c>
      <c r="AF70">
        <v>5.687824</v>
      </c>
      <c r="AG70">
        <v>5.842123</v>
      </c>
      <c r="AH70">
        <v>6.0391769999999996</v>
      </c>
      <c r="AI70" s="159">
        <v>1.7999999999999999E-2</v>
      </c>
    </row>
    <row r="71" spans="1:35" ht="15" customHeight="1" x14ac:dyDescent="0.25">
      <c r="A71" t="s">
        <v>886</v>
      </c>
      <c r="B71" t="s">
        <v>949</v>
      </c>
      <c r="C71" t="s">
        <v>950</v>
      </c>
      <c r="D71" t="s">
        <v>932</v>
      </c>
      <c r="F71">
        <v>1.5593049999999999</v>
      </c>
      <c r="G71">
        <v>1.623764</v>
      </c>
      <c r="H71">
        <v>1.6876059999999999</v>
      </c>
      <c r="I71">
        <v>1.607904</v>
      </c>
      <c r="J71">
        <v>1.638787</v>
      </c>
      <c r="K71">
        <v>1.6695469999999999</v>
      </c>
      <c r="L71">
        <v>1.7039519999999999</v>
      </c>
      <c r="M71">
        <v>1.739018</v>
      </c>
      <c r="N71">
        <v>1.7822899999999999</v>
      </c>
      <c r="O71">
        <v>1.821556</v>
      </c>
      <c r="P71">
        <v>1.858684</v>
      </c>
      <c r="Q71">
        <v>1.8475980000000001</v>
      </c>
      <c r="R71">
        <v>1.9115660000000001</v>
      </c>
      <c r="S71">
        <v>1.9198770000000001</v>
      </c>
      <c r="T71">
        <v>1.9933909999999999</v>
      </c>
      <c r="U71">
        <v>2.019784</v>
      </c>
      <c r="V71">
        <v>2.0396719999999999</v>
      </c>
      <c r="W71">
        <v>2.061582</v>
      </c>
      <c r="X71">
        <v>2.105588</v>
      </c>
      <c r="Y71">
        <v>2.1368179999999999</v>
      </c>
      <c r="Z71">
        <v>2.1806869999999998</v>
      </c>
      <c r="AA71">
        <v>2.230985</v>
      </c>
      <c r="AB71">
        <v>2.375915</v>
      </c>
      <c r="AC71">
        <v>2.460896</v>
      </c>
      <c r="AD71">
        <v>2.608295</v>
      </c>
      <c r="AE71">
        <v>2.639065</v>
      </c>
      <c r="AF71">
        <v>2.6929650000000001</v>
      </c>
      <c r="AG71">
        <v>2.8228460000000002</v>
      </c>
      <c r="AH71">
        <v>3.3062849999999999</v>
      </c>
      <c r="AI71" s="159">
        <v>2.7E-2</v>
      </c>
    </row>
    <row r="72" spans="1:35" ht="15" customHeight="1" x14ac:dyDescent="0.25">
      <c r="A72" t="s">
        <v>889</v>
      </c>
      <c r="B72" t="s">
        <v>951</v>
      </c>
      <c r="C72" t="s">
        <v>952</v>
      </c>
      <c r="D72" t="s">
        <v>932</v>
      </c>
      <c r="F72">
        <v>4.1839969999999997</v>
      </c>
      <c r="G72">
        <v>3.8193779999999999</v>
      </c>
      <c r="H72">
        <v>3.546643</v>
      </c>
      <c r="I72">
        <v>3.3818709999999998</v>
      </c>
      <c r="J72">
        <v>3.4165350000000001</v>
      </c>
      <c r="K72">
        <v>3.468658</v>
      </c>
      <c r="L72">
        <v>3.5444469999999999</v>
      </c>
      <c r="M72">
        <v>3.627688</v>
      </c>
      <c r="N72">
        <v>3.7206999999999999</v>
      </c>
      <c r="O72">
        <v>3.7995350000000001</v>
      </c>
      <c r="P72">
        <v>3.906202</v>
      </c>
      <c r="Q72">
        <v>4.0075830000000003</v>
      </c>
      <c r="R72">
        <v>4.1168290000000001</v>
      </c>
      <c r="S72">
        <v>4.2216589999999998</v>
      </c>
      <c r="T72">
        <v>4.3647850000000004</v>
      </c>
      <c r="U72">
        <v>4.4682969999999997</v>
      </c>
      <c r="V72">
        <v>4.5803690000000001</v>
      </c>
      <c r="W72">
        <v>4.7007490000000001</v>
      </c>
      <c r="X72">
        <v>4.8112940000000002</v>
      </c>
      <c r="Y72">
        <v>4.9186759999999996</v>
      </c>
      <c r="Z72">
        <v>5.0421829999999996</v>
      </c>
      <c r="AA72">
        <v>5.1363669999999999</v>
      </c>
      <c r="AB72">
        <v>5.2888909999999996</v>
      </c>
      <c r="AC72">
        <v>5.413583</v>
      </c>
      <c r="AD72">
        <v>5.6947390000000002</v>
      </c>
      <c r="AE72">
        <v>5.8288130000000002</v>
      </c>
      <c r="AF72">
        <v>6.0164059999999999</v>
      </c>
      <c r="AG72">
        <v>6.1760349999999997</v>
      </c>
      <c r="AH72">
        <v>6.379766</v>
      </c>
      <c r="AI72" s="159">
        <v>1.4999999999999999E-2</v>
      </c>
    </row>
    <row r="73" spans="1:35" ht="15" customHeight="1" x14ac:dyDescent="0.25">
      <c r="A73" t="s">
        <v>892</v>
      </c>
      <c r="B73" t="s">
        <v>953</v>
      </c>
      <c r="C73" t="s">
        <v>954</v>
      </c>
      <c r="D73" t="s">
        <v>932</v>
      </c>
      <c r="F73">
        <v>3.6098750000000002</v>
      </c>
      <c r="G73">
        <v>3.172596</v>
      </c>
      <c r="H73">
        <v>3.1190829999999998</v>
      </c>
      <c r="I73">
        <v>2.9687239999999999</v>
      </c>
      <c r="J73">
        <v>2.997598</v>
      </c>
      <c r="K73">
        <v>3.0266190000000002</v>
      </c>
      <c r="L73">
        <v>3.077226</v>
      </c>
      <c r="M73">
        <v>3.162884</v>
      </c>
      <c r="N73">
        <v>3.2370730000000001</v>
      </c>
      <c r="O73">
        <v>3.3475990000000002</v>
      </c>
      <c r="P73">
        <v>3.4516439999999999</v>
      </c>
      <c r="Q73">
        <v>3.548645</v>
      </c>
      <c r="R73">
        <v>3.6605509999999999</v>
      </c>
      <c r="S73">
        <v>3.7747000000000002</v>
      </c>
      <c r="T73">
        <v>3.8803079999999999</v>
      </c>
      <c r="U73">
        <v>3.9910169999999998</v>
      </c>
      <c r="V73">
        <v>4.1034490000000003</v>
      </c>
      <c r="W73">
        <v>4.2131869999999996</v>
      </c>
      <c r="X73">
        <v>4.3319739999999998</v>
      </c>
      <c r="Y73">
        <v>4.472531</v>
      </c>
      <c r="Z73">
        <v>4.5840180000000004</v>
      </c>
      <c r="AA73">
        <v>4.7251000000000003</v>
      </c>
      <c r="AB73">
        <v>4.8252199999999998</v>
      </c>
      <c r="AC73">
        <v>4.9734860000000003</v>
      </c>
      <c r="AD73">
        <v>5.1665530000000004</v>
      </c>
      <c r="AE73">
        <v>5.3003859999999996</v>
      </c>
      <c r="AF73">
        <v>5.4424099999999997</v>
      </c>
      <c r="AG73">
        <v>5.5983910000000003</v>
      </c>
      <c r="AH73">
        <v>5.7410059999999996</v>
      </c>
      <c r="AI73" s="159">
        <v>1.7000000000000001E-2</v>
      </c>
    </row>
    <row r="74" spans="1:35" ht="15" customHeight="1" x14ac:dyDescent="0.25">
      <c r="A74" t="s">
        <v>895</v>
      </c>
      <c r="B74" t="s">
        <v>955</v>
      </c>
      <c r="C74" t="s">
        <v>956</v>
      </c>
      <c r="D74" t="s">
        <v>932</v>
      </c>
      <c r="F74">
        <v>5.1050589999999998</v>
      </c>
      <c r="G74">
        <v>4.7051970000000001</v>
      </c>
      <c r="H74">
        <v>4.5727950000000002</v>
      </c>
      <c r="I74">
        <v>4.3560030000000003</v>
      </c>
      <c r="J74">
        <v>4.307353</v>
      </c>
      <c r="K74">
        <v>4.2544740000000001</v>
      </c>
      <c r="L74">
        <v>4.2226990000000004</v>
      </c>
      <c r="M74">
        <v>4.3309350000000002</v>
      </c>
      <c r="N74">
        <v>4.4317349999999998</v>
      </c>
      <c r="O74">
        <v>4.5599129999999999</v>
      </c>
      <c r="P74">
        <v>4.6863489999999999</v>
      </c>
      <c r="Q74">
        <v>4.8186739999999997</v>
      </c>
      <c r="R74">
        <v>4.9426779999999999</v>
      </c>
      <c r="S74">
        <v>5.0972239999999998</v>
      </c>
      <c r="T74">
        <v>5.2157650000000002</v>
      </c>
      <c r="U74">
        <v>5.3596719999999998</v>
      </c>
      <c r="V74">
        <v>5.498405</v>
      </c>
      <c r="W74">
        <v>5.6279339999999998</v>
      </c>
      <c r="X74">
        <v>5.763433</v>
      </c>
      <c r="Y74">
        <v>5.9291510000000001</v>
      </c>
      <c r="Z74">
        <v>6.0653629999999996</v>
      </c>
      <c r="AA74">
        <v>6.2312279999999998</v>
      </c>
      <c r="AB74">
        <v>6.3535009999999996</v>
      </c>
      <c r="AC74">
        <v>6.5146280000000001</v>
      </c>
      <c r="AD74">
        <v>6.8089240000000002</v>
      </c>
      <c r="AE74">
        <v>6.9768819999999998</v>
      </c>
      <c r="AF74">
        <v>7.1562799999999998</v>
      </c>
      <c r="AG74">
        <v>7.3444190000000003</v>
      </c>
      <c r="AH74">
        <v>7.523714</v>
      </c>
      <c r="AI74" s="159">
        <v>1.4E-2</v>
      </c>
    </row>
    <row r="75" spans="1:35" ht="15" customHeight="1" x14ac:dyDescent="0.25">
      <c r="A75" t="s">
        <v>867</v>
      </c>
      <c r="B75" t="s">
        <v>957</v>
      </c>
      <c r="C75" t="s">
        <v>958</v>
      </c>
      <c r="D75" t="s">
        <v>932</v>
      </c>
      <c r="F75">
        <v>2.3040080000000001</v>
      </c>
      <c r="G75">
        <v>2.4242119999999998</v>
      </c>
      <c r="H75">
        <v>2.7626430000000002</v>
      </c>
      <c r="I75">
        <v>2.6772990000000001</v>
      </c>
      <c r="J75">
        <v>2.7374160000000001</v>
      </c>
      <c r="K75">
        <v>2.8093249999999999</v>
      </c>
      <c r="L75">
        <v>2.8756930000000001</v>
      </c>
      <c r="M75">
        <v>2.9527760000000001</v>
      </c>
      <c r="N75">
        <v>3.03688</v>
      </c>
      <c r="O75">
        <v>3.12079</v>
      </c>
      <c r="P75">
        <v>3.2109960000000002</v>
      </c>
      <c r="Q75">
        <v>3.305326</v>
      </c>
      <c r="R75">
        <v>3.4030550000000002</v>
      </c>
      <c r="S75">
        <v>3.5061779999999998</v>
      </c>
      <c r="T75">
        <v>3.5990009999999999</v>
      </c>
      <c r="U75">
        <v>3.6988560000000001</v>
      </c>
      <c r="V75">
        <v>3.802257</v>
      </c>
      <c r="W75">
        <v>3.9018009999999999</v>
      </c>
      <c r="X75">
        <v>4.0036959999999997</v>
      </c>
      <c r="Y75">
        <v>4.1188750000000001</v>
      </c>
      <c r="Z75">
        <v>4.2181240000000004</v>
      </c>
      <c r="AA75">
        <v>4.3336579999999998</v>
      </c>
      <c r="AB75">
        <v>4.4330369999999997</v>
      </c>
      <c r="AC75">
        <v>4.5477910000000001</v>
      </c>
      <c r="AD75">
        <v>4.7024039999999996</v>
      </c>
      <c r="AE75">
        <v>4.813231</v>
      </c>
      <c r="AF75">
        <v>4.9569080000000003</v>
      </c>
      <c r="AG75">
        <v>5.1001190000000003</v>
      </c>
      <c r="AH75">
        <v>5.2490309999999996</v>
      </c>
      <c r="AI75" s="159">
        <v>0.03</v>
      </c>
    </row>
    <row r="76" spans="1:35" ht="15" customHeight="1" x14ac:dyDescent="0.25">
      <c r="A76" t="s">
        <v>901</v>
      </c>
    </row>
    <row r="77" spans="1:35" ht="15" customHeight="1" x14ac:dyDescent="0.25">
      <c r="A77" t="s">
        <v>861</v>
      </c>
      <c r="B77" t="s">
        <v>959</v>
      </c>
      <c r="C77" t="s">
        <v>960</v>
      </c>
      <c r="D77" t="s">
        <v>932</v>
      </c>
      <c r="F77">
        <v>4.8486900000000004</v>
      </c>
      <c r="G77">
        <v>4.7125170000000001</v>
      </c>
      <c r="H77">
        <v>4.5060890000000002</v>
      </c>
      <c r="I77">
        <v>4.1785100000000002</v>
      </c>
      <c r="J77">
        <v>4.0211920000000001</v>
      </c>
      <c r="K77">
        <v>3.8559369999999999</v>
      </c>
      <c r="L77">
        <v>3.6951999999999998</v>
      </c>
      <c r="M77">
        <v>3.8057099999999999</v>
      </c>
      <c r="N77">
        <v>3.913843</v>
      </c>
      <c r="O77">
        <v>4.0013069999999997</v>
      </c>
      <c r="P77">
        <v>4.112838</v>
      </c>
      <c r="Q77">
        <v>4.2087240000000001</v>
      </c>
      <c r="R77">
        <v>4.334708</v>
      </c>
      <c r="S77">
        <v>4.4542960000000003</v>
      </c>
      <c r="T77">
        <v>4.5704219999999998</v>
      </c>
      <c r="U77">
        <v>4.6825489999999999</v>
      </c>
      <c r="V77">
        <v>4.7940139999999998</v>
      </c>
      <c r="W77">
        <v>4.9146489999999998</v>
      </c>
      <c r="X77">
        <v>5.0437430000000001</v>
      </c>
      <c r="Y77">
        <v>5.1907430000000003</v>
      </c>
      <c r="Z77">
        <v>5.3062509999999996</v>
      </c>
      <c r="AA77">
        <v>5.4530269999999996</v>
      </c>
      <c r="AB77">
        <v>5.5656299999999996</v>
      </c>
      <c r="AC77">
        <v>5.7222910000000002</v>
      </c>
      <c r="AD77">
        <v>5.9147970000000001</v>
      </c>
      <c r="AE77">
        <v>6.0645439999999997</v>
      </c>
      <c r="AF77">
        <v>6.2222289999999996</v>
      </c>
      <c r="AG77">
        <v>6.4023979999999998</v>
      </c>
      <c r="AH77">
        <v>6.5586120000000001</v>
      </c>
      <c r="AI77" s="159">
        <v>1.0999999999999999E-2</v>
      </c>
    </row>
    <row r="78" spans="1:35" ht="15" customHeight="1" x14ac:dyDescent="0.25">
      <c r="A78" t="s">
        <v>867</v>
      </c>
      <c r="B78" t="s">
        <v>961</v>
      </c>
      <c r="C78" t="s">
        <v>962</v>
      </c>
      <c r="D78" t="s">
        <v>932</v>
      </c>
      <c r="F78">
        <v>3.2552680000000001</v>
      </c>
      <c r="G78">
        <v>2.8967809999999998</v>
      </c>
      <c r="H78">
        <v>2.944197</v>
      </c>
      <c r="I78">
        <v>2.843261</v>
      </c>
      <c r="J78">
        <v>2.8987919999999998</v>
      </c>
      <c r="K78">
        <v>2.9707330000000001</v>
      </c>
      <c r="L78">
        <v>3.0339779999999998</v>
      </c>
      <c r="M78">
        <v>3.110919</v>
      </c>
      <c r="N78">
        <v>3.1951369999999999</v>
      </c>
      <c r="O78">
        <v>3.2761200000000001</v>
      </c>
      <c r="P78">
        <v>3.3675489999999999</v>
      </c>
      <c r="Q78">
        <v>3.4620220000000002</v>
      </c>
      <c r="R78">
        <v>3.5591539999999999</v>
      </c>
      <c r="S78">
        <v>3.6667139999999998</v>
      </c>
      <c r="T78">
        <v>3.7621419999999999</v>
      </c>
      <c r="U78">
        <v>3.8595700000000002</v>
      </c>
      <c r="V78">
        <v>3.9603869999999999</v>
      </c>
      <c r="W78">
        <v>4.0601700000000003</v>
      </c>
      <c r="X78">
        <v>4.1535919999999997</v>
      </c>
      <c r="Y78">
        <v>4.2409699999999999</v>
      </c>
      <c r="Z78">
        <v>4.3119230000000002</v>
      </c>
      <c r="AA78">
        <v>4.3819739999999996</v>
      </c>
      <c r="AB78">
        <v>4.4354430000000002</v>
      </c>
      <c r="AC78">
        <v>4.4835529999999997</v>
      </c>
      <c r="AD78">
        <v>4.646598</v>
      </c>
      <c r="AE78">
        <v>4.7642509999999998</v>
      </c>
      <c r="AF78">
        <v>4.9072170000000002</v>
      </c>
      <c r="AG78">
        <v>5.051749</v>
      </c>
      <c r="AH78">
        <v>5.1925460000000001</v>
      </c>
      <c r="AI78" s="159">
        <v>1.7000000000000001E-2</v>
      </c>
    </row>
    <row r="79" spans="1:35" ht="15" customHeight="1" x14ac:dyDescent="0.25">
      <c r="A79" t="s">
        <v>907</v>
      </c>
      <c r="B79" t="s">
        <v>908</v>
      </c>
    </row>
    <row r="80" spans="1:35" ht="15" customHeight="1" x14ac:dyDescent="0.25">
      <c r="A80" t="s">
        <v>857</v>
      </c>
      <c r="B80" t="s">
        <v>963</v>
      </c>
      <c r="C80" t="s">
        <v>964</v>
      </c>
      <c r="D80" t="s">
        <v>932</v>
      </c>
      <c r="F80">
        <v>2.567952</v>
      </c>
      <c r="G80">
        <v>2.748713</v>
      </c>
      <c r="H80">
        <v>2.690401</v>
      </c>
      <c r="I80">
        <v>2.594827</v>
      </c>
      <c r="J80">
        <v>2.5371450000000002</v>
      </c>
      <c r="K80">
        <v>2.5118640000000001</v>
      </c>
      <c r="L80">
        <v>2.5285359999999999</v>
      </c>
      <c r="M80">
        <v>2.5749610000000001</v>
      </c>
      <c r="N80">
        <v>2.6504120000000002</v>
      </c>
      <c r="O80">
        <v>2.7467830000000002</v>
      </c>
      <c r="P80">
        <v>2.8621850000000002</v>
      </c>
      <c r="Q80">
        <v>2.9959530000000001</v>
      </c>
      <c r="R80">
        <v>3.1296710000000001</v>
      </c>
      <c r="S80">
        <v>3.2473390000000002</v>
      </c>
      <c r="T80">
        <v>3.353256</v>
      </c>
      <c r="U80">
        <v>3.458637</v>
      </c>
      <c r="V80">
        <v>3.5834860000000002</v>
      </c>
      <c r="W80">
        <v>3.6739259999999998</v>
      </c>
      <c r="X80">
        <v>3.7969930000000001</v>
      </c>
      <c r="Y80">
        <v>3.919721</v>
      </c>
      <c r="Z80">
        <v>4.0299940000000003</v>
      </c>
      <c r="AA80">
        <v>4.1286290000000001</v>
      </c>
      <c r="AB80">
        <v>4.219786</v>
      </c>
      <c r="AC80">
        <v>4.3260699999999996</v>
      </c>
      <c r="AD80">
        <v>4.4532629999999997</v>
      </c>
      <c r="AE80">
        <v>4.5625309999999999</v>
      </c>
      <c r="AF80">
        <v>4.6845780000000001</v>
      </c>
      <c r="AG80">
        <v>4.7961200000000002</v>
      </c>
      <c r="AH80">
        <v>4.9039799999999998</v>
      </c>
      <c r="AI80" s="159">
        <v>2.3E-2</v>
      </c>
    </row>
    <row r="81" spans="1:35" ht="15" customHeight="1" x14ac:dyDescent="0.25">
      <c r="A81" t="s">
        <v>889</v>
      </c>
      <c r="B81" t="s">
        <v>965</v>
      </c>
      <c r="C81" t="s">
        <v>966</v>
      </c>
      <c r="D81" t="s">
        <v>932</v>
      </c>
      <c r="F81">
        <v>4.1836200000000003</v>
      </c>
      <c r="G81">
        <v>3.8133339999999998</v>
      </c>
      <c r="H81">
        <v>3.546818</v>
      </c>
      <c r="I81">
        <v>3.3850720000000001</v>
      </c>
      <c r="J81">
        <v>3.4206259999999999</v>
      </c>
      <c r="K81">
        <v>3.4722719999999998</v>
      </c>
      <c r="L81">
        <v>3.5468540000000002</v>
      </c>
      <c r="M81">
        <v>3.630287</v>
      </c>
      <c r="N81">
        <v>3.7234970000000001</v>
      </c>
      <c r="O81">
        <v>3.802581</v>
      </c>
      <c r="P81">
        <v>3.9094630000000001</v>
      </c>
      <c r="Q81">
        <v>4.0110859999999997</v>
      </c>
      <c r="R81">
        <v>4.1205439999999998</v>
      </c>
      <c r="S81">
        <v>4.2256150000000003</v>
      </c>
      <c r="T81">
        <v>4.3688440000000002</v>
      </c>
      <c r="U81">
        <v>4.4726229999999996</v>
      </c>
      <c r="V81">
        <v>4.5849310000000001</v>
      </c>
      <c r="W81">
        <v>4.7055030000000002</v>
      </c>
      <c r="X81">
        <v>4.8162950000000002</v>
      </c>
      <c r="Y81">
        <v>4.9239509999999997</v>
      </c>
      <c r="Z81">
        <v>5.0477030000000003</v>
      </c>
      <c r="AA81">
        <v>5.1421849999999996</v>
      </c>
      <c r="AB81">
        <v>5.2949440000000001</v>
      </c>
      <c r="AC81">
        <v>5.4199840000000004</v>
      </c>
      <c r="AD81">
        <v>5.7022740000000001</v>
      </c>
      <c r="AE81">
        <v>5.8366470000000001</v>
      </c>
      <c r="AF81">
        <v>6.0244549999999997</v>
      </c>
      <c r="AG81">
        <v>6.1843849999999998</v>
      </c>
      <c r="AH81">
        <v>6.3883479999999997</v>
      </c>
      <c r="AI81" s="159">
        <v>1.4999999999999999E-2</v>
      </c>
    </row>
    <row r="82" spans="1:35" ht="15" customHeight="1" x14ac:dyDescent="0.25">
      <c r="A82" t="s">
        <v>892</v>
      </c>
      <c r="B82" t="s">
        <v>967</v>
      </c>
      <c r="C82" t="s">
        <v>968</v>
      </c>
      <c r="D82" t="s">
        <v>932</v>
      </c>
      <c r="F82">
        <v>3.6098750000000002</v>
      </c>
      <c r="G82">
        <v>3.172596</v>
      </c>
      <c r="H82">
        <v>3.1190829999999998</v>
      </c>
      <c r="I82">
        <v>2.9687239999999999</v>
      </c>
      <c r="J82">
        <v>2.997598</v>
      </c>
      <c r="K82">
        <v>3.0266190000000002</v>
      </c>
      <c r="L82">
        <v>3.077226</v>
      </c>
      <c r="M82">
        <v>3.162884</v>
      </c>
      <c r="N82">
        <v>3.2370730000000001</v>
      </c>
      <c r="O82">
        <v>3.3475990000000002</v>
      </c>
      <c r="P82">
        <v>3.4516439999999999</v>
      </c>
      <c r="Q82">
        <v>3.548645</v>
      </c>
      <c r="R82">
        <v>3.6605509999999999</v>
      </c>
      <c r="S82">
        <v>3.7747000000000002</v>
      </c>
      <c r="T82">
        <v>3.8803079999999999</v>
      </c>
      <c r="U82">
        <v>3.9910169999999998</v>
      </c>
      <c r="V82">
        <v>4.1034490000000003</v>
      </c>
      <c r="W82">
        <v>4.2131869999999996</v>
      </c>
      <c r="X82">
        <v>4.3319739999999998</v>
      </c>
      <c r="Y82">
        <v>4.472531</v>
      </c>
      <c r="Z82">
        <v>4.5840180000000004</v>
      </c>
      <c r="AA82">
        <v>4.7251000000000003</v>
      </c>
      <c r="AB82">
        <v>4.8252199999999998</v>
      </c>
      <c r="AC82">
        <v>4.9734860000000003</v>
      </c>
      <c r="AD82">
        <v>5.1665530000000004</v>
      </c>
      <c r="AE82">
        <v>5.3003859999999996</v>
      </c>
      <c r="AF82">
        <v>5.4424099999999997</v>
      </c>
      <c r="AG82">
        <v>5.5983910000000003</v>
      </c>
      <c r="AH82">
        <v>5.7410059999999996</v>
      </c>
      <c r="AI82" s="159">
        <v>1.7000000000000001E-2</v>
      </c>
    </row>
    <row r="83" spans="1:35" ht="15" customHeight="1" x14ac:dyDescent="0.25">
      <c r="A83" t="s">
        <v>861</v>
      </c>
      <c r="B83" t="s">
        <v>969</v>
      </c>
      <c r="C83" t="s">
        <v>970</v>
      </c>
      <c r="D83" t="s">
        <v>932</v>
      </c>
      <c r="F83">
        <v>5.0437149999999997</v>
      </c>
      <c r="G83">
        <v>4.7037279999999999</v>
      </c>
      <c r="H83">
        <v>4.5576949999999998</v>
      </c>
      <c r="I83">
        <v>4.3245930000000001</v>
      </c>
      <c r="J83">
        <v>4.2572089999999996</v>
      </c>
      <c r="K83">
        <v>4.1879670000000004</v>
      </c>
      <c r="L83">
        <v>4.1379219999999997</v>
      </c>
      <c r="M83">
        <v>4.2446190000000001</v>
      </c>
      <c r="N83">
        <v>4.3409810000000002</v>
      </c>
      <c r="O83">
        <v>4.4688920000000003</v>
      </c>
      <c r="P83">
        <v>4.5898709999999996</v>
      </c>
      <c r="Q83">
        <v>4.7214159999999996</v>
      </c>
      <c r="R83">
        <v>4.8426429999999998</v>
      </c>
      <c r="S83">
        <v>4.9910709999999998</v>
      </c>
      <c r="T83">
        <v>5.1081810000000001</v>
      </c>
      <c r="U83">
        <v>5.247566</v>
      </c>
      <c r="V83">
        <v>5.3814060000000001</v>
      </c>
      <c r="W83">
        <v>5.5087039999999998</v>
      </c>
      <c r="X83">
        <v>5.6418970000000002</v>
      </c>
      <c r="Y83">
        <v>5.8023699999999998</v>
      </c>
      <c r="Z83">
        <v>5.9324009999999996</v>
      </c>
      <c r="AA83">
        <v>6.0951740000000001</v>
      </c>
      <c r="AB83">
        <v>6.216132</v>
      </c>
      <c r="AC83">
        <v>6.3745209999999997</v>
      </c>
      <c r="AD83">
        <v>6.6419829999999997</v>
      </c>
      <c r="AE83">
        <v>6.8056260000000002</v>
      </c>
      <c r="AF83">
        <v>6.9774950000000002</v>
      </c>
      <c r="AG83">
        <v>7.1632290000000003</v>
      </c>
      <c r="AH83">
        <v>7.3366480000000003</v>
      </c>
      <c r="AI83" s="159">
        <v>1.2999999999999999E-2</v>
      </c>
    </row>
    <row r="84" spans="1:35" x14ac:dyDescent="0.25">
      <c r="A84" t="s">
        <v>971</v>
      </c>
      <c r="B84" t="s">
        <v>972</v>
      </c>
      <c r="C84" t="s">
        <v>973</v>
      </c>
      <c r="D84" t="s">
        <v>925</v>
      </c>
      <c r="F84">
        <v>97.775390999999999</v>
      </c>
      <c r="G84">
        <v>98.249626000000006</v>
      </c>
      <c r="H84">
        <v>112.876907</v>
      </c>
      <c r="I84">
        <v>110.262444</v>
      </c>
      <c r="J84">
        <v>113.532791</v>
      </c>
      <c r="K84">
        <v>117.281464</v>
      </c>
      <c r="L84">
        <v>120.742378</v>
      </c>
      <c r="M84">
        <v>123.976883</v>
      </c>
      <c r="N84">
        <v>127.50097700000001</v>
      </c>
      <c r="O84">
        <v>131.02647400000001</v>
      </c>
      <c r="P84">
        <v>134.81274400000001</v>
      </c>
      <c r="Q84">
        <v>138.76387</v>
      </c>
      <c r="R84">
        <v>142.85798600000001</v>
      </c>
      <c r="S84">
        <v>147.18293800000001</v>
      </c>
      <c r="T84">
        <v>151.08175700000001</v>
      </c>
      <c r="U84">
        <v>155.247559</v>
      </c>
      <c r="V84">
        <v>159.56146200000001</v>
      </c>
      <c r="W84">
        <v>163.72183200000001</v>
      </c>
      <c r="X84">
        <v>167.965836</v>
      </c>
      <c r="Y84">
        <v>172.70851099999999</v>
      </c>
      <c r="Z84">
        <v>176.76915</v>
      </c>
      <c r="AA84">
        <v>181.495026</v>
      </c>
      <c r="AB84">
        <v>185.55419900000001</v>
      </c>
      <c r="AC84">
        <v>190.254974</v>
      </c>
      <c r="AD84">
        <v>196.750259</v>
      </c>
      <c r="AE84">
        <v>201.401093</v>
      </c>
      <c r="AF84">
        <v>207.421021</v>
      </c>
      <c r="AG84">
        <v>213.41575599999999</v>
      </c>
      <c r="AH84">
        <v>219.61142000000001</v>
      </c>
      <c r="AI84" s="159">
        <v>2.9000000000000001E-2</v>
      </c>
    </row>
    <row r="85" spans="1:35" x14ac:dyDescent="0.25">
      <c r="A85" t="s">
        <v>634</v>
      </c>
      <c r="B85" t="s">
        <v>974</v>
      </c>
      <c r="C85" t="s">
        <v>975</v>
      </c>
      <c r="D85" t="s">
        <v>932</v>
      </c>
      <c r="F85">
        <v>3.6236540000000002</v>
      </c>
      <c r="G85">
        <v>3.3297249999999998</v>
      </c>
      <c r="H85">
        <v>3.1645539999999999</v>
      </c>
      <c r="I85">
        <v>2.997884</v>
      </c>
      <c r="J85">
        <v>2.9769559999999999</v>
      </c>
      <c r="K85">
        <v>2.96794</v>
      </c>
      <c r="L85">
        <v>2.9842379999999999</v>
      </c>
      <c r="M85">
        <v>3.0452379999999999</v>
      </c>
      <c r="N85">
        <v>3.111478</v>
      </c>
      <c r="O85">
        <v>3.1888200000000002</v>
      </c>
      <c r="P85">
        <v>3.2755860000000001</v>
      </c>
      <c r="Q85">
        <v>3.3643740000000002</v>
      </c>
      <c r="R85">
        <v>3.4520870000000001</v>
      </c>
      <c r="S85">
        <v>3.5443250000000002</v>
      </c>
      <c r="T85">
        <v>3.6421899999999998</v>
      </c>
      <c r="U85">
        <v>3.733625</v>
      </c>
      <c r="V85">
        <v>3.833323</v>
      </c>
      <c r="W85">
        <v>3.9181300000000001</v>
      </c>
      <c r="X85">
        <v>4.0180170000000004</v>
      </c>
      <c r="Y85">
        <v>4.1167040000000004</v>
      </c>
      <c r="Z85">
        <v>4.2102269999999997</v>
      </c>
      <c r="AA85">
        <v>4.2992270000000001</v>
      </c>
      <c r="AB85">
        <v>4.4036689999999998</v>
      </c>
      <c r="AC85">
        <v>4.5151320000000004</v>
      </c>
      <c r="AD85">
        <v>4.7134850000000004</v>
      </c>
      <c r="AE85">
        <v>4.8317930000000002</v>
      </c>
      <c r="AF85">
        <v>4.9758649999999998</v>
      </c>
      <c r="AG85">
        <v>5.1100469999999998</v>
      </c>
      <c r="AH85">
        <v>5.2560900000000004</v>
      </c>
      <c r="AI85" s="159">
        <v>1.2999999999999999E-2</v>
      </c>
    </row>
    <row r="86" spans="1:35" ht="15" customHeight="1" x14ac:dyDescent="0.25"/>
    <row r="87" spans="1:35" ht="15" customHeight="1" x14ac:dyDescent="0.25"/>
    <row r="88" spans="1:35" ht="15" customHeight="1" x14ac:dyDescent="0.25"/>
    <row r="89" spans="1:35" ht="15" customHeight="1" x14ac:dyDescent="0.25"/>
    <row r="90" spans="1:35" ht="15" customHeight="1" x14ac:dyDescent="0.25"/>
    <row r="91" spans="1:35" ht="15" customHeight="1" x14ac:dyDescent="0.25"/>
    <row r="92" spans="1:35" ht="15" customHeight="1" x14ac:dyDescent="0.25"/>
    <row r="93" spans="1:35" ht="15" customHeight="1" x14ac:dyDescent="0.25"/>
    <row r="94" spans="1:35" ht="15" customHeight="1" x14ac:dyDescent="0.25"/>
    <row r="95" spans="1:35" ht="15" customHeight="1" x14ac:dyDescent="0.25"/>
    <row r="96" spans="1:35" ht="15" customHeight="1" x14ac:dyDescent="0.25"/>
    <row r="97" ht="15" customHeight="1" x14ac:dyDescent="0.25"/>
    <row r="98" ht="15" customHeight="1" x14ac:dyDescent="0.25"/>
    <row r="99" ht="15" customHeight="1" x14ac:dyDescent="0.25"/>
    <row r="100" ht="15" customHeight="1" x14ac:dyDescent="0.25"/>
    <row r="101" ht="15" customHeight="1" x14ac:dyDescent="0.25"/>
    <row r="103" ht="15" customHeight="1" x14ac:dyDescent="0.25"/>
    <row r="104"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spans="2:33" ht="15" customHeight="1" x14ac:dyDescent="0.25"/>
    <row r="179" spans="2:33" ht="15" customHeight="1" x14ac:dyDescent="0.25"/>
    <row r="180" spans="2:33" ht="15" customHeight="1" x14ac:dyDescent="0.25"/>
    <row r="181" spans="2:33" ht="15" customHeight="1" x14ac:dyDescent="0.25"/>
    <row r="182" spans="2:33" ht="15" customHeight="1" x14ac:dyDescent="0.25"/>
    <row r="183" spans="2:33" ht="15" customHeight="1" x14ac:dyDescent="0.25"/>
    <row r="184" spans="2:33" ht="15" customHeight="1" x14ac:dyDescent="0.25"/>
    <row r="185" spans="2:33" ht="15" customHeight="1" x14ac:dyDescent="0.25"/>
    <row r="186" spans="2:33" ht="15" customHeight="1" x14ac:dyDescent="0.25"/>
    <row r="187" spans="2:33" ht="15" customHeight="1" x14ac:dyDescent="0.25">
      <c r="B187" s="531"/>
      <c r="C187" s="531"/>
      <c r="D187" s="531"/>
      <c r="E187" s="531"/>
      <c r="F187" s="531"/>
      <c r="G187" s="531"/>
      <c r="H187" s="531"/>
      <c r="I187" s="531"/>
      <c r="J187" s="531"/>
      <c r="K187" s="531"/>
      <c r="L187" s="531"/>
      <c r="M187" s="531"/>
      <c r="N187" s="531"/>
      <c r="O187" s="531"/>
      <c r="P187" s="531"/>
      <c r="Q187" s="531"/>
      <c r="R187" s="531"/>
      <c r="S187" s="531"/>
      <c r="T187" s="531"/>
      <c r="U187" s="531"/>
      <c r="V187" s="531"/>
      <c r="W187" s="531"/>
      <c r="X187" s="531"/>
      <c r="Y187" s="531"/>
      <c r="Z187" s="531"/>
      <c r="AA187" s="531"/>
      <c r="AB187" s="531"/>
      <c r="AC187" s="531"/>
      <c r="AD187" s="531"/>
      <c r="AE187" s="531"/>
      <c r="AF187" s="531"/>
      <c r="AG187" s="531"/>
    </row>
    <row r="188" spans="2:33" ht="15" customHeight="1" x14ac:dyDescent="0.25"/>
    <row r="189" spans="2:33" ht="15" customHeight="1" x14ac:dyDescent="0.25"/>
    <row r="190" spans="2:33" ht="15" customHeight="1" x14ac:dyDescent="0.25"/>
    <row r="191" spans="2:33" ht="15" customHeight="1" x14ac:dyDescent="0.25"/>
    <row r="192" spans="2:33"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spans="2:33" ht="15" customHeight="1" x14ac:dyDescent="0.25"/>
    <row r="386" spans="2:33" ht="15" customHeight="1" x14ac:dyDescent="0.25"/>
    <row r="387" spans="2:33" ht="15" customHeight="1" x14ac:dyDescent="0.25"/>
    <row r="389" spans="2:33" ht="15" customHeight="1" x14ac:dyDescent="0.25"/>
    <row r="390" spans="2:33" ht="15" customHeight="1" x14ac:dyDescent="0.25">
      <c r="B390" s="531"/>
      <c r="C390" s="531"/>
      <c r="D390" s="531"/>
      <c r="E390" s="531"/>
      <c r="F390" s="531"/>
      <c r="G390" s="531"/>
      <c r="H390" s="531"/>
      <c r="I390" s="531"/>
      <c r="J390" s="531"/>
      <c r="K390" s="531"/>
      <c r="L390" s="531"/>
      <c r="M390" s="531"/>
      <c r="N390" s="531"/>
      <c r="O390" s="531"/>
      <c r="P390" s="531"/>
      <c r="Q390" s="531"/>
      <c r="R390" s="531"/>
      <c r="S390" s="531"/>
      <c r="T390" s="531"/>
      <c r="U390" s="531"/>
      <c r="V390" s="531"/>
      <c r="W390" s="531"/>
      <c r="X390" s="531"/>
      <c r="Y390" s="531"/>
      <c r="Z390" s="531"/>
      <c r="AA390" s="531"/>
      <c r="AB390" s="531"/>
      <c r="AC390" s="531"/>
      <c r="AD390" s="531"/>
      <c r="AE390" s="531"/>
      <c r="AF390" s="531"/>
      <c r="AG390" s="531"/>
    </row>
    <row r="391" spans="2:33" ht="15" customHeight="1" x14ac:dyDescent="0.25"/>
    <row r="392" spans="2:33" ht="15" customHeight="1" x14ac:dyDescent="0.25"/>
    <row r="393" spans="2:33" ht="15" customHeight="1" x14ac:dyDescent="0.25"/>
    <row r="394" spans="2:33" ht="15" customHeight="1" x14ac:dyDescent="0.25"/>
    <row r="395" spans="2:33" ht="15" customHeight="1" x14ac:dyDescent="0.25"/>
    <row r="396" spans="2:33" ht="15" customHeight="1" x14ac:dyDescent="0.25"/>
    <row r="397" spans="2:33" ht="15" customHeight="1" x14ac:dyDescent="0.25"/>
    <row r="398" spans="2:33" ht="15" customHeight="1" x14ac:dyDescent="0.25"/>
    <row r="399" spans="2:33" ht="15" customHeight="1" x14ac:dyDescent="0.25"/>
    <row r="400" spans="2:33" ht="15" customHeight="1" x14ac:dyDescent="0.25"/>
    <row r="401" ht="15" customHeight="1" x14ac:dyDescent="0.25"/>
    <row r="402" ht="15" customHeight="1" x14ac:dyDescent="0.25"/>
    <row r="403" ht="15" customHeight="1" x14ac:dyDescent="0.25"/>
    <row r="404"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6"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5" ht="15" customHeight="1" x14ac:dyDescent="0.25"/>
    <row r="506" ht="15" customHeight="1" x14ac:dyDescent="0.25"/>
    <row r="507" ht="15" customHeight="1" x14ac:dyDescent="0.25"/>
    <row r="508" ht="15" customHeight="1" x14ac:dyDescent="0.25"/>
    <row r="509"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8"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9"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spans="2:33" ht="15" customHeight="1" x14ac:dyDescent="0.25"/>
    <row r="579" spans="2:33" ht="15" customHeight="1" x14ac:dyDescent="0.25"/>
    <row r="580" spans="2:33" ht="15" customHeight="1" x14ac:dyDescent="0.25"/>
    <row r="581" spans="2:33" ht="15" customHeight="1" x14ac:dyDescent="0.25"/>
    <row r="582" spans="2:33" ht="15" customHeight="1" x14ac:dyDescent="0.25"/>
    <row r="583" spans="2:33" ht="15" customHeight="1" x14ac:dyDescent="0.25"/>
    <row r="584" spans="2:33" ht="15" customHeight="1" x14ac:dyDescent="0.25"/>
    <row r="585" spans="2:33" ht="15" customHeight="1" x14ac:dyDescent="0.25"/>
    <row r="586" spans="2:33" ht="15" customHeight="1" x14ac:dyDescent="0.25"/>
    <row r="587" spans="2:33" ht="15" customHeight="1" x14ac:dyDescent="0.25"/>
    <row r="588" spans="2:33" ht="15" customHeight="1" x14ac:dyDescent="0.25"/>
    <row r="589" spans="2:33" ht="15" customHeight="1" x14ac:dyDescent="0.25"/>
    <row r="590" spans="2:33" ht="15" customHeight="1" x14ac:dyDescent="0.25"/>
    <row r="591" spans="2:33" ht="15" customHeight="1" x14ac:dyDescent="0.25">
      <c r="B591" s="531"/>
      <c r="C591" s="531"/>
      <c r="D591" s="531"/>
      <c r="E591" s="531"/>
      <c r="F591" s="531"/>
      <c r="G591" s="531"/>
      <c r="H591" s="531"/>
      <c r="I591" s="531"/>
      <c r="J591" s="531"/>
      <c r="K591" s="531"/>
      <c r="L591" s="531"/>
      <c r="M591" s="531"/>
      <c r="N591" s="531"/>
      <c r="O591" s="531"/>
      <c r="P591" s="531"/>
      <c r="Q591" s="531"/>
      <c r="R591" s="531"/>
      <c r="S591" s="531"/>
      <c r="T591" s="531"/>
      <c r="U591" s="531"/>
      <c r="V591" s="531"/>
      <c r="W591" s="531"/>
      <c r="X591" s="531"/>
      <c r="Y591" s="531"/>
      <c r="Z591" s="531"/>
      <c r="AA591" s="531"/>
      <c r="AB591" s="531"/>
      <c r="AC591" s="531"/>
      <c r="AD591" s="531"/>
      <c r="AE591" s="531"/>
      <c r="AF591" s="531"/>
      <c r="AG591" s="531"/>
    </row>
    <row r="592" spans="2:33"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1" ht="15" customHeight="1" x14ac:dyDescent="0.25"/>
    <row r="662" ht="15" customHeight="1" x14ac:dyDescent="0.25"/>
    <row r="663" ht="15" customHeight="1" x14ac:dyDescent="0.25"/>
    <row r="664" ht="15" customHeight="1" x14ac:dyDescent="0.25"/>
    <row r="666" ht="15" customHeight="1" x14ac:dyDescent="0.25"/>
    <row r="667" ht="15" customHeight="1" x14ac:dyDescent="0.25"/>
    <row r="668" ht="15" customHeight="1" x14ac:dyDescent="0.25"/>
    <row r="669"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5" ht="15" customHeight="1" x14ac:dyDescent="0.25"/>
    <row r="696" ht="15" customHeight="1" x14ac:dyDescent="0.25"/>
    <row r="697" ht="15" customHeight="1" x14ac:dyDescent="0.25"/>
    <row r="698" ht="15" customHeight="1" x14ac:dyDescent="0.25"/>
    <row r="699" ht="15" customHeight="1" x14ac:dyDescent="0.25"/>
    <row r="701" ht="15" customHeight="1" x14ac:dyDescent="0.25"/>
    <row r="702"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9"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6" ht="15" customHeight="1" x14ac:dyDescent="0.25"/>
    <row r="737" ht="15" customHeight="1" x14ac:dyDescent="0.25"/>
    <row r="738" ht="15" customHeight="1" x14ac:dyDescent="0.25"/>
    <row r="739" ht="15" customHeight="1" x14ac:dyDescent="0.25"/>
    <row r="740"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4" spans="2:33" ht="15" customHeight="1" x14ac:dyDescent="0.25"/>
    <row r="755" spans="2:33" ht="15" customHeight="1" x14ac:dyDescent="0.25"/>
    <row r="756" spans="2:33" ht="15" customHeight="1" x14ac:dyDescent="0.25"/>
    <row r="757" spans="2:33" ht="15" customHeight="1" x14ac:dyDescent="0.25"/>
    <row r="758" spans="2:33" ht="15" customHeight="1" x14ac:dyDescent="0.25"/>
    <row r="759" spans="2:33" ht="15" customHeight="1" x14ac:dyDescent="0.25"/>
    <row r="760" spans="2:33" ht="15" customHeight="1" x14ac:dyDescent="0.25"/>
    <row r="761" spans="2:33" ht="15" customHeight="1" x14ac:dyDescent="0.25"/>
    <row r="762" spans="2:33" ht="15" customHeight="1" x14ac:dyDescent="0.25"/>
    <row r="763" spans="2:33" ht="15" customHeight="1" x14ac:dyDescent="0.25"/>
    <row r="764" spans="2:33" ht="15" customHeight="1" x14ac:dyDescent="0.25"/>
    <row r="765" spans="2:33" ht="15" customHeight="1" x14ac:dyDescent="0.25"/>
    <row r="766" spans="2:33" ht="15" customHeight="1" x14ac:dyDescent="0.25">
      <c r="B766" s="531"/>
      <c r="C766" s="531"/>
      <c r="D766" s="531"/>
      <c r="E766" s="531"/>
      <c r="F766" s="531"/>
      <c r="G766" s="531"/>
      <c r="H766" s="531"/>
      <c r="I766" s="531"/>
      <c r="J766" s="531"/>
      <c r="K766" s="531"/>
      <c r="L766" s="531"/>
      <c r="M766" s="531"/>
      <c r="N766" s="531"/>
      <c r="O766" s="531"/>
      <c r="P766" s="531"/>
      <c r="Q766" s="531"/>
      <c r="R766" s="531"/>
      <c r="S766" s="531"/>
      <c r="T766" s="531"/>
      <c r="U766" s="531"/>
      <c r="V766" s="531"/>
      <c r="W766" s="531"/>
      <c r="X766" s="531"/>
      <c r="Y766" s="531"/>
      <c r="Z766" s="531"/>
      <c r="AA766" s="531"/>
      <c r="AB766" s="531"/>
      <c r="AC766" s="531"/>
      <c r="AD766" s="531"/>
      <c r="AE766" s="531"/>
      <c r="AF766" s="531"/>
      <c r="AG766" s="531"/>
    </row>
    <row r="767" spans="2:33" ht="15" customHeight="1" x14ac:dyDescent="0.25"/>
    <row r="768" spans="2:33"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5" ht="15" customHeight="1" x14ac:dyDescent="0.25"/>
    <row r="976" ht="15" customHeight="1" x14ac:dyDescent="0.25"/>
    <row r="977" spans="2:33" ht="15" customHeight="1" x14ac:dyDescent="0.25"/>
    <row r="978" spans="2:33" ht="15" customHeight="1" x14ac:dyDescent="0.25"/>
    <row r="979" spans="2:33" ht="15" customHeight="1" x14ac:dyDescent="0.25">
      <c r="B979" s="531"/>
      <c r="C979" s="531"/>
      <c r="D979" s="531"/>
      <c r="E979" s="531"/>
      <c r="F979" s="531"/>
      <c r="G979" s="531"/>
      <c r="H979" s="531"/>
      <c r="I979" s="531"/>
      <c r="J979" s="531"/>
      <c r="K979" s="531"/>
      <c r="L979" s="531"/>
      <c r="M979" s="531"/>
      <c r="N979" s="531"/>
      <c r="O979" s="531"/>
      <c r="P979" s="531"/>
      <c r="Q979" s="531"/>
      <c r="R979" s="531"/>
      <c r="S979" s="531"/>
      <c r="T979" s="531"/>
      <c r="U979" s="531"/>
      <c r="V979" s="531"/>
      <c r="W979" s="531"/>
      <c r="X979" s="531"/>
      <c r="Y979" s="531"/>
      <c r="Z979" s="531"/>
      <c r="AA979" s="531"/>
      <c r="AB979" s="531"/>
      <c r="AC979" s="531"/>
      <c r="AD979" s="531"/>
      <c r="AE979" s="531"/>
      <c r="AF979" s="531"/>
      <c r="AG979" s="531"/>
    </row>
    <row r="980" spans="2:33" ht="15" customHeight="1" x14ac:dyDescent="0.25"/>
    <row r="981" spans="2:33" ht="15" customHeight="1" x14ac:dyDescent="0.25"/>
    <row r="982" spans="2:33" ht="15" customHeight="1" x14ac:dyDescent="0.25"/>
    <row r="983" spans="2:33" ht="15" customHeight="1" x14ac:dyDescent="0.25"/>
    <row r="984" spans="2:33" ht="15" customHeight="1" x14ac:dyDescent="0.25"/>
    <row r="985" spans="2:33" ht="15" customHeight="1" x14ac:dyDescent="0.25"/>
    <row r="986" spans="2:33" ht="15" customHeight="1" x14ac:dyDescent="0.25"/>
    <row r="987" spans="2:33" ht="15" customHeight="1" x14ac:dyDescent="0.25"/>
    <row r="988" spans="2:33" ht="15" customHeight="1" x14ac:dyDescent="0.25"/>
    <row r="989" spans="2:33" ht="15" customHeight="1" x14ac:dyDescent="0.25"/>
    <row r="990" spans="2:33"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spans="2:33" ht="15" customHeight="1" x14ac:dyDescent="0.25"/>
    <row r="1106" spans="2:33" ht="15" customHeight="1" x14ac:dyDescent="0.25">
      <c r="B1106" s="531"/>
      <c r="C1106" s="531"/>
      <c r="D1106" s="531"/>
      <c r="E1106" s="531"/>
      <c r="F1106" s="531"/>
      <c r="G1106" s="531"/>
      <c r="H1106" s="531"/>
      <c r="I1106" s="531"/>
      <c r="J1106" s="531"/>
      <c r="K1106" s="531"/>
      <c r="L1106" s="531"/>
      <c r="M1106" s="531"/>
      <c r="N1106" s="531"/>
      <c r="O1106" s="531"/>
      <c r="P1106" s="531"/>
      <c r="Q1106" s="531"/>
      <c r="R1106" s="531"/>
      <c r="S1106" s="531"/>
      <c r="T1106" s="531"/>
      <c r="U1106" s="531"/>
      <c r="V1106" s="531"/>
      <c r="W1106" s="531"/>
      <c r="X1106" s="531"/>
      <c r="Y1106" s="531"/>
      <c r="Z1106" s="531"/>
      <c r="AA1106" s="531"/>
      <c r="AB1106" s="531"/>
      <c r="AC1106" s="531"/>
      <c r="AD1106" s="531"/>
      <c r="AE1106" s="531"/>
      <c r="AF1106" s="531"/>
      <c r="AG1106" s="531"/>
    </row>
    <row r="1107" spans="2:33" ht="15" customHeight="1" x14ac:dyDescent="0.25"/>
    <row r="1108" spans="2:33" ht="15" customHeight="1" x14ac:dyDescent="0.25"/>
    <row r="1109" spans="2:33" ht="15" customHeight="1" x14ac:dyDescent="0.25"/>
    <row r="1110" spans="2:33" ht="15" customHeight="1" x14ac:dyDescent="0.25"/>
    <row r="1111" spans="2:33" ht="15" customHeight="1" x14ac:dyDescent="0.25"/>
    <row r="1112" spans="2:33" ht="15" customHeight="1" x14ac:dyDescent="0.25"/>
    <row r="1113" spans="2:33" ht="15" customHeight="1" x14ac:dyDescent="0.25"/>
    <row r="1114" spans="2:33" ht="15" customHeight="1" x14ac:dyDescent="0.25"/>
    <row r="1115" spans="2:33" ht="15" customHeight="1" x14ac:dyDescent="0.25"/>
    <row r="1116" spans="2:33"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6"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9"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4" ht="15" customHeight="1" x14ac:dyDescent="0.25"/>
    <row r="1265" spans="2:33" ht="15" customHeight="1" x14ac:dyDescent="0.25"/>
    <row r="1266" spans="2:33" ht="15" customHeight="1" x14ac:dyDescent="0.25"/>
    <row r="1267" spans="2:33" ht="15" customHeight="1" x14ac:dyDescent="0.25"/>
    <row r="1268" spans="2:33" ht="15" customHeight="1" x14ac:dyDescent="0.25"/>
    <row r="1269" spans="2:33" ht="15" customHeight="1" x14ac:dyDescent="0.25">
      <c r="B1269" s="531"/>
      <c r="C1269" s="531"/>
      <c r="D1269" s="531"/>
      <c r="E1269" s="531"/>
      <c r="F1269" s="531"/>
      <c r="G1269" s="531"/>
      <c r="H1269" s="531"/>
      <c r="I1269" s="531"/>
      <c r="J1269" s="531"/>
      <c r="K1269" s="531"/>
      <c r="L1269" s="531"/>
      <c r="M1269" s="531"/>
      <c r="N1269" s="531"/>
      <c r="O1269" s="531"/>
      <c r="P1269" s="531"/>
      <c r="Q1269" s="531"/>
      <c r="R1269" s="531"/>
      <c r="S1269" s="531"/>
      <c r="T1269" s="531"/>
      <c r="U1269" s="531"/>
      <c r="V1269" s="531"/>
      <c r="W1269" s="531"/>
      <c r="X1269" s="531"/>
      <c r="Y1269" s="531"/>
      <c r="Z1269" s="531"/>
      <c r="AA1269" s="531"/>
      <c r="AB1269" s="531"/>
      <c r="AC1269" s="531"/>
      <c r="AD1269" s="531"/>
      <c r="AE1269" s="531"/>
      <c r="AF1269" s="531"/>
      <c r="AG1269" s="531"/>
    </row>
    <row r="1270" spans="2:33" ht="15" customHeight="1" x14ac:dyDescent="0.25"/>
    <row r="1271" spans="2:33" ht="15" customHeight="1" x14ac:dyDescent="0.25"/>
    <row r="1272" spans="2:33" ht="15" customHeight="1" x14ac:dyDescent="0.25"/>
    <row r="1273" spans="2:33" ht="15" customHeight="1" x14ac:dyDescent="0.25"/>
    <row r="1274" spans="2:33" ht="15" customHeight="1" x14ac:dyDescent="0.25"/>
    <row r="1275" spans="2:33" ht="15" customHeight="1" x14ac:dyDescent="0.25"/>
    <row r="1276" spans="2:33" ht="15" customHeight="1" x14ac:dyDescent="0.25"/>
    <row r="1277" spans="2:33" ht="15" customHeight="1" x14ac:dyDescent="0.25"/>
    <row r="1278" spans="2:33" ht="15" customHeight="1" x14ac:dyDescent="0.25"/>
    <row r="1279" spans="2:33" ht="15" customHeight="1" x14ac:dyDescent="0.25"/>
    <row r="1280" spans="2:33"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8"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spans="2:33" ht="15" customHeight="1" x14ac:dyDescent="0.25"/>
    <row r="1379" spans="2:33" ht="15" customHeight="1" x14ac:dyDescent="0.25"/>
    <row r="1380" spans="2:33" ht="15" customHeight="1" x14ac:dyDescent="0.25"/>
    <row r="1381" spans="2:33" ht="15" customHeight="1" x14ac:dyDescent="0.25">
      <c r="B1381" s="531"/>
      <c r="C1381" s="531"/>
      <c r="D1381" s="531"/>
      <c r="E1381" s="531"/>
      <c r="F1381" s="531"/>
      <c r="G1381" s="531"/>
      <c r="H1381" s="531"/>
      <c r="I1381" s="531"/>
      <c r="J1381" s="531"/>
      <c r="K1381" s="531"/>
      <c r="L1381" s="531"/>
      <c r="M1381" s="531"/>
      <c r="N1381" s="531"/>
      <c r="O1381" s="531"/>
      <c r="P1381" s="531"/>
      <c r="Q1381" s="531"/>
      <c r="R1381" s="531"/>
      <c r="S1381" s="531"/>
      <c r="T1381" s="531"/>
      <c r="U1381" s="531"/>
      <c r="V1381" s="531"/>
      <c r="W1381" s="531"/>
      <c r="X1381" s="531"/>
      <c r="Y1381" s="531"/>
      <c r="Z1381" s="531"/>
      <c r="AA1381" s="531"/>
      <c r="AB1381" s="531"/>
      <c r="AC1381" s="531"/>
      <c r="AD1381" s="531"/>
      <c r="AE1381" s="531"/>
      <c r="AF1381" s="531"/>
      <c r="AG1381" s="531"/>
    </row>
    <row r="1382" spans="2:33" ht="15" customHeight="1" x14ac:dyDescent="0.25"/>
    <row r="1383" spans="2:33" ht="15" customHeight="1" x14ac:dyDescent="0.25"/>
    <row r="1384" spans="2:33" ht="15" customHeight="1" x14ac:dyDescent="0.25"/>
    <row r="1385" spans="2:33" ht="15" customHeight="1" x14ac:dyDescent="0.25"/>
    <row r="1386" spans="2:33" ht="15" customHeight="1" x14ac:dyDescent="0.25"/>
    <row r="1387" spans="2:33" ht="15" customHeight="1" x14ac:dyDescent="0.25"/>
    <row r="1388" spans="2:33" ht="15" customHeight="1" x14ac:dyDescent="0.25"/>
    <row r="1389" spans="2:33" ht="15" customHeight="1" x14ac:dyDescent="0.25"/>
    <row r="1390" spans="2:33" ht="15" customHeight="1" x14ac:dyDescent="0.25"/>
    <row r="1391" spans="2:33" ht="15" customHeight="1" x14ac:dyDescent="0.25"/>
    <row r="1392" spans="2:33"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1" ht="15" customHeight="1" x14ac:dyDescent="0.25"/>
    <row r="1462" ht="15" customHeight="1" x14ac:dyDescent="0.25"/>
    <row r="1463" ht="15" customHeight="1" x14ac:dyDescent="0.25"/>
    <row r="1464" ht="15" customHeight="1" x14ac:dyDescent="0.25"/>
    <row r="1466" ht="15" customHeight="1" x14ac:dyDescent="0.25"/>
    <row r="1467" ht="15" customHeight="1" x14ac:dyDescent="0.25"/>
    <row r="1468" ht="15" customHeight="1" x14ac:dyDescent="0.25"/>
    <row r="1469" ht="15" customHeight="1" x14ac:dyDescent="0.25"/>
    <row r="1471" ht="15" customHeight="1" x14ac:dyDescent="0.25"/>
    <row r="1473" spans="2:33" ht="15" customHeight="1" x14ac:dyDescent="0.25"/>
    <row r="1474" spans="2:33" ht="15" customHeight="1" x14ac:dyDescent="0.25"/>
    <row r="1475" spans="2:33" ht="15" customHeight="1" x14ac:dyDescent="0.25"/>
    <row r="1476" spans="2:33" ht="15" customHeight="1" x14ac:dyDescent="0.25"/>
    <row r="1478" spans="2:33" ht="15" customHeight="1" x14ac:dyDescent="0.25"/>
    <row r="1479" spans="2:33" ht="15" customHeight="1" x14ac:dyDescent="0.25"/>
    <row r="1480" spans="2:33" ht="15" customHeight="1" x14ac:dyDescent="0.25"/>
    <row r="1481" spans="2:33" ht="15" customHeight="1" x14ac:dyDescent="0.25"/>
    <row r="1482" spans="2:33" ht="15" customHeight="1" x14ac:dyDescent="0.25"/>
    <row r="1483" spans="2:33" ht="15" customHeight="1" x14ac:dyDescent="0.25">
      <c r="B1483" s="531"/>
      <c r="C1483" s="531"/>
      <c r="D1483" s="531"/>
      <c r="E1483" s="531"/>
      <c r="F1483" s="531"/>
      <c r="G1483" s="531"/>
      <c r="H1483" s="531"/>
      <c r="I1483" s="531"/>
      <c r="J1483" s="531"/>
      <c r="K1483" s="531"/>
      <c r="L1483" s="531"/>
      <c r="M1483" s="531"/>
      <c r="N1483" s="531"/>
      <c r="O1483" s="531"/>
      <c r="P1483" s="531"/>
      <c r="Q1483" s="531"/>
      <c r="R1483" s="531"/>
      <c r="S1483" s="531"/>
      <c r="T1483" s="531"/>
      <c r="U1483" s="531"/>
      <c r="V1483" s="531"/>
      <c r="W1483" s="531"/>
      <c r="X1483" s="531"/>
      <c r="Y1483" s="531"/>
      <c r="Z1483" s="531"/>
      <c r="AA1483" s="531"/>
      <c r="AB1483" s="531"/>
      <c r="AC1483" s="531"/>
      <c r="AD1483" s="531"/>
      <c r="AE1483" s="531"/>
      <c r="AF1483" s="531"/>
      <c r="AG1483" s="531"/>
    </row>
    <row r="1484" spans="2:33" ht="15" customHeight="1" x14ac:dyDescent="0.25"/>
    <row r="1485" spans="2:33" ht="15" customHeight="1" x14ac:dyDescent="0.25"/>
    <row r="1486" spans="2:33" ht="15" customHeight="1" x14ac:dyDescent="0.25"/>
    <row r="1487" spans="2:33" ht="15" customHeight="1" x14ac:dyDescent="0.25"/>
    <row r="1488" spans="2:33" ht="15" customHeight="1" x14ac:dyDescent="0.25"/>
    <row r="1489"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4"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5" ht="15" customHeight="1" x14ac:dyDescent="0.25"/>
    <row r="1567" ht="15" customHeight="1" x14ac:dyDescent="0.25"/>
    <row r="1568" ht="15" customHeight="1" x14ac:dyDescent="0.25"/>
    <row r="1569" spans="2:33" ht="15" customHeight="1" x14ac:dyDescent="0.25"/>
    <row r="1570" spans="2:33" ht="15" customHeight="1" x14ac:dyDescent="0.25"/>
    <row r="1571" spans="2:33" ht="15" customHeight="1" x14ac:dyDescent="0.25"/>
    <row r="1572" spans="2:33" ht="15" customHeight="1" x14ac:dyDescent="0.25"/>
    <row r="1573" spans="2:33" ht="15" customHeight="1" x14ac:dyDescent="0.25"/>
    <row r="1574" spans="2:33" ht="15" customHeight="1" x14ac:dyDescent="0.25"/>
    <row r="1576" spans="2:33" ht="15" customHeight="1" x14ac:dyDescent="0.25"/>
    <row r="1577" spans="2:33" ht="15" customHeight="1" x14ac:dyDescent="0.25">
      <c r="B1577" s="531"/>
      <c r="C1577" s="531"/>
      <c r="D1577" s="531"/>
      <c r="E1577" s="531"/>
      <c r="F1577" s="531"/>
      <c r="G1577" s="531"/>
      <c r="H1577" s="531"/>
      <c r="I1577" s="531"/>
      <c r="J1577" s="531"/>
      <c r="K1577" s="531"/>
      <c r="L1577" s="531"/>
      <c r="M1577" s="531"/>
      <c r="N1577" s="531"/>
      <c r="O1577" s="531"/>
      <c r="P1577" s="531"/>
      <c r="Q1577" s="531"/>
      <c r="R1577" s="531"/>
      <c r="S1577" s="531"/>
      <c r="T1577" s="531"/>
      <c r="U1577" s="531"/>
      <c r="V1577" s="531"/>
      <c r="W1577" s="531"/>
      <c r="X1577" s="531"/>
      <c r="Y1577" s="531"/>
      <c r="Z1577" s="531"/>
      <c r="AA1577" s="531"/>
      <c r="AB1577" s="531"/>
      <c r="AC1577" s="531"/>
      <c r="AD1577" s="531"/>
      <c r="AE1577" s="531"/>
      <c r="AF1577" s="531"/>
      <c r="AG1577" s="531"/>
    </row>
    <row r="1578" spans="2:33" ht="15" customHeight="1" x14ac:dyDescent="0.25"/>
    <row r="1579" spans="2:33" ht="15" customHeight="1" x14ac:dyDescent="0.25"/>
    <row r="1580" spans="2:33" ht="15" customHeight="1" x14ac:dyDescent="0.25"/>
    <row r="1581" spans="2:33" ht="15" customHeight="1" x14ac:dyDescent="0.25"/>
    <row r="1582" spans="2:33" ht="15" customHeight="1" x14ac:dyDescent="0.25"/>
    <row r="1583" spans="2:33" ht="15" customHeight="1" x14ac:dyDescent="0.25"/>
    <row r="1584" spans="2:33"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40" ht="15" customHeight="1" x14ac:dyDescent="0.25"/>
    <row r="1742" ht="15" customHeight="1" x14ac:dyDescent="0.25"/>
    <row r="1743" ht="15" customHeight="1" x14ac:dyDescent="0.25"/>
    <row r="1744" ht="15" customHeight="1" x14ac:dyDescent="0.25"/>
    <row r="1746" ht="15" customHeight="1" x14ac:dyDescent="0.25"/>
    <row r="1747" ht="15" customHeight="1" x14ac:dyDescent="0.25"/>
    <row r="1748" ht="15" customHeight="1" x14ac:dyDescent="0.25"/>
    <row r="1749"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7" ht="15" customHeight="1" x14ac:dyDescent="0.25"/>
    <row r="1768" ht="15" customHeight="1" x14ac:dyDescent="0.25"/>
    <row r="1769" ht="15" customHeight="1" x14ac:dyDescent="0.25"/>
    <row r="1770"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4" ht="15" customHeight="1" x14ac:dyDescent="0.25"/>
    <row r="1795" ht="15" customHeight="1" x14ac:dyDescent="0.25"/>
    <row r="1796" ht="15" customHeight="1" x14ac:dyDescent="0.25"/>
    <row r="1798" ht="15" customHeight="1" x14ac:dyDescent="0.25"/>
    <row r="1799" ht="15" customHeight="1" x14ac:dyDescent="0.25"/>
    <row r="1800" ht="15" customHeight="1" x14ac:dyDescent="0.25"/>
    <row r="1801"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spans="2:33" ht="15" customHeight="1" x14ac:dyDescent="0.25"/>
    <row r="1810" spans="2:33" ht="15" customHeight="1" x14ac:dyDescent="0.25"/>
    <row r="1812" spans="2:33" ht="15" customHeight="1" x14ac:dyDescent="0.25"/>
    <row r="1813" spans="2:33" ht="15" customHeight="1" x14ac:dyDescent="0.25"/>
    <row r="1814" spans="2:33" ht="15" customHeight="1" x14ac:dyDescent="0.25"/>
    <row r="1816" spans="2:33" ht="15" customHeight="1" x14ac:dyDescent="0.25"/>
    <row r="1817" spans="2:33" ht="15" customHeight="1" x14ac:dyDescent="0.25"/>
    <row r="1818" spans="2:33" ht="15" customHeight="1" x14ac:dyDescent="0.25"/>
    <row r="1819" spans="2:33" ht="15" customHeight="1" x14ac:dyDescent="0.25"/>
    <row r="1820" spans="2:33" ht="15" customHeight="1" x14ac:dyDescent="0.25"/>
    <row r="1821" spans="2:33" ht="15" customHeight="1" x14ac:dyDescent="0.25"/>
    <row r="1822" spans="2:33" ht="15" customHeight="1" x14ac:dyDescent="0.25"/>
    <row r="1823" spans="2:33" ht="15" customHeight="1" x14ac:dyDescent="0.25"/>
    <row r="1824" spans="2:33" ht="15" customHeight="1" x14ac:dyDescent="0.25">
      <c r="B1824" s="531"/>
      <c r="C1824" s="531"/>
      <c r="D1824" s="531"/>
      <c r="E1824" s="531"/>
      <c r="F1824" s="531"/>
      <c r="G1824" s="531"/>
      <c r="H1824" s="531"/>
      <c r="I1824" s="531"/>
      <c r="J1824" s="531"/>
      <c r="K1824" s="531"/>
      <c r="L1824" s="531"/>
      <c r="M1824" s="531"/>
      <c r="N1824" s="531"/>
      <c r="O1824" s="531"/>
      <c r="P1824" s="531"/>
      <c r="Q1824" s="531"/>
      <c r="R1824" s="531"/>
      <c r="S1824" s="531"/>
      <c r="T1824" s="531"/>
      <c r="U1824" s="531"/>
      <c r="V1824" s="531"/>
      <c r="W1824" s="531"/>
      <c r="X1824" s="531"/>
      <c r="Y1824" s="531"/>
      <c r="Z1824" s="531"/>
      <c r="AA1824" s="531"/>
      <c r="AB1824" s="531"/>
      <c r="AC1824" s="531"/>
      <c r="AD1824" s="531"/>
      <c r="AE1824" s="531"/>
      <c r="AF1824" s="531"/>
      <c r="AG1824" s="531"/>
    </row>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3" ht="15" customHeight="1" x14ac:dyDescent="0.25"/>
    <row r="1864" ht="15" customHeight="1" x14ac:dyDescent="0.25"/>
    <row r="1865" ht="15" customHeight="1" x14ac:dyDescent="0.25"/>
    <row r="1867"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3" ht="15" customHeight="1" x14ac:dyDescent="0.25"/>
    <row r="1885" ht="15" customHeight="1" x14ac:dyDescent="0.25"/>
    <row r="1887" ht="15" customHeight="1" x14ac:dyDescent="0.25"/>
    <row r="1888"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1" ht="15" customHeight="1" x14ac:dyDescent="0.25"/>
    <row r="1902" ht="15" customHeight="1" x14ac:dyDescent="0.25"/>
    <row r="1903" ht="15" customHeight="1" x14ac:dyDescent="0.25"/>
    <row r="1904" ht="15" customHeight="1" x14ac:dyDescent="0.25"/>
    <row r="1905" spans="2:33" ht="15" customHeight="1" x14ac:dyDescent="0.25"/>
    <row r="1906" spans="2:33" ht="15" customHeight="1" x14ac:dyDescent="0.25"/>
    <row r="1907" spans="2:33" ht="15" customHeight="1" x14ac:dyDescent="0.25"/>
    <row r="1908" spans="2:33" ht="15" customHeight="1" x14ac:dyDescent="0.25"/>
    <row r="1909" spans="2:33" ht="15" customHeight="1" x14ac:dyDescent="0.25"/>
    <row r="1910" spans="2:33" ht="15" customHeight="1" x14ac:dyDescent="0.25">
      <c r="B1910" s="531"/>
      <c r="C1910" s="531"/>
      <c r="D1910" s="531"/>
      <c r="E1910" s="531"/>
      <c r="F1910" s="531"/>
      <c r="G1910" s="531"/>
      <c r="H1910" s="531"/>
      <c r="I1910" s="531"/>
      <c r="J1910" s="531"/>
      <c r="K1910" s="531"/>
      <c r="L1910" s="531"/>
      <c r="M1910" s="531"/>
      <c r="N1910" s="531"/>
      <c r="O1910" s="531"/>
      <c r="P1910" s="531"/>
      <c r="Q1910" s="531"/>
      <c r="R1910" s="531"/>
      <c r="S1910" s="531"/>
      <c r="T1910" s="531"/>
      <c r="U1910" s="531"/>
      <c r="V1910" s="531"/>
      <c r="W1910" s="531"/>
      <c r="X1910" s="531"/>
      <c r="Y1910" s="531"/>
      <c r="Z1910" s="531"/>
      <c r="AA1910" s="531"/>
      <c r="AB1910" s="531"/>
      <c r="AC1910" s="531"/>
      <c r="AD1910" s="531"/>
      <c r="AE1910" s="531"/>
      <c r="AF1910" s="531"/>
      <c r="AG1910" s="531"/>
    </row>
    <row r="1911" spans="2:33" ht="15" customHeight="1" x14ac:dyDescent="0.25"/>
    <row r="1912" spans="2:33" ht="15" customHeight="1" x14ac:dyDescent="0.25"/>
    <row r="1913" spans="2:33" ht="15" customHeight="1" x14ac:dyDescent="0.25"/>
    <row r="1914" spans="2:33" ht="15" customHeight="1" x14ac:dyDescent="0.25"/>
    <row r="1915" spans="2:33" ht="15" customHeight="1" x14ac:dyDescent="0.25"/>
    <row r="1916" spans="2:33" ht="15" customHeight="1" x14ac:dyDescent="0.25"/>
    <row r="1917" spans="2:33" ht="15" customHeight="1" x14ac:dyDescent="0.25"/>
    <row r="1918" spans="2:33" ht="15" customHeight="1" x14ac:dyDescent="0.25"/>
    <row r="1919" spans="2:33" ht="15" customHeight="1" x14ac:dyDescent="0.25"/>
    <row r="1920" spans="2:33"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6" ht="15" customHeight="1" x14ac:dyDescent="0.25"/>
    <row r="1987"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10" ht="15" customHeight="1" x14ac:dyDescent="0.25"/>
    <row r="2012" ht="15" customHeight="1" x14ac:dyDescent="0.25"/>
    <row r="2013" ht="15" customHeight="1" x14ac:dyDescent="0.25"/>
    <row r="2015" ht="15" customHeight="1" x14ac:dyDescent="0.25"/>
    <row r="2016" ht="15" customHeight="1" x14ac:dyDescent="0.25"/>
    <row r="2017" spans="2:33" ht="15" customHeight="1" x14ac:dyDescent="0.25"/>
    <row r="2018" spans="2:33" ht="15" customHeight="1" x14ac:dyDescent="0.25"/>
    <row r="2019" spans="2:33" ht="15" customHeight="1" x14ac:dyDescent="0.25"/>
    <row r="2020" spans="2:33" ht="15" customHeight="1" x14ac:dyDescent="0.25"/>
    <row r="2021" spans="2:33" ht="15" customHeight="1" x14ac:dyDescent="0.25"/>
    <row r="2022" spans="2:33" ht="15" customHeight="1" x14ac:dyDescent="0.25"/>
    <row r="2023" spans="2:33" ht="15" customHeight="1" x14ac:dyDescent="0.25"/>
    <row r="2024" spans="2:33" ht="15" customHeight="1" x14ac:dyDescent="0.25"/>
    <row r="2025" spans="2:33" ht="15" customHeight="1" x14ac:dyDescent="0.25"/>
    <row r="2027" spans="2:33" ht="15" customHeight="1" x14ac:dyDescent="0.25"/>
    <row r="2030" spans="2:33" ht="15" customHeight="1" x14ac:dyDescent="0.25"/>
    <row r="2031" spans="2:33" ht="15" customHeight="1" x14ac:dyDescent="0.25"/>
    <row r="2032" spans="2:33" ht="15" customHeight="1" x14ac:dyDescent="0.25">
      <c r="B2032" s="531"/>
      <c r="C2032" s="531"/>
      <c r="D2032" s="531"/>
      <c r="E2032" s="531"/>
      <c r="F2032" s="531"/>
      <c r="G2032" s="531"/>
      <c r="H2032" s="531"/>
      <c r="I2032" s="531"/>
      <c r="J2032" s="531"/>
      <c r="K2032" s="531"/>
      <c r="L2032" s="531"/>
      <c r="M2032" s="531"/>
      <c r="N2032" s="531"/>
      <c r="O2032" s="531"/>
      <c r="P2032" s="531"/>
      <c r="Q2032" s="531"/>
      <c r="R2032" s="531"/>
      <c r="S2032" s="531"/>
      <c r="T2032" s="531"/>
      <c r="U2032" s="531"/>
      <c r="V2032" s="531"/>
      <c r="W2032" s="531"/>
      <c r="X2032" s="531"/>
      <c r="Y2032" s="531"/>
      <c r="Z2032" s="531"/>
      <c r="AA2032" s="531"/>
      <c r="AB2032" s="531"/>
      <c r="AC2032" s="531"/>
      <c r="AD2032" s="531"/>
      <c r="AE2032" s="531"/>
      <c r="AF2032" s="531"/>
      <c r="AG2032" s="531"/>
    </row>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9" ht="15" customHeight="1" x14ac:dyDescent="0.25"/>
    <row r="2140" ht="15" customHeight="1" x14ac:dyDescent="0.25"/>
    <row r="2141" ht="15" customHeight="1" x14ac:dyDescent="0.25"/>
    <row r="2143" ht="15" customHeight="1" x14ac:dyDescent="0.25"/>
    <row r="2145" ht="15" customHeight="1" x14ac:dyDescent="0.25"/>
    <row r="2146" ht="15" customHeight="1" x14ac:dyDescent="0.25"/>
    <row r="2147" ht="15" customHeight="1" x14ac:dyDescent="0.25"/>
    <row r="2148" ht="15" customHeight="1" x14ac:dyDescent="0.25"/>
    <row r="2150"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1" ht="15" customHeight="1" x14ac:dyDescent="0.25"/>
    <row r="2163" ht="15" customHeight="1" x14ac:dyDescent="0.25"/>
    <row r="2164" ht="15" customHeight="1" x14ac:dyDescent="0.25"/>
    <row r="2165"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80" ht="15" customHeight="1" x14ac:dyDescent="0.25"/>
    <row r="2181" ht="15" customHeight="1" x14ac:dyDescent="0.25"/>
    <row r="2182"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spans="2:33" ht="15" customHeight="1" x14ac:dyDescent="0.25"/>
    <row r="2194" spans="2:33" ht="15" customHeight="1" x14ac:dyDescent="0.25"/>
    <row r="2195" spans="2:33" ht="15" customHeight="1" x14ac:dyDescent="0.25"/>
    <row r="2196" spans="2:33" ht="15" customHeight="1" x14ac:dyDescent="0.25">
      <c r="B2196" s="531"/>
      <c r="C2196" s="531"/>
      <c r="D2196" s="531"/>
      <c r="E2196" s="531"/>
      <c r="F2196" s="531"/>
      <c r="G2196" s="531"/>
      <c r="H2196" s="531"/>
      <c r="I2196" s="531"/>
      <c r="J2196" s="531"/>
      <c r="K2196" s="531"/>
      <c r="L2196" s="531"/>
      <c r="M2196" s="531"/>
      <c r="N2196" s="531"/>
      <c r="O2196" s="531"/>
      <c r="P2196" s="531"/>
      <c r="Q2196" s="531"/>
      <c r="R2196" s="531"/>
      <c r="S2196" s="531"/>
      <c r="T2196" s="531"/>
      <c r="U2196" s="531"/>
      <c r="V2196" s="531"/>
      <c r="W2196" s="531"/>
      <c r="X2196" s="531"/>
      <c r="Y2196" s="531"/>
      <c r="Z2196" s="531"/>
      <c r="AA2196" s="531"/>
      <c r="AB2196" s="531"/>
      <c r="AC2196" s="531"/>
      <c r="AD2196" s="531"/>
      <c r="AE2196" s="531"/>
      <c r="AF2196" s="531"/>
      <c r="AG2196" s="531"/>
    </row>
    <row r="2197" spans="2:33" ht="15" customHeight="1" x14ac:dyDescent="0.25"/>
    <row r="2198" spans="2:33" ht="15" customHeight="1" x14ac:dyDescent="0.25"/>
    <row r="2199" spans="2:33" ht="15" customHeight="1" x14ac:dyDescent="0.25"/>
    <row r="2200" spans="2:33" ht="15" customHeight="1" x14ac:dyDescent="0.25"/>
    <row r="2201" spans="2:33" ht="15" customHeight="1" x14ac:dyDescent="0.25"/>
    <row r="2202" spans="2:33" ht="15" customHeight="1" x14ac:dyDescent="0.25"/>
    <row r="2203" spans="2:33" ht="15" customHeight="1" x14ac:dyDescent="0.25"/>
    <row r="2204" spans="2:33" ht="15" customHeight="1" x14ac:dyDescent="0.25"/>
    <row r="2205" spans="2:33" ht="15" customHeight="1" x14ac:dyDescent="0.25"/>
    <row r="2206" spans="2:33" ht="15" customHeight="1" x14ac:dyDescent="0.25"/>
    <row r="2207" spans="2:33" ht="15" customHeight="1" x14ac:dyDescent="0.25"/>
    <row r="2208" spans="2:33"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9" spans="2:33" ht="15" customHeight="1" x14ac:dyDescent="0.25"/>
    <row r="2290" spans="2:33" ht="15" customHeight="1" x14ac:dyDescent="0.25"/>
    <row r="2291" spans="2:33" ht="15" customHeight="1" x14ac:dyDescent="0.25"/>
    <row r="2292" spans="2:33" ht="15" customHeight="1" x14ac:dyDescent="0.25"/>
    <row r="2293" spans="2:33" ht="15" customHeight="1" x14ac:dyDescent="0.25"/>
    <row r="2294" spans="2:33" ht="15" customHeight="1" x14ac:dyDescent="0.25"/>
    <row r="2295" spans="2:33" ht="15" customHeight="1" x14ac:dyDescent="0.25"/>
    <row r="2296" spans="2:33" ht="15" customHeight="1" x14ac:dyDescent="0.25"/>
    <row r="2297" spans="2:33" ht="15" customHeight="1" x14ac:dyDescent="0.25"/>
    <row r="2298" spans="2:33" ht="15" customHeight="1" x14ac:dyDescent="0.25">
      <c r="B2298" s="531"/>
      <c r="C2298" s="531"/>
      <c r="D2298" s="531"/>
      <c r="E2298" s="531"/>
      <c r="F2298" s="531"/>
      <c r="G2298" s="531"/>
      <c r="H2298" s="531"/>
      <c r="I2298" s="531"/>
      <c r="J2298" s="531"/>
      <c r="K2298" s="531"/>
      <c r="L2298" s="531"/>
      <c r="M2298" s="531"/>
      <c r="N2298" s="531"/>
      <c r="O2298" s="531"/>
      <c r="P2298" s="531"/>
      <c r="Q2298" s="531"/>
      <c r="R2298" s="531"/>
      <c r="S2298" s="531"/>
      <c r="T2298" s="531"/>
      <c r="U2298" s="531"/>
      <c r="V2298" s="531"/>
      <c r="W2298" s="531"/>
      <c r="X2298" s="531"/>
      <c r="Y2298" s="531"/>
      <c r="Z2298" s="531"/>
      <c r="AA2298" s="531"/>
      <c r="AB2298" s="531"/>
      <c r="AC2298" s="531"/>
      <c r="AD2298" s="531"/>
      <c r="AE2298" s="531"/>
      <c r="AF2298" s="531"/>
      <c r="AG2298" s="531"/>
    </row>
    <row r="2299" spans="2:33" ht="15" customHeight="1" x14ac:dyDescent="0.25"/>
    <row r="2300" spans="2:33" ht="15" customHeight="1" x14ac:dyDescent="0.25"/>
    <row r="2301" spans="2:33" ht="15" customHeight="1" x14ac:dyDescent="0.25"/>
    <row r="2302" spans="2:33" ht="15" customHeight="1" x14ac:dyDescent="0.25"/>
    <row r="2303" spans="2:33" ht="15" customHeight="1" x14ac:dyDescent="0.25"/>
    <row r="2304" spans="2:33"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6" ht="15" customHeight="1" x14ac:dyDescent="0.25"/>
    <row r="2338"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5"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4" ht="15" customHeight="1" x14ac:dyDescent="0.25"/>
    <row r="2375"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3" ht="15" customHeight="1" x14ac:dyDescent="0.25"/>
    <row r="2384" ht="15" customHeight="1" x14ac:dyDescent="0.25"/>
    <row r="2385" spans="2:33" ht="15" customHeight="1" x14ac:dyDescent="0.25"/>
    <row r="2386" spans="2:33" ht="15" customHeight="1" x14ac:dyDescent="0.25"/>
    <row r="2387" spans="2:33" ht="15" customHeight="1" x14ac:dyDescent="0.25"/>
    <row r="2388" spans="2:33" ht="15" customHeight="1" x14ac:dyDescent="0.25">
      <c r="B2388" s="531"/>
      <c r="C2388" s="531"/>
      <c r="D2388" s="531"/>
      <c r="E2388" s="531"/>
      <c r="F2388" s="531"/>
      <c r="G2388" s="531"/>
      <c r="H2388" s="531"/>
      <c r="I2388" s="531"/>
      <c r="J2388" s="531"/>
      <c r="K2388" s="531"/>
      <c r="L2388" s="531"/>
      <c r="M2388" s="531"/>
      <c r="N2388" s="531"/>
      <c r="O2388" s="531"/>
      <c r="P2388" s="531"/>
      <c r="Q2388" s="531"/>
      <c r="R2388" s="531"/>
      <c r="S2388" s="531"/>
      <c r="T2388" s="531"/>
      <c r="U2388" s="531"/>
      <c r="V2388" s="531"/>
      <c r="W2388" s="531"/>
      <c r="X2388" s="531"/>
      <c r="Y2388" s="531"/>
      <c r="Z2388" s="531"/>
      <c r="AA2388" s="531"/>
      <c r="AB2388" s="531"/>
      <c r="AC2388" s="531"/>
      <c r="AD2388" s="531"/>
      <c r="AE2388" s="531"/>
      <c r="AF2388" s="531"/>
      <c r="AG2388" s="531"/>
    </row>
    <row r="2389" spans="2:33" ht="15" customHeight="1" x14ac:dyDescent="0.25"/>
    <row r="2390" spans="2:33" ht="15" customHeight="1" x14ac:dyDescent="0.25"/>
    <row r="2391" spans="2:33" ht="15" customHeight="1" x14ac:dyDescent="0.25"/>
    <row r="2392" spans="2:33" ht="15" customHeight="1" x14ac:dyDescent="0.25"/>
    <row r="2393" spans="2:33" ht="15" customHeight="1" x14ac:dyDescent="0.25"/>
    <row r="2394" spans="2:33" ht="15" customHeight="1" x14ac:dyDescent="0.25"/>
    <row r="2395" spans="2:33" ht="15" customHeight="1" x14ac:dyDescent="0.25"/>
    <row r="2396" spans="2:33" ht="15" customHeight="1" x14ac:dyDescent="0.25"/>
    <row r="2397" spans="2:33" ht="15" customHeight="1" x14ac:dyDescent="0.25"/>
    <row r="2398" spans="2:33" ht="15" customHeight="1" x14ac:dyDescent="0.25"/>
    <row r="2399" spans="2:33" ht="15" customHeight="1" x14ac:dyDescent="0.25"/>
    <row r="2400" spans="2:33"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spans="2:33" ht="15" customHeight="1" x14ac:dyDescent="0.25"/>
    <row r="2467" spans="2:33" ht="15" customHeight="1" x14ac:dyDescent="0.25"/>
    <row r="2468" spans="2:33" ht="15" customHeight="1" x14ac:dyDescent="0.25"/>
    <row r="2469" spans="2:33" ht="15" customHeight="1" x14ac:dyDescent="0.25"/>
    <row r="2470" spans="2:33" ht="15" customHeight="1" x14ac:dyDescent="0.25"/>
    <row r="2471" spans="2:33" ht="15" customHeight="1" x14ac:dyDescent="0.25"/>
    <row r="2472" spans="2:33" ht="15" customHeight="1" x14ac:dyDescent="0.25"/>
    <row r="2474" spans="2:33" ht="15" customHeight="1" x14ac:dyDescent="0.25"/>
    <row r="2475" spans="2:33" ht="15" customHeight="1" x14ac:dyDescent="0.25"/>
    <row r="2476" spans="2:33" ht="15" customHeight="1" x14ac:dyDescent="0.25"/>
    <row r="2477" spans="2:33" ht="15" customHeight="1" x14ac:dyDescent="0.25">
      <c r="B2477" s="531"/>
      <c r="C2477" s="531"/>
      <c r="D2477" s="531"/>
      <c r="E2477" s="531"/>
      <c r="F2477" s="531"/>
      <c r="G2477" s="531"/>
      <c r="H2477" s="531"/>
      <c r="I2477" s="531"/>
      <c r="J2477" s="531"/>
      <c r="K2477" s="531"/>
      <c r="L2477" s="531"/>
      <c r="M2477" s="531"/>
      <c r="N2477" s="531"/>
      <c r="O2477" s="531"/>
      <c r="P2477" s="531"/>
      <c r="Q2477" s="531"/>
      <c r="R2477" s="531"/>
      <c r="S2477" s="531"/>
      <c r="T2477" s="531"/>
      <c r="U2477" s="531"/>
      <c r="V2477" s="531"/>
      <c r="W2477" s="531"/>
      <c r="X2477" s="531"/>
      <c r="Y2477" s="531"/>
      <c r="Z2477" s="531"/>
      <c r="AA2477" s="531"/>
      <c r="AB2477" s="531"/>
      <c r="AC2477" s="531"/>
      <c r="AD2477" s="531"/>
      <c r="AE2477" s="531"/>
      <c r="AF2477" s="531"/>
      <c r="AG2477" s="531"/>
    </row>
    <row r="2478" spans="2:33" ht="15" customHeight="1" x14ac:dyDescent="0.25"/>
    <row r="2479" spans="2:33" ht="15" customHeight="1" x14ac:dyDescent="0.25"/>
    <row r="2480" spans="2:33"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spans="2:33" ht="15" customHeight="1" x14ac:dyDescent="0.25"/>
    <row r="2594" spans="2:33" ht="15" customHeight="1" x14ac:dyDescent="0.25"/>
    <row r="2595" spans="2:33" ht="15" customHeight="1" x14ac:dyDescent="0.25"/>
    <row r="2596" spans="2:33" ht="15" customHeight="1" x14ac:dyDescent="0.25"/>
    <row r="2597" spans="2:33" ht="15" customHeight="1" x14ac:dyDescent="0.25"/>
    <row r="2598" spans="2:33" ht="15" customHeight="1" x14ac:dyDescent="0.25">
      <c r="B2598" s="531"/>
      <c r="C2598" s="531"/>
      <c r="D2598" s="531"/>
      <c r="E2598" s="531"/>
      <c r="F2598" s="531"/>
      <c r="G2598" s="531"/>
      <c r="H2598" s="531"/>
      <c r="I2598" s="531"/>
      <c r="J2598" s="531"/>
      <c r="K2598" s="531"/>
      <c r="L2598" s="531"/>
      <c r="M2598" s="531"/>
      <c r="N2598" s="531"/>
      <c r="O2598" s="531"/>
      <c r="P2598" s="531"/>
      <c r="Q2598" s="531"/>
      <c r="R2598" s="531"/>
      <c r="S2598" s="531"/>
      <c r="T2598" s="531"/>
      <c r="U2598" s="531"/>
      <c r="V2598" s="531"/>
      <c r="W2598" s="531"/>
      <c r="X2598" s="531"/>
      <c r="Y2598" s="531"/>
      <c r="Z2598" s="531"/>
      <c r="AA2598" s="531"/>
      <c r="AB2598" s="531"/>
      <c r="AC2598" s="531"/>
      <c r="AD2598" s="531"/>
      <c r="AE2598" s="531"/>
      <c r="AF2598" s="531"/>
      <c r="AG2598" s="531"/>
    </row>
    <row r="2599" spans="2:33" ht="15" customHeight="1" x14ac:dyDescent="0.25"/>
    <row r="2600" spans="2:33" ht="15" customHeight="1" x14ac:dyDescent="0.25"/>
    <row r="2601" spans="2:33" ht="15" customHeight="1" x14ac:dyDescent="0.25"/>
    <row r="2602" spans="2:33" ht="15" customHeight="1" x14ac:dyDescent="0.25"/>
    <row r="2603" spans="2:33" ht="15" customHeight="1" x14ac:dyDescent="0.25"/>
    <row r="2604" spans="2:33" ht="15" customHeight="1" x14ac:dyDescent="0.25"/>
    <row r="2605" spans="2:33" ht="15" customHeight="1" x14ac:dyDescent="0.25"/>
    <row r="2606" spans="2:33" ht="15" customHeight="1" x14ac:dyDescent="0.25"/>
    <row r="2607" spans="2:33" ht="15" customHeight="1" x14ac:dyDescent="0.25"/>
    <row r="2608" spans="2:33"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7" ht="15" customHeight="1" x14ac:dyDescent="0.25"/>
    <row r="2668" ht="15" customHeight="1" x14ac:dyDescent="0.25"/>
    <row r="2669" ht="15" customHeight="1" x14ac:dyDescent="0.25"/>
    <row r="2670"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3" ht="15" customHeight="1" x14ac:dyDescent="0.25"/>
    <row r="2684" ht="15" customHeight="1" x14ac:dyDescent="0.25"/>
    <row r="2685" ht="15" customHeight="1" x14ac:dyDescent="0.25"/>
    <row r="2686"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4" ht="15" customHeight="1" x14ac:dyDescent="0.25"/>
    <row r="2705" spans="2:33" ht="15" customHeight="1" x14ac:dyDescent="0.25"/>
    <row r="2706" spans="2:33" ht="15" customHeight="1" x14ac:dyDescent="0.25"/>
    <row r="2707" spans="2:33" ht="15" customHeight="1" x14ac:dyDescent="0.25"/>
    <row r="2710" spans="2:33" ht="15" customHeight="1" x14ac:dyDescent="0.25"/>
    <row r="2711" spans="2:33" ht="15" customHeight="1" x14ac:dyDescent="0.25"/>
    <row r="2712" spans="2:33" ht="15" customHeight="1" x14ac:dyDescent="0.25"/>
    <row r="2713" spans="2:33" ht="15" customHeight="1" x14ac:dyDescent="0.25"/>
    <row r="2714" spans="2:33" ht="15" customHeight="1" x14ac:dyDescent="0.25"/>
    <row r="2715" spans="2:33" ht="15" customHeight="1" x14ac:dyDescent="0.25"/>
    <row r="2716" spans="2:33" ht="15" customHeight="1" x14ac:dyDescent="0.25">
      <c r="B2716" s="531"/>
      <c r="C2716" s="531"/>
      <c r="D2716" s="531"/>
      <c r="E2716" s="531"/>
      <c r="F2716" s="531"/>
      <c r="G2716" s="531"/>
      <c r="H2716" s="531"/>
      <c r="I2716" s="531"/>
      <c r="J2716" s="531"/>
      <c r="K2716" s="531"/>
      <c r="L2716" s="531"/>
      <c r="M2716" s="531"/>
      <c r="N2716" s="531"/>
      <c r="O2716" s="531"/>
      <c r="P2716" s="531"/>
      <c r="Q2716" s="531"/>
      <c r="R2716" s="531"/>
      <c r="S2716" s="531"/>
      <c r="T2716" s="531"/>
      <c r="U2716" s="531"/>
      <c r="V2716" s="531"/>
      <c r="W2716" s="531"/>
      <c r="X2716" s="531"/>
      <c r="Y2716" s="531"/>
      <c r="Z2716" s="531"/>
      <c r="AA2716" s="531"/>
      <c r="AB2716" s="531"/>
      <c r="AC2716" s="531"/>
      <c r="AD2716" s="531"/>
      <c r="AE2716" s="531"/>
      <c r="AF2716" s="531"/>
      <c r="AG2716" s="531"/>
    </row>
    <row r="2717" spans="2:33" ht="15" customHeight="1" x14ac:dyDescent="0.25"/>
    <row r="2718" spans="2:33" ht="15" customHeight="1" x14ac:dyDescent="0.25"/>
    <row r="2719" spans="2:33" ht="15" customHeight="1" x14ac:dyDescent="0.25"/>
    <row r="2720" spans="2:33" ht="15" customHeight="1" x14ac:dyDescent="0.25"/>
  </sheetData>
  <mergeCells count="19">
    <mergeCell ref="B1824:AG1824"/>
    <mergeCell ref="B187:AG187"/>
    <mergeCell ref="B390:AG390"/>
    <mergeCell ref="B591:AG591"/>
    <mergeCell ref="B766:AG766"/>
    <mergeCell ref="B979:AG979"/>
    <mergeCell ref="B1106:AG1106"/>
    <mergeCell ref="B1269:AG1269"/>
    <mergeCell ref="B1381:AG1381"/>
    <mergeCell ref="B1483:AG1483"/>
    <mergeCell ref="B1577:AG1577"/>
    <mergeCell ref="B2598:AG2598"/>
    <mergeCell ref="B2716:AG2716"/>
    <mergeCell ref="B1910:AG1910"/>
    <mergeCell ref="B2032:AG2032"/>
    <mergeCell ref="B2196:AG2196"/>
    <mergeCell ref="B2298:AG2298"/>
    <mergeCell ref="B2388:AG2388"/>
    <mergeCell ref="B2477:AG2477"/>
  </mergeCells>
  <hyperlinks>
    <hyperlink ref="B4" r:id="rId1" display="https://www.eia.gov/outlooks/aeo/tables_ref.php" xr:uid="{14B9DD13-A234-43A3-9D17-483B45578C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86A8-0D8D-4523-BA07-445DFDA60F17}">
  <sheetPr>
    <tabColor theme="6"/>
  </sheetPr>
  <dimension ref="A2:I22"/>
  <sheetViews>
    <sheetView topLeftCell="A4" workbookViewId="0">
      <selection activeCell="C7" sqref="C7"/>
    </sheetView>
  </sheetViews>
  <sheetFormatPr defaultRowHeight="15" x14ac:dyDescent="0.25"/>
  <cols>
    <col min="2" max="2" width="22.140625" customWidth="1"/>
    <col min="3" max="3" width="12.28515625" customWidth="1"/>
    <col min="4" max="4" width="11.5703125" bestFit="1" customWidth="1"/>
    <col min="6" max="6" width="22" customWidth="1"/>
  </cols>
  <sheetData>
    <row r="2" spans="1:9" x14ac:dyDescent="0.25">
      <c r="A2" s="147" t="s">
        <v>344</v>
      </c>
    </row>
    <row r="3" spans="1:9" x14ac:dyDescent="0.25">
      <c r="C3" t="s">
        <v>437</v>
      </c>
    </row>
    <row r="4" spans="1:9" ht="107.25" customHeight="1" x14ac:dyDescent="0.25">
      <c r="C4" s="532" t="s">
        <v>438</v>
      </c>
      <c r="D4" s="532"/>
      <c r="E4" s="532"/>
      <c r="F4" s="532"/>
      <c r="G4" s="532"/>
      <c r="H4" s="532"/>
      <c r="I4" s="532"/>
    </row>
    <row r="5" spans="1:9" x14ac:dyDescent="0.25">
      <c r="B5" t="s">
        <v>439</v>
      </c>
      <c r="C5">
        <v>40</v>
      </c>
      <c r="D5" t="s">
        <v>168</v>
      </c>
    </row>
    <row r="6" spans="1:9" x14ac:dyDescent="0.25">
      <c r="B6" t="s">
        <v>440</v>
      </c>
      <c r="C6">
        <v>97</v>
      </c>
      <c r="D6" t="s">
        <v>168</v>
      </c>
    </row>
    <row r="7" spans="1:9" x14ac:dyDescent="0.25">
      <c r="B7" t="s">
        <v>441</v>
      </c>
      <c r="C7">
        <f>AVERAGE(C5:C6)</f>
        <v>68.5</v>
      </c>
      <c r="D7" t="s">
        <v>168</v>
      </c>
    </row>
    <row r="8" spans="1:9" x14ac:dyDescent="0.25">
      <c r="B8" t="s">
        <v>352</v>
      </c>
      <c r="C8">
        <v>2023</v>
      </c>
    </row>
    <row r="11" spans="1:9" x14ac:dyDescent="0.25">
      <c r="A11" s="147" t="s">
        <v>362</v>
      </c>
    </row>
    <row r="13" spans="1:9" x14ac:dyDescent="0.25">
      <c r="B13" t="s">
        <v>389</v>
      </c>
      <c r="C13" s="160" t="s">
        <v>442</v>
      </c>
    </row>
    <row r="15" spans="1:9" x14ac:dyDescent="0.25">
      <c r="B15" t="s">
        <v>443</v>
      </c>
      <c r="C15" t="s">
        <v>44</v>
      </c>
      <c r="D15">
        <v>2010</v>
      </c>
    </row>
    <row r="16" spans="1:9" x14ac:dyDescent="0.25">
      <c r="B16" t="s">
        <v>443</v>
      </c>
      <c r="C16" t="s">
        <v>444</v>
      </c>
      <c r="D16" s="262">
        <v>391906</v>
      </c>
      <c r="F16" t="s">
        <v>89</v>
      </c>
      <c r="G16" t="s">
        <v>44</v>
      </c>
      <c r="H16">
        <v>2023</v>
      </c>
    </row>
    <row r="17" spans="2:8" x14ac:dyDescent="0.25">
      <c r="B17" t="s">
        <v>445</v>
      </c>
      <c r="C17" t="s">
        <v>44</v>
      </c>
      <c r="D17">
        <v>2020</v>
      </c>
      <c r="F17" t="s">
        <v>90</v>
      </c>
      <c r="G17" t="s">
        <v>91</v>
      </c>
      <c r="H17">
        <v>19760</v>
      </c>
    </row>
    <row r="18" spans="2:8" x14ac:dyDescent="0.25">
      <c r="B18" t="s">
        <v>445</v>
      </c>
      <c r="C18" t="s">
        <v>444</v>
      </c>
      <c r="D18" s="262">
        <v>413066</v>
      </c>
      <c r="F18" t="s">
        <v>92</v>
      </c>
      <c r="G18" t="s">
        <v>44</v>
      </c>
      <c r="H18">
        <v>2046</v>
      </c>
    </row>
    <row r="19" spans="2:8" x14ac:dyDescent="0.25">
      <c r="F19" t="s">
        <v>93</v>
      </c>
      <c r="G19" t="s">
        <v>91</v>
      </c>
      <c r="H19">
        <v>28828</v>
      </c>
    </row>
    <row r="20" spans="2:8" x14ac:dyDescent="0.25">
      <c r="B20" t="s">
        <v>446</v>
      </c>
      <c r="C20" t="s">
        <v>60</v>
      </c>
      <c r="D20" s="263">
        <f>(D18-D16)/D16</f>
        <v>5.3992539027215708E-2</v>
      </c>
      <c r="F20" t="s">
        <v>217</v>
      </c>
      <c r="G20" t="s">
        <v>60</v>
      </c>
      <c r="H20">
        <v>1.6556762094363853E-2</v>
      </c>
    </row>
    <row r="21" spans="2:8" x14ac:dyDescent="0.25">
      <c r="B21" t="s">
        <v>403</v>
      </c>
      <c r="C21" t="s">
        <v>60</v>
      </c>
      <c r="D21" s="263">
        <f>D20/(D17-D15)</f>
        <v>5.3992539027215708E-3</v>
      </c>
      <c r="F21" t="s">
        <v>218</v>
      </c>
      <c r="G21" t="s">
        <v>44</v>
      </c>
      <c r="H21">
        <v>2018</v>
      </c>
    </row>
    <row r="22" spans="2:8" x14ac:dyDescent="0.25">
      <c r="F22" t="s">
        <v>219</v>
      </c>
      <c r="G22" t="s">
        <v>91</v>
      </c>
      <c r="H22">
        <v>18202.404961075328</v>
      </c>
    </row>
  </sheetData>
  <mergeCells count="1">
    <mergeCell ref="C4:I4"/>
  </mergeCells>
  <hyperlinks>
    <hyperlink ref="C13" r:id="rId1" xr:uid="{51CB2808-2CB2-4188-9D5A-5E53DB4D7FF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5164-386C-41B5-BA8C-FB7356437A1D}">
  <sheetPr>
    <tabColor theme="7"/>
  </sheetPr>
  <dimension ref="A1:AM174"/>
  <sheetViews>
    <sheetView workbookViewId="0">
      <pane xSplit="1" ySplit="10" topLeftCell="C11" activePane="bottomRight" state="frozen"/>
      <selection pane="topRight" activeCell="B1" sqref="B1"/>
      <selection pane="bottomLeft" activeCell="A5" sqref="A5"/>
      <selection pane="bottomRight" activeCell="E102" sqref="E102"/>
    </sheetView>
  </sheetViews>
  <sheetFormatPr defaultColWidth="9.140625" defaultRowHeight="14.25" x14ac:dyDescent="0.2"/>
  <cols>
    <col min="1" max="1" width="10.85546875" style="1" customWidth="1"/>
    <col min="2" max="2" width="2.140625" style="1" hidden="1" customWidth="1"/>
    <col min="3" max="3" width="87.140625" style="1" bestFit="1" customWidth="1"/>
    <col min="4" max="4" width="22.7109375" style="1" bestFit="1" customWidth="1"/>
    <col min="5" max="5" width="21.85546875" style="1" customWidth="1"/>
    <col min="6" max="6" width="86" style="1" bestFit="1" customWidth="1"/>
    <col min="7" max="7" width="9.140625" style="1"/>
    <col min="8" max="8" width="16.85546875" style="1" bestFit="1" customWidth="1"/>
    <col min="9" max="36" width="13.28515625" style="1" bestFit="1" customWidth="1"/>
    <col min="37" max="39" width="10.42578125" style="1" bestFit="1" customWidth="1"/>
    <col min="40" max="16384" width="9.140625" style="1"/>
  </cols>
  <sheetData>
    <row r="1" spans="1:8" ht="19.5" x14ac:dyDescent="0.3">
      <c r="A1" s="199" t="str">
        <f>Summary!$A$1</f>
        <v>Multimodal Improvements to Safely Connect Tulsa at US-75 and 81st Street Interchange</v>
      </c>
      <c r="B1" s="199"/>
    </row>
    <row r="2" spans="1:8" ht="19.5" x14ac:dyDescent="0.3">
      <c r="A2" s="199" t="s">
        <v>35</v>
      </c>
      <c r="B2" s="199"/>
    </row>
    <row r="3" spans="1:8" x14ac:dyDescent="0.2">
      <c r="A3" s="45">
        <f ca="1">TODAY()</f>
        <v>45345</v>
      </c>
      <c r="B3" s="45"/>
    </row>
    <row r="4" spans="1:8" x14ac:dyDescent="0.2">
      <c r="A4" s="46" t="s">
        <v>827</v>
      </c>
      <c r="B4" s="46"/>
      <c r="E4" s="460" t="s">
        <v>1028</v>
      </c>
      <c r="F4" s="460" t="s">
        <v>1029</v>
      </c>
    </row>
    <row r="5" spans="1:8" ht="15" thickBot="1" x14ac:dyDescent="0.25">
      <c r="A5" s="59" t="s">
        <v>2</v>
      </c>
      <c r="B5" s="59"/>
      <c r="C5" s="449" t="s">
        <v>1024</v>
      </c>
      <c r="D5" s="450">
        <f>Summary!E34</f>
        <v>25.311728931663222</v>
      </c>
      <c r="E5" s="462">
        <v>25.311728931663222</v>
      </c>
      <c r="F5" s="461">
        <f>(D5-E5)/E5</f>
        <v>0</v>
      </c>
    </row>
    <row r="6" spans="1:8" ht="15.75" thickBot="1" x14ac:dyDescent="0.3">
      <c r="A6" s="60" t="s">
        <v>3</v>
      </c>
      <c r="B6" s="60"/>
      <c r="C6" s="260" t="str">
        <f>Summary!$B$9</f>
        <v>Benefit Cost Ratio (3.1% disc.*)</v>
      </c>
      <c r="D6" s="261">
        <f>Summary!$E$9</f>
        <v>2.0575994382092198</v>
      </c>
    </row>
    <row r="7" spans="1:8" x14ac:dyDescent="0.2">
      <c r="A7" s="61" t="s">
        <v>4</v>
      </c>
      <c r="B7" s="61"/>
      <c r="C7" s="302" t="s">
        <v>6</v>
      </c>
      <c r="D7" s="1" t="str">
        <f>IF($B$170=0,"NO","YES")</f>
        <v>NO</v>
      </c>
    </row>
    <row r="8" spans="1:8" x14ac:dyDescent="0.2">
      <c r="A8" s="228" t="s">
        <v>5</v>
      </c>
      <c r="B8" s="228"/>
    </row>
    <row r="9" spans="1:8" x14ac:dyDescent="0.2">
      <c r="C9" s="18" t="str">
        <f>Summary!$B$23</f>
        <v>*Emissions 3.1% discount factor includes 2% discount for CO2</v>
      </c>
    </row>
    <row r="10" spans="1:8" ht="18" thickBot="1" x14ac:dyDescent="0.35">
      <c r="A10" s="37" t="s">
        <v>36</v>
      </c>
      <c r="B10" s="37"/>
      <c r="C10" s="37" t="s">
        <v>37</v>
      </c>
      <c r="D10" s="38" t="s">
        <v>38</v>
      </c>
      <c r="E10" s="38" t="s">
        <v>39</v>
      </c>
      <c r="F10" s="38" t="s">
        <v>40</v>
      </c>
      <c r="G10" s="38"/>
      <c r="H10" s="38" t="s">
        <v>41</v>
      </c>
    </row>
    <row r="11" spans="1:8" ht="15.75" thickTop="1" x14ac:dyDescent="0.25">
      <c r="A11" s="2" t="s">
        <v>42</v>
      </c>
      <c r="B11" s="2"/>
    </row>
    <row r="12" spans="1:8" x14ac:dyDescent="0.2">
      <c r="A12" s="47"/>
      <c r="B12" s="57"/>
      <c r="C12" s="57" t="s">
        <v>43</v>
      </c>
      <c r="D12" s="48" t="s">
        <v>44</v>
      </c>
      <c r="E12" s="49">
        <v>2018</v>
      </c>
      <c r="F12" s="50" t="s">
        <v>45</v>
      </c>
    </row>
    <row r="13" spans="1:8" x14ac:dyDescent="0.2">
      <c r="A13" s="51"/>
      <c r="C13" s="1" t="s">
        <v>46</v>
      </c>
      <c r="D13" s="19" t="s">
        <v>44</v>
      </c>
      <c r="E13" s="10">
        <v>2022</v>
      </c>
      <c r="F13" s="52" t="s">
        <v>47</v>
      </c>
    </row>
    <row r="14" spans="1:8" x14ac:dyDescent="0.2">
      <c r="A14" s="51"/>
      <c r="C14" s="1" t="s">
        <v>48</v>
      </c>
      <c r="D14" s="19" t="s">
        <v>44</v>
      </c>
      <c r="E14" s="10">
        <v>2025</v>
      </c>
      <c r="F14" s="52" t="s">
        <v>49</v>
      </c>
    </row>
    <row r="15" spans="1:8" x14ac:dyDescent="0.2">
      <c r="A15" s="51"/>
      <c r="C15" s="1" t="s">
        <v>50</v>
      </c>
      <c r="D15" s="19" t="s">
        <v>51</v>
      </c>
      <c r="E15" s="10">
        <v>2</v>
      </c>
      <c r="F15" s="52" t="s">
        <v>49</v>
      </c>
    </row>
    <row r="16" spans="1:8" x14ac:dyDescent="0.2">
      <c r="A16" s="51"/>
      <c r="C16" s="1" t="s">
        <v>52</v>
      </c>
      <c r="D16" s="19" t="s">
        <v>44</v>
      </c>
      <c r="E16" s="1">
        <f>E14+E15</f>
        <v>2027</v>
      </c>
      <c r="F16" s="52" t="s">
        <v>2</v>
      </c>
    </row>
    <row r="17" spans="1:13" x14ac:dyDescent="0.2">
      <c r="A17" s="51"/>
      <c r="C17" s="1" t="s">
        <v>53</v>
      </c>
      <c r="D17" s="19" t="s">
        <v>44</v>
      </c>
      <c r="E17" s="1">
        <f>E16</f>
        <v>2027</v>
      </c>
      <c r="F17" s="52" t="s">
        <v>2</v>
      </c>
    </row>
    <row r="18" spans="1:13" ht="15" x14ac:dyDescent="0.25">
      <c r="A18" s="51"/>
      <c r="C18" s="1" t="s">
        <v>61</v>
      </c>
      <c r="D18" s="19" t="s">
        <v>44</v>
      </c>
      <c r="E18" s="183">
        <v>2023</v>
      </c>
      <c r="F18" s="52" t="s">
        <v>49</v>
      </c>
      <c r="M18"/>
    </row>
    <row r="19" spans="1:13" x14ac:dyDescent="0.2">
      <c r="A19" s="51"/>
      <c r="C19" s="1" t="s">
        <v>62</v>
      </c>
      <c r="D19" s="19" t="s">
        <v>44</v>
      </c>
      <c r="E19" s="183">
        <v>2023</v>
      </c>
      <c r="F19" s="52" t="s">
        <v>49</v>
      </c>
    </row>
    <row r="20" spans="1:13" x14ac:dyDescent="0.2">
      <c r="A20" s="51"/>
      <c r="C20" s="1" t="s">
        <v>63</v>
      </c>
      <c r="D20" s="19" t="s">
        <v>44</v>
      </c>
      <c r="E20" s="183">
        <v>2018</v>
      </c>
      <c r="F20" s="52" t="s">
        <v>49</v>
      </c>
    </row>
    <row r="21" spans="1:13" x14ac:dyDescent="0.2">
      <c r="A21" s="51"/>
      <c r="C21" s="1" t="s">
        <v>64</v>
      </c>
      <c r="D21" s="19" t="s">
        <v>44</v>
      </c>
      <c r="E21" s="183">
        <v>2022</v>
      </c>
      <c r="F21" s="52" t="s">
        <v>49</v>
      </c>
    </row>
    <row r="22" spans="1:13" x14ac:dyDescent="0.2">
      <c r="A22" s="51"/>
      <c r="C22" s="1" t="s">
        <v>65</v>
      </c>
      <c r="D22" s="19" t="s">
        <v>44</v>
      </c>
      <c r="E22" s="183">
        <v>2022</v>
      </c>
      <c r="F22" s="52" t="s">
        <v>49</v>
      </c>
    </row>
    <row r="23" spans="1:13" x14ac:dyDescent="0.2">
      <c r="A23" s="51"/>
      <c r="C23" s="1" t="s">
        <v>54</v>
      </c>
      <c r="D23" s="19" t="s">
        <v>51</v>
      </c>
      <c r="E23" s="1">
        <f>MAX(E24:E25)</f>
        <v>20</v>
      </c>
      <c r="F23" s="52" t="s">
        <v>47</v>
      </c>
      <c r="H23" s="18"/>
    </row>
    <row r="24" spans="1:13" x14ac:dyDescent="0.2">
      <c r="A24" s="51"/>
      <c r="C24" s="1" t="s">
        <v>55</v>
      </c>
      <c r="D24" s="19" t="s">
        <v>51</v>
      </c>
      <c r="E24" s="10">
        <v>20</v>
      </c>
      <c r="F24" s="52" t="s">
        <v>47</v>
      </c>
    </row>
    <row r="25" spans="1:13" x14ac:dyDescent="0.2">
      <c r="A25" s="228"/>
      <c r="B25" s="228">
        <f>IF(E25=0,0,1)</f>
        <v>0</v>
      </c>
      <c r="C25" s="228" t="s">
        <v>56</v>
      </c>
      <c r="D25" s="294" t="s">
        <v>51</v>
      </c>
      <c r="E25" s="228">
        <v>0</v>
      </c>
      <c r="F25" s="295" t="s">
        <v>57</v>
      </c>
    </row>
    <row r="26" spans="1:13" x14ac:dyDescent="0.2">
      <c r="A26" s="53"/>
      <c r="B26" s="58"/>
      <c r="C26" s="58" t="s">
        <v>58</v>
      </c>
      <c r="D26" s="54" t="s">
        <v>44</v>
      </c>
      <c r="E26" s="55">
        <f>E17+E23</f>
        <v>2047</v>
      </c>
      <c r="F26" s="56" t="s">
        <v>2</v>
      </c>
    </row>
    <row r="27" spans="1:13" x14ac:dyDescent="0.2">
      <c r="D27" s="19"/>
      <c r="E27" s="14"/>
    </row>
    <row r="28" spans="1:13" ht="15" x14ac:dyDescent="0.25">
      <c r="A28" s="2" t="s">
        <v>981</v>
      </c>
      <c r="B28" s="2"/>
      <c r="D28" s="19"/>
      <c r="E28" s="14"/>
    </row>
    <row r="29" spans="1:13" x14ac:dyDescent="0.2">
      <c r="A29" s="47"/>
      <c r="B29" s="57"/>
      <c r="C29" s="57" t="s">
        <v>59</v>
      </c>
      <c r="D29" s="48" t="s">
        <v>60</v>
      </c>
      <c r="E29" s="290">
        <v>0</v>
      </c>
      <c r="F29" s="50" t="s">
        <v>47</v>
      </c>
    </row>
    <row r="30" spans="1:13" ht="15" x14ac:dyDescent="0.25">
      <c r="A30" s="51"/>
      <c r="C30" s="1" t="s">
        <v>820</v>
      </c>
      <c r="D30" s="19" t="s">
        <v>60</v>
      </c>
      <c r="E30" s="388">
        <v>0.02</v>
      </c>
      <c r="F30" s="52" t="s">
        <v>47</v>
      </c>
      <c r="H30"/>
      <c r="I30"/>
      <c r="J30"/>
      <c r="K30"/>
      <c r="L30"/>
      <c r="M30"/>
    </row>
    <row r="31" spans="1:13" ht="15" x14ac:dyDescent="0.25">
      <c r="A31" s="51"/>
      <c r="C31" s="1" t="s">
        <v>821</v>
      </c>
      <c r="D31" s="19" t="s">
        <v>60</v>
      </c>
      <c r="E31" s="388">
        <v>3.1E-2</v>
      </c>
      <c r="F31" s="52" t="s">
        <v>47</v>
      </c>
      <c r="M31"/>
    </row>
    <row r="32" spans="1:13" x14ac:dyDescent="0.2">
      <c r="A32" s="51"/>
      <c r="C32" s="1" t="s">
        <v>66</v>
      </c>
      <c r="D32" s="76" t="s">
        <v>67</v>
      </c>
      <c r="E32" s="183">
        <v>365</v>
      </c>
      <c r="F32" s="52" t="s">
        <v>68</v>
      </c>
    </row>
    <row r="33" spans="1:6" x14ac:dyDescent="0.2">
      <c r="A33" s="53"/>
      <c r="B33" s="58"/>
      <c r="C33" s="58" t="s">
        <v>69</v>
      </c>
      <c r="D33" s="84" t="s">
        <v>70</v>
      </c>
      <c r="E33" s="234">
        <v>1000</v>
      </c>
      <c r="F33" s="56" t="s">
        <v>68</v>
      </c>
    </row>
    <row r="34" spans="1:6" x14ac:dyDescent="0.2">
      <c r="D34" s="76"/>
    </row>
    <row r="35" spans="1:6" ht="15" x14ac:dyDescent="0.25">
      <c r="A35" s="2" t="s">
        <v>71</v>
      </c>
      <c r="B35" s="2"/>
      <c r="D35" s="18"/>
    </row>
    <row r="36" spans="1:6" ht="15" x14ac:dyDescent="0.25">
      <c r="A36" s="336"/>
      <c r="B36" s="256"/>
      <c r="C36" s="57" t="s">
        <v>976</v>
      </c>
      <c r="D36" s="48" t="s">
        <v>72</v>
      </c>
      <c r="E36" s="337">
        <f>'REF Project Costs'!I17</f>
        <v>27662217.281689141</v>
      </c>
      <c r="F36" s="50" t="s">
        <v>49</v>
      </c>
    </row>
    <row r="37" spans="1:6" ht="14.25" customHeight="1" x14ac:dyDescent="0.2">
      <c r="A37" s="338"/>
      <c r="B37" s="228">
        <f>IF(E37=0,0,1)</f>
        <v>0</v>
      </c>
      <c r="C37" s="228" t="s">
        <v>977</v>
      </c>
      <c r="D37" s="294" t="s">
        <v>60</v>
      </c>
      <c r="E37" s="293">
        <v>0</v>
      </c>
      <c r="F37" s="295" t="s">
        <v>73</v>
      </c>
    </row>
    <row r="38" spans="1:6" x14ac:dyDescent="0.2">
      <c r="A38" s="51"/>
      <c r="C38" s="1" t="s">
        <v>823</v>
      </c>
      <c r="D38" s="19" t="s">
        <v>72</v>
      </c>
      <c r="E38" s="389">
        <f>'REF Project Costs'!$M$7</f>
        <v>7022864.7404078525</v>
      </c>
      <c r="F38" s="52" t="s">
        <v>74</v>
      </c>
    </row>
    <row r="39" spans="1:6" x14ac:dyDescent="0.2">
      <c r="A39" s="51"/>
      <c r="C39" s="1" t="s">
        <v>75</v>
      </c>
      <c r="D39" s="19" t="s">
        <v>51</v>
      </c>
      <c r="E39" s="183">
        <v>40</v>
      </c>
      <c r="F39" s="52" t="s">
        <v>76</v>
      </c>
    </row>
    <row r="40" spans="1:6" x14ac:dyDescent="0.2">
      <c r="A40" s="51"/>
      <c r="C40" s="1" t="s">
        <v>77</v>
      </c>
      <c r="D40" s="19" t="s">
        <v>72</v>
      </c>
      <c r="E40" s="184">
        <v>0</v>
      </c>
      <c r="F40" s="52" t="s">
        <v>49</v>
      </c>
    </row>
    <row r="41" spans="1:6" x14ac:dyDescent="0.2">
      <c r="A41" s="51"/>
      <c r="C41" s="1" t="s">
        <v>78</v>
      </c>
      <c r="D41" s="19" t="s">
        <v>79</v>
      </c>
      <c r="E41" s="184">
        <v>12</v>
      </c>
      <c r="F41" s="52" t="s">
        <v>80</v>
      </c>
    </row>
    <row r="42" spans="1:6" x14ac:dyDescent="0.2">
      <c r="A42" s="51"/>
      <c r="C42" s="1" t="s">
        <v>81</v>
      </c>
      <c r="D42" s="19" t="s">
        <v>82</v>
      </c>
      <c r="E42" s="184">
        <v>8</v>
      </c>
      <c r="F42" s="52" t="s">
        <v>80</v>
      </c>
    </row>
    <row r="43" spans="1:6" x14ac:dyDescent="0.2">
      <c r="A43" s="51"/>
      <c r="C43" s="1" t="s">
        <v>83</v>
      </c>
      <c r="D43" s="19" t="s">
        <v>82</v>
      </c>
      <c r="E43" s="184">
        <v>4</v>
      </c>
      <c r="F43" s="52" t="s">
        <v>80</v>
      </c>
    </row>
    <row r="44" spans="1:6" x14ac:dyDescent="0.2">
      <c r="A44" s="53"/>
      <c r="B44" s="58"/>
      <c r="C44" s="58" t="s">
        <v>84</v>
      </c>
      <c r="D44" s="54" t="s">
        <v>85</v>
      </c>
      <c r="E44" s="289">
        <f>E71*2</f>
        <v>0.53030303030303028</v>
      </c>
      <c r="F44" s="56" t="s">
        <v>80</v>
      </c>
    </row>
    <row r="45" spans="1:6" x14ac:dyDescent="0.2">
      <c r="D45" s="19"/>
    </row>
    <row r="46" spans="1:6" ht="15" x14ac:dyDescent="0.25">
      <c r="A46" s="2" t="s">
        <v>86</v>
      </c>
      <c r="B46" s="2"/>
      <c r="D46" s="18"/>
    </row>
    <row r="47" spans="1:6" x14ac:dyDescent="0.2">
      <c r="A47" s="47"/>
      <c r="B47" s="57"/>
      <c r="C47" s="57" t="s">
        <v>87</v>
      </c>
      <c r="D47" s="48" t="s">
        <v>60</v>
      </c>
      <c r="E47" s="290">
        <v>0.03</v>
      </c>
      <c r="F47" s="50" t="s">
        <v>88</v>
      </c>
    </row>
    <row r="48" spans="1:6" ht="15" x14ac:dyDescent="0.25">
      <c r="A48" s="51"/>
      <c r="C48" s="2" t="s">
        <v>998</v>
      </c>
      <c r="D48" s="19"/>
      <c r="E48" s="19"/>
      <c r="F48" s="52"/>
    </row>
    <row r="49" spans="1:6" x14ac:dyDescent="0.2">
      <c r="A49" s="51"/>
      <c r="C49" s="1" t="s">
        <v>89</v>
      </c>
      <c r="D49" s="12" t="s">
        <v>44</v>
      </c>
      <c r="E49" s="436">
        <f>'REF Traffic'!$D$68</f>
        <v>2023</v>
      </c>
      <c r="F49" s="52" t="s">
        <v>88</v>
      </c>
    </row>
    <row r="50" spans="1:6" x14ac:dyDescent="0.2">
      <c r="A50" s="51"/>
      <c r="C50" s="1" t="s">
        <v>90</v>
      </c>
      <c r="D50" s="12" t="s">
        <v>91</v>
      </c>
      <c r="E50" s="291">
        <f>'REF Traffic'!$D$71</f>
        <v>19720</v>
      </c>
      <c r="F50" s="52" t="s">
        <v>88</v>
      </c>
    </row>
    <row r="51" spans="1:6" x14ac:dyDescent="0.2">
      <c r="A51" s="51"/>
      <c r="C51" s="1" t="s">
        <v>92</v>
      </c>
      <c r="D51" s="12" t="s">
        <v>44</v>
      </c>
      <c r="E51" s="436">
        <f>'REF Traffic'!$D$115</f>
        <v>2046</v>
      </c>
      <c r="F51" s="52" t="s">
        <v>88</v>
      </c>
    </row>
    <row r="52" spans="1:6" x14ac:dyDescent="0.2">
      <c r="A52" s="51"/>
      <c r="C52" s="1" t="s">
        <v>93</v>
      </c>
      <c r="D52" s="12" t="s">
        <v>91</v>
      </c>
      <c r="E52" s="291">
        <f>'REF Traffic'!$D$118</f>
        <v>28828</v>
      </c>
      <c r="F52" s="52" t="s">
        <v>88</v>
      </c>
    </row>
    <row r="53" spans="1:6" ht="15" x14ac:dyDescent="0.25">
      <c r="A53" s="51"/>
      <c r="C53" s="2" t="s">
        <v>999</v>
      </c>
      <c r="D53" s="12"/>
      <c r="E53" s="291"/>
      <c r="F53" s="52"/>
    </row>
    <row r="54" spans="1:6" x14ac:dyDescent="0.2">
      <c r="A54" s="51"/>
      <c r="C54" s="1" t="s">
        <v>89</v>
      </c>
      <c r="D54" s="12" t="s">
        <v>44</v>
      </c>
      <c r="E54" s="436">
        <f>'REF Traffic'!L53</f>
        <v>2023</v>
      </c>
      <c r="F54" s="52" t="s">
        <v>88</v>
      </c>
    </row>
    <row r="55" spans="1:6" x14ac:dyDescent="0.2">
      <c r="A55" s="51"/>
      <c r="C55" s="1" t="s">
        <v>90</v>
      </c>
      <c r="D55" s="12" t="s">
        <v>91</v>
      </c>
      <c r="E55" s="436">
        <f>'REF Traffic'!L56</f>
        <v>7702</v>
      </c>
      <c r="F55" s="52" t="s">
        <v>88</v>
      </c>
    </row>
    <row r="56" spans="1:6" x14ac:dyDescent="0.2">
      <c r="A56" s="51"/>
      <c r="C56" s="1" t="s">
        <v>92</v>
      </c>
      <c r="D56" s="12" t="s">
        <v>44</v>
      </c>
      <c r="E56" s="436">
        <f>'REF Traffic'!$L$101</f>
        <v>2046</v>
      </c>
      <c r="F56" s="52" t="s">
        <v>88</v>
      </c>
    </row>
    <row r="57" spans="1:6" x14ac:dyDescent="0.2">
      <c r="A57" s="53"/>
      <c r="B57" s="58"/>
      <c r="C57" s="58" t="s">
        <v>93</v>
      </c>
      <c r="D57" s="416" t="s">
        <v>91</v>
      </c>
      <c r="E57" s="417">
        <f>'REF Traffic'!L104</f>
        <v>11262</v>
      </c>
      <c r="F57" s="56" t="s">
        <v>88</v>
      </c>
    </row>
    <row r="58" spans="1:6" x14ac:dyDescent="0.2">
      <c r="D58" s="12"/>
      <c r="E58" s="291"/>
    </row>
    <row r="59" spans="1:6" ht="15" x14ac:dyDescent="0.25">
      <c r="A59" s="2" t="s">
        <v>98</v>
      </c>
      <c r="B59" s="2"/>
      <c r="D59" s="19"/>
      <c r="E59" s="5"/>
    </row>
    <row r="60" spans="1:6" x14ac:dyDescent="0.2">
      <c r="A60" s="47"/>
      <c r="B60" s="57"/>
      <c r="C60" s="57" t="str">
        <f>'REF Accidents'!$B$9</f>
        <v>Non-incapacitating injuries or possible injury</v>
      </c>
      <c r="D60" s="245" t="s">
        <v>99</v>
      </c>
      <c r="E60" s="246">
        <f>'REF Accidents'!$D$9</f>
        <v>1.7777777777777777</v>
      </c>
      <c r="F60" s="50" t="s">
        <v>100</v>
      </c>
    </row>
    <row r="61" spans="1:6" x14ac:dyDescent="0.2">
      <c r="A61" s="51"/>
      <c r="C61" s="1" t="str">
        <f>'REF Accidents'!$B$10</f>
        <v>PDO</v>
      </c>
      <c r="D61" s="76" t="s">
        <v>99</v>
      </c>
      <c r="E61" s="93">
        <f>'REF Accidents'!$D$10</f>
        <v>2</v>
      </c>
      <c r="F61" s="52" t="s">
        <v>100</v>
      </c>
    </row>
    <row r="62" spans="1:6" x14ac:dyDescent="0.2">
      <c r="A62" s="51"/>
      <c r="C62" s="1" t="str">
        <f>'REF Accidents'!$B$11</f>
        <v>Total Crashes</v>
      </c>
      <c r="D62" s="76" t="s">
        <v>99</v>
      </c>
      <c r="E62" s="93">
        <f>'REF Accidents'!$D$11</f>
        <v>3.7777777777777777</v>
      </c>
      <c r="F62" s="52" t="s">
        <v>100</v>
      </c>
    </row>
    <row r="63" spans="1:6" x14ac:dyDescent="0.2">
      <c r="A63" s="51"/>
      <c r="C63" s="1" t="s">
        <v>101</v>
      </c>
      <c r="D63" s="76" t="s">
        <v>102</v>
      </c>
      <c r="E63" s="20">
        <f>'REF Accidents'!$C$5</f>
        <v>2021</v>
      </c>
      <c r="F63" s="52" t="s">
        <v>100</v>
      </c>
    </row>
    <row r="64" spans="1:6" x14ac:dyDescent="0.2">
      <c r="A64" s="51"/>
      <c r="C64" s="1" t="s">
        <v>103</v>
      </c>
      <c r="D64" s="235" t="s">
        <v>104</v>
      </c>
      <c r="E64" s="244">
        <f>'REF USDOT BCA 2024 Guidlines'!$C$9</f>
        <v>233800</v>
      </c>
      <c r="F64" s="52" t="s">
        <v>105</v>
      </c>
    </row>
    <row r="65" spans="1:6" ht="14.25" customHeight="1" x14ac:dyDescent="0.2">
      <c r="A65" s="51"/>
      <c r="C65" s="1" t="s">
        <v>106</v>
      </c>
      <c r="D65" s="235" t="s">
        <v>104</v>
      </c>
      <c r="E65" s="244">
        <f>'REF USDOT BCA 2024 Guidlines'!$C$15</f>
        <v>9100</v>
      </c>
      <c r="F65" s="52" t="s">
        <v>107</v>
      </c>
    </row>
    <row r="66" spans="1:6" x14ac:dyDescent="0.2">
      <c r="A66" s="51"/>
      <c r="C66" s="1" t="s">
        <v>94</v>
      </c>
      <c r="D66" s="19" t="s">
        <v>95</v>
      </c>
      <c r="E66" s="1">
        <f>'REF Accidents'!$D$13*(1-$E$67)</f>
        <v>0.52</v>
      </c>
      <c r="F66" s="52" t="s">
        <v>96</v>
      </c>
    </row>
    <row r="67" spans="1:6" x14ac:dyDescent="0.2">
      <c r="A67" s="296"/>
      <c r="B67" s="296">
        <f>IF(E67=0,0,1)</f>
        <v>0</v>
      </c>
      <c r="C67" s="296" t="s">
        <v>97</v>
      </c>
      <c r="D67" s="297" t="s">
        <v>60</v>
      </c>
      <c r="E67" s="298">
        <v>0</v>
      </c>
      <c r="F67" s="299" t="s">
        <v>73</v>
      </c>
    </row>
    <row r="68" spans="1:6" ht="14.25" customHeight="1" x14ac:dyDescent="0.2">
      <c r="D68" s="235"/>
      <c r="E68" s="5"/>
    </row>
    <row r="69" spans="1:6" ht="15" x14ac:dyDescent="0.25">
      <c r="A69" s="2" t="s">
        <v>108</v>
      </c>
      <c r="B69" s="2"/>
      <c r="D69" s="18"/>
    </row>
    <row r="70" spans="1:6" hidden="1" x14ac:dyDescent="0.2">
      <c r="A70" s="47"/>
      <c r="B70" s="57"/>
      <c r="C70" s="57" t="s">
        <v>109</v>
      </c>
      <c r="D70" s="48" t="s">
        <v>85</v>
      </c>
      <c r="E70" s="292">
        <f>1400/5280</f>
        <v>0.26515151515151514</v>
      </c>
      <c r="F70" s="50" t="s">
        <v>357</v>
      </c>
    </row>
    <row r="71" spans="1:6" hidden="1" x14ac:dyDescent="0.2">
      <c r="A71" s="51"/>
      <c r="C71" s="237" t="s">
        <v>110</v>
      </c>
      <c r="D71" s="19" t="s">
        <v>85</v>
      </c>
      <c r="E71" s="300">
        <f>1400/5280</f>
        <v>0.26515151515151514</v>
      </c>
      <c r="F71" s="52" t="s">
        <v>80</v>
      </c>
    </row>
    <row r="72" spans="1:6" hidden="1" x14ac:dyDescent="0.2">
      <c r="A72" s="51"/>
      <c r="C72" s="237" t="s">
        <v>111</v>
      </c>
      <c r="D72" s="19" t="s">
        <v>112</v>
      </c>
      <c r="E72" s="301">
        <f>'REF USDOT BCA 2024 Guidlines'!D148</f>
        <v>3.2</v>
      </c>
      <c r="F72" s="52" t="s">
        <v>113</v>
      </c>
    </row>
    <row r="73" spans="1:6" ht="15" x14ac:dyDescent="0.25">
      <c r="A73" s="47"/>
      <c r="B73" s="57"/>
      <c r="C73" s="400" t="s">
        <v>114</v>
      </c>
      <c r="D73" s="401"/>
      <c r="E73" s="402"/>
      <c r="F73" s="50"/>
    </row>
    <row r="74" spans="1:6" x14ac:dyDescent="0.2">
      <c r="A74" s="51"/>
      <c r="C74" s="237" t="s">
        <v>115</v>
      </c>
      <c r="D74" s="19" t="s">
        <v>116</v>
      </c>
      <c r="E74" s="241">
        <f>'REF USDOT BCA 2024 Guidlines'!C24</f>
        <v>17.899999999999999</v>
      </c>
      <c r="F74" s="52" t="s">
        <v>117</v>
      </c>
    </row>
    <row r="75" spans="1:6" x14ac:dyDescent="0.2">
      <c r="A75" s="51"/>
      <c r="C75" s="237" t="s">
        <v>118</v>
      </c>
      <c r="D75" s="19" t="s">
        <v>116</v>
      </c>
      <c r="E75" s="241">
        <f>'REF USDOT BCA 2024 Guidlines'!C25</f>
        <v>32.299999999999997</v>
      </c>
      <c r="F75" s="52" t="s">
        <v>117</v>
      </c>
    </row>
    <row r="76" spans="1:6" x14ac:dyDescent="0.2">
      <c r="A76" s="51"/>
      <c r="C76" s="237" t="s">
        <v>119</v>
      </c>
      <c r="D76" s="19" t="s">
        <v>116</v>
      </c>
      <c r="E76" s="241">
        <f>'REF USDOT BCA 2024 Guidlines'!C26</f>
        <v>19.600000000000001</v>
      </c>
      <c r="F76" s="52" t="s">
        <v>117</v>
      </c>
    </row>
    <row r="77" spans="1:6" x14ac:dyDescent="0.2">
      <c r="A77" s="51"/>
      <c r="C77" s="237" t="s">
        <v>120</v>
      </c>
      <c r="D77" s="19" t="s">
        <v>116</v>
      </c>
      <c r="E77" s="241">
        <f>'REF USDOT BCA 2024 Guidlines'!C28</f>
        <v>35.799999999999997</v>
      </c>
      <c r="F77" s="52" t="s">
        <v>117</v>
      </c>
    </row>
    <row r="78" spans="1:6" x14ac:dyDescent="0.2">
      <c r="A78" s="51"/>
      <c r="C78" s="237" t="s">
        <v>121</v>
      </c>
      <c r="D78" s="19" t="s">
        <v>116</v>
      </c>
      <c r="E78" s="241">
        <f>'REF USDOT BCA 2024 Guidlines'!C31</f>
        <v>33.5</v>
      </c>
      <c r="F78" s="52" t="s">
        <v>117</v>
      </c>
    </row>
    <row r="79" spans="1:6" x14ac:dyDescent="0.2">
      <c r="A79" s="51"/>
      <c r="C79" s="237" t="s">
        <v>122</v>
      </c>
      <c r="D79" s="19" t="s">
        <v>116</v>
      </c>
      <c r="E79" s="241">
        <f>'REF USDOT BCA 2024 Guidlines'!C32</f>
        <v>36.5</v>
      </c>
      <c r="F79" s="52" t="s">
        <v>117</v>
      </c>
    </row>
    <row r="80" spans="1:6" x14ac:dyDescent="0.2">
      <c r="A80" s="51"/>
      <c r="C80" s="237" t="s">
        <v>123</v>
      </c>
      <c r="D80" s="19" t="s">
        <v>116</v>
      </c>
      <c r="E80" s="241">
        <f>'REF USDOT BCA 2024 Guidlines'!C33</f>
        <v>63.3</v>
      </c>
      <c r="F80" s="52" t="s">
        <v>117</v>
      </c>
    </row>
    <row r="81" spans="1:6" x14ac:dyDescent="0.2">
      <c r="A81" s="51"/>
      <c r="C81" s="237" t="s">
        <v>124</v>
      </c>
      <c r="D81" s="19" t="s">
        <v>116</v>
      </c>
      <c r="E81" s="241">
        <f>'REF USDOT BCA 2024 Guidlines'!C34</f>
        <v>53.5</v>
      </c>
      <c r="F81" s="52" t="s">
        <v>117</v>
      </c>
    </row>
    <row r="82" spans="1:6" ht="15" x14ac:dyDescent="0.25">
      <c r="A82" s="51"/>
      <c r="C82" s="443" t="s">
        <v>125</v>
      </c>
      <c r="D82" s="444"/>
      <c r="E82" s="242"/>
      <c r="F82" s="52"/>
    </row>
    <row r="83" spans="1:6" ht="14.25" customHeight="1" x14ac:dyDescent="0.2">
      <c r="A83" s="51"/>
      <c r="C83" s="237" t="s">
        <v>126</v>
      </c>
      <c r="D83" s="19" t="s">
        <v>127</v>
      </c>
      <c r="E83" s="445">
        <f>'REF USDOT BCA 2024 Guidlines'!C44</f>
        <v>1.48</v>
      </c>
      <c r="F83" s="52" t="s">
        <v>128</v>
      </c>
    </row>
    <row r="84" spans="1:6" ht="14.25" customHeight="1" x14ac:dyDescent="0.2">
      <c r="A84" s="51"/>
      <c r="C84" s="237" t="s">
        <v>129</v>
      </c>
      <c r="D84" s="19" t="s">
        <v>127</v>
      </c>
      <c r="E84" s="445">
        <f>'REF USDOT BCA 2024 Guidlines'!C45</f>
        <v>1.58</v>
      </c>
      <c r="F84" s="52" t="s">
        <v>128</v>
      </c>
    </row>
    <row r="85" spans="1:6" ht="14.25" customHeight="1" x14ac:dyDescent="0.2">
      <c r="A85" s="51"/>
      <c r="C85" s="237" t="s">
        <v>130</v>
      </c>
      <c r="D85" s="19" t="s">
        <v>127</v>
      </c>
      <c r="E85" s="445">
        <f>'REF USDOT BCA 2024 Guidlines'!C46</f>
        <v>2.02</v>
      </c>
      <c r="F85" s="52" t="s">
        <v>128</v>
      </c>
    </row>
    <row r="86" spans="1:6" ht="14.25" customHeight="1" x14ac:dyDescent="0.2">
      <c r="A86" s="51"/>
      <c r="C86" s="237" t="s">
        <v>131</v>
      </c>
      <c r="D86" s="19" t="s">
        <v>127</v>
      </c>
      <c r="E86" s="445">
        <f>'REF USDOT BCA 2024 Guidlines'!C47</f>
        <v>1.67</v>
      </c>
      <c r="F86" s="52" t="s">
        <v>128</v>
      </c>
    </row>
    <row r="87" spans="1:6" ht="14.25" customHeight="1" x14ac:dyDescent="0.2">
      <c r="A87" s="51"/>
      <c r="C87" s="237" t="s">
        <v>132</v>
      </c>
      <c r="D87" s="19" t="s">
        <v>127</v>
      </c>
      <c r="E87" s="184">
        <v>1</v>
      </c>
      <c r="F87" s="52" t="s">
        <v>133</v>
      </c>
    </row>
    <row r="88" spans="1:6" ht="14.25" customHeight="1" x14ac:dyDescent="0.25">
      <c r="A88" s="51"/>
      <c r="C88" s="443" t="s">
        <v>134</v>
      </c>
      <c r="D88" s="19"/>
      <c r="F88" s="52"/>
    </row>
    <row r="89" spans="1:6" ht="14.25" customHeight="1" x14ac:dyDescent="0.2">
      <c r="A89" s="51"/>
      <c r="C89" s="1" t="s">
        <v>135</v>
      </c>
      <c r="D89" s="235" t="s">
        <v>136</v>
      </c>
      <c r="E89" s="92">
        <f>'REF Traffic'!$W$5+'REF Traffic'!$X$5+'REF Traffic'!$Y$5</f>
        <v>136.5</v>
      </c>
      <c r="F89" s="52" t="s">
        <v>137</v>
      </c>
    </row>
    <row r="90" spans="1:6" ht="14.25" customHeight="1" x14ac:dyDescent="0.2">
      <c r="A90" s="51"/>
      <c r="C90" s="1" t="s">
        <v>101</v>
      </c>
      <c r="D90" s="235" t="s">
        <v>102</v>
      </c>
      <c r="E90" s="20">
        <f>'REF Traffic'!$W$3</f>
        <v>2023</v>
      </c>
      <c r="F90" s="52" t="s">
        <v>137</v>
      </c>
    </row>
    <row r="91" spans="1:6" ht="14.25" customHeight="1" x14ac:dyDescent="0.2">
      <c r="A91" s="51"/>
      <c r="C91" s="1" t="s">
        <v>138</v>
      </c>
      <c r="D91" s="235" t="s">
        <v>136</v>
      </c>
      <c r="E91" s="92">
        <f>('REF Traffic'!$Z$5+'REF Traffic'!$AA$5+'REF Traffic'!$AB$5) * (1+$E$92)</f>
        <v>642</v>
      </c>
      <c r="F91" s="52" t="s">
        <v>137</v>
      </c>
    </row>
    <row r="92" spans="1:6" ht="14.25" customHeight="1" x14ac:dyDescent="0.2">
      <c r="A92" s="452"/>
      <c r="B92" s="453">
        <f>IF(E92=0,0,1)</f>
        <v>0</v>
      </c>
      <c r="C92" s="453" t="s">
        <v>139</v>
      </c>
      <c r="D92" s="454" t="s">
        <v>60</v>
      </c>
      <c r="E92" s="455">
        <f>E98</f>
        <v>0</v>
      </c>
      <c r="F92" s="456" t="s">
        <v>73</v>
      </c>
    </row>
    <row r="93" spans="1:6" ht="14.25" customHeight="1" x14ac:dyDescent="0.2">
      <c r="A93" s="51"/>
      <c r="C93" s="1" t="s">
        <v>140</v>
      </c>
      <c r="D93" s="235" t="s">
        <v>102</v>
      </c>
      <c r="E93" s="20">
        <f>'REF Traffic'!$Z$3</f>
        <v>2046</v>
      </c>
      <c r="F93" s="52" t="s">
        <v>137</v>
      </c>
    </row>
    <row r="94" spans="1:6" ht="14.25" customHeight="1" x14ac:dyDescent="0.25">
      <c r="A94" s="51"/>
      <c r="C94" s="443" t="s">
        <v>141</v>
      </c>
      <c r="D94" s="19"/>
      <c r="F94" s="52"/>
    </row>
    <row r="95" spans="1:6" ht="14.25" customHeight="1" x14ac:dyDescent="0.2">
      <c r="A95" s="51"/>
      <c r="C95" s="1" t="s">
        <v>135</v>
      </c>
      <c r="D95" s="235" t="s">
        <v>136</v>
      </c>
      <c r="E95" s="92">
        <f>('REF Traffic'!$W$6+'REF Traffic'!$X$6+'REF Traffic'!$Y$6)</f>
        <v>88.5</v>
      </c>
      <c r="F95" s="52" t="s">
        <v>137</v>
      </c>
    </row>
    <row r="96" spans="1:6" ht="14.25" customHeight="1" x14ac:dyDescent="0.2">
      <c r="A96" s="51"/>
      <c r="C96" s="1" t="s">
        <v>101</v>
      </c>
      <c r="D96" s="235" t="s">
        <v>102</v>
      </c>
      <c r="E96" s="20">
        <f>'REF Traffic'!$W$3</f>
        <v>2023</v>
      </c>
      <c r="F96" s="52" t="s">
        <v>137</v>
      </c>
    </row>
    <row r="97" spans="1:6" ht="14.25" customHeight="1" x14ac:dyDescent="0.2">
      <c r="A97" s="51"/>
      <c r="C97" s="1" t="s">
        <v>138</v>
      </c>
      <c r="D97" s="235" t="s">
        <v>136</v>
      </c>
      <c r="E97" s="92">
        <f>('REF Traffic'!$Z$6+'REF Traffic'!$AA$6+'REF Traffic'!$AB$6) * (1+E98)</f>
        <v>345</v>
      </c>
      <c r="F97" s="52" t="s">
        <v>137</v>
      </c>
    </row>
    <row r="98" spans="1:6" ht="14.25" customHeight="1" x14ac:dyDescent="0.2">
      <c r="A98" s="338"/>
      <c r="B98" s="228">
        <f>IF(E98=0,0,1)</f>
        <v>0</v>
      </c>
      <c r="C98" s="228" t="s">
        <v>139</v>
      </c>
      <c r="D98" s="294" t="s">
        <v>60</v>
      </c>
      <c r="E98" s="293">
        <v>0</v>
      </c>
      <c r="F98" s="295" t="s">
        <v>73</v>
      </c>
    </row>
    <row r="99" spans="1:6" ht="14.25" customHeight="1" x14ac:dyDescent="0.2">
      <c r="A99" s="51"/>
      <c r="C99" s="1" t="s">
        <v>140</v>
      </c>
      <c r="D99" s="235" t="s">
        <v>102</v>
      </c>
      <c r="E99" s="20">
        <f>'REF Traffic'!$Z$3</f>
        <v>2046</v>
      </c>
      <c r="F99" s="52" t="s">
        <v>137</v>
      </c>
    </row>
    <row r="100" spans="1:6" ht="14.25" customHeight="1" x14ac:dyDescent="0.25">
      <c r="A100" s="51"/>
      <c r="C100" s="443" t="s">
        <v>1006</v>
      </c>
      <c r="D100" s="235"/>
      <c r="E100" s="20"/>
      <c r="F100" s="52"/>
    </row>
    <row r="101" spans="1:6" ht="14.25" customHeight="1" x14ac:dyDescent="0.2">
      <c r="A101" s="446"/>
      <c r="B101" s="296">
        <f>IF(E101=0,0,1)</f>
        <v>0</v>
      </c>
      <c r="C101" s="296" t="s">
        <v>139</v>
      </c>
      <c r="D101" s="296" t="s">
        <v>244</v>
      </c>
      <c r="E101" s="296">
        <v>0</v>
      </c>
      <c r="F101" s="297" t="s">
        <v>1007</v>
      </c>
    </row>
    <row r="102" spans="1:6" ht="14.25" customHeight="1" x14ac:dyDescent="0.2">
      <c r="C102" s="237"/>
      <c r="D102" s="19"/>
      <c r="E102" s="243"/>
    </row>
    <row r="103" spans="1:6" ht="15" x14ac:dyDescent="0.25">
      <c r="A103" s="2" t="s">
        <v>142</v>
      </c>
      <c r="B103" s="2"/>
      <c r="D103" s="18"/>
    </row>
    <row r="104" spans="1:6" ht="15" x14ac:dyDescent="0.25">
      <c r="A104" s="47"/>
      <c r="B104" s="57"/>
      <c r="C104" s="256" t="s">
        <v>143</v>
      </c>
      <c r="D104" s="245"/>
      <c r="E104" s="257"/>
      <c r="F104" s="50"/>
    </row>
    <row r="105" spans="1:6" x14ac:dyDescent="0.2">
      <c r="A105" s="51"/>
      <c r="C105" s="1" t="s">
        <v>144</v>
      </c>
      <c r="D105" s="76" t="s">
        <v>145</v>
      </c>
      <c r="E105" s="92">
        <f>'REF Traffic'!$W$51+'REF Traffic'!$Y$51+'REF Traffic'!$AA$51</f>
        <v>24.074999999999999</v>
      </c>
      <c r="F105" s="52" t="s">
        <v>137</v>
      </c>
    </row>
    <row r="106" spans="1:6" x14ac:dyDescent="0.2">
      <c r="A106" s="51"/>
      <c r="C106" s="1" t="s">
        <v>144</v>
      </c>
      <c r="D106" s="76" t="s">
        <v>102</v>
      </c>
      <c r="E106" s="20">
        <f>'REF Traffic'!$W$48</f>
        <v>2023</v>
      </c>
      <c r="F106" s="52" t="s">
        <v>137</v>
      </c>
    </row>
    <row r="107" spans="1:6" x14ac:dyDescent="0.2">
      <c r="A107" s="51"/>
      <c r="C107" s="1" t="s">
        <v>146</v>
      </c>
      <c r="D107" s="76" t="s">
        <v>145</v>
      </c>
      <c r="E107" s="92">
        <f>'REF Traffic'!$AC$51+'REF Traffic'!$AE$51+'REF Traffic'!$AG$51</f>
        <v>58.859999999999992</v>
      </c>
      <c r="F107" s="52" t="s">
        <v>137</v>
      </c>
    </row>
    <row r="108" spans="1:6" x14ac:dyDescent="0.2">
      <c r="A108" s="51"/>
      <c r="C108" s="1" t="s">
        <v>146</v>
      </c>
      <c r="D108" s="76" t="s">
        <v>102</v>
      </c>
      <c r="E108" s="20">
        <f>'REF Traffic'!$AC$48</f>
        <v>2046</v>
      </c>
      <c r="F108" s="52" t="s">
        <v>137</v>
      </c>
    </row>
    <row r="109" spans="1:6" ht="15" x14ac:dyDescent="0.25">
      <c r="A109" s="51"/>
      <c r="C109" s="2" t="s">
        <v>147</v>
      </c>
      <c r="D109" s="19"/>
      <c r="E109" s="258"/>
      <c r="F109" s="52"/>
    </row>
    <row r="110" spans="1:6" x14ac:dyDescent="0.2">
      <c r="A110" s="51"/>
      <c r="C110" s="1" t="s">
        <v>148</v>
      </c>
      <c r="D110" s="76" t="s">
        <v>145</v>
      </c>
      <c r="E110" s="92">
        <f>'REF Traffic'!$W$52+'REF Traffic'!$Y$52+'REF Traffic'!$AA$52</f>
        <v>4.68</v>
      </c>
      <c r="F110" s="52" t="s">
        <v>137</v>
      </c>
    </row>
    <row r="111" spans="1:6" x14ac:dyDescent="0.2">
      <c r="A111" s="51"/>
      <c r="C111" s="1" t="s">
        <v>144</v>
      </c>
      <c r="D111" s="76" t="s">
        <v>102</v>
      </c>
      <c r="E111" s="20">
        <f>'REF Traffic'!$W$48</f>
        <v>2023</v>
      </c>
      <c r="F111" s="52" t="s">
        <v>137</v>
      </c>
    </row>
    <row r="112" spans="1:6" x14ac:dyDescent="0.2">
      <c r="A112" s="51"/>
      <c r="C112" s="1" t="s">
        <v>146</v>
      </c>
      <c r="D112" s="76" t="s">
        <v>145</v>
      </c>
      <c r="E112" s="92">
        <f>'REF Traffic'!$AC$52+'REF Traffic'!$AE$52+'REF Traffic'!$AG$52</f>
        <v>11.445</v>
      </c>
      <c r="F112" s="52" t="s">
        <v>137</v>
      </c>
    </row>
    <row r="113" spans="1:39" x14ac:dyDescent="0.2">
      <c r="A113" s="51"/>
      <c r="C113" s="1" t="s">
        <v>146</v>
      </c>
      <c r="D113" s="76" t="s">
        <v>102</v>
      </c>
      <c r="E113" s="20">
        <f>'REF Traffic'!$AC$48</f>
        <v>2046</v>
      </c>
      <c r="F113" s="52" t="s">
        <v>137</v>
      </c>
    </row>
    <row r="114" spans="1:39" ht="15" x14ac:dyDescent="0.25">
      <c r="A114" s="51"/>
      <c r="C114" s="2" t="s">
        <v>143</v>
      </c>
      <c r="D114" s="19"/>
      <c r="E114" s="4"/>
      <c r="F114" s="52"/>
    </row>
    <row r="115" spans="1:39" x14ac:dyDescent="0.2">
      <c r="A115" s="51"/>
      <c r="C115" s="1" t="s">
        <v>149</v>
      </c>
      <c r="D115" s="76" t="s">
        <v>145</v>
      </c>
      <c r="E115" s="92">
        <f>'REF Traffic'!$X$51+'REF Traffic'!$Z$51+'REF Traffic'!$AB$51</f>
        <v>20.594999999999999</v>
      </c>
      <c r="F115" s="52" t="s">
        <v>137</v>
      </c>
    </row>
    <row r="116" spans="1:39" x14ac:dyDescent="0.2">
      <c r="A116" s="51"/>
      <c r="C116" s="1" t="s">
        <v>150</v>
      </c>
      <c r="D116" s="76" t="s">
        <v>102</v>
      </c>
      <c r="E116" s="20">
        <f>'REF Traffic'!$W$48</f>
        <v>2023</v>
      </c>
      <c r="F116" s="52" t="s">
        <v>137</v>
      </c>
    </row>
    <row r="117" spans="1:39" x14ac:dyDescent="0.2">
      <c r="A117" s="51"/>
      <c r="C117" s="1" t="s">
        <v>151</v>
      </c>
      <c r="D117" s="76" t="s">
        <v>145</v>
      </c>
      <c r="E117" s="92">
        <f>'REF Traffic'!$AD$51+'REF Traffic'!$AF$51+'REF Traffic'!$AH$51</f>
        <v>41.895000000000003</v>
      </c>
      <c r="F117" s="52" t="s">
        <v>137</v>
      </c>
    </row>
    <row r="118" spans="1:39" x14ac:dyDescent="0.2">
      <c r="A118" s="51"/>
      <c r="C118" s="1" t="s">
        <v>151</v>
      </c>
      <c r="D118" s="76" t="s">
        <v>102</v>
      </c>
      <c r="E118" s="20">
        <f>'REF Traffic'!$AC$48</f>
        <v>2046</v>
      </c>
      <c r="F118" s="52" t="s">
        <v>137</v>
      </c>
    </row>
    <row r="119" spans="1:39" ht="15" x14ac:dyDescent="0.25">
      <c r="A119" s="51"/>
      <c r="C119" s="2" t="s">
        <v>147</v>
      </c>
      <c r="D119" s="19"/>
      <c r="E119" s="4"/>
      <c r="F119" s="52"/>
    </row>
    <row r="120" spans="1:39" x14ac:dyDescent="0.2">
      <c r="A120" s="51"/>
      <c r="C120" s="1" t="s">
        <v>149</v>
      </c>
      <c r="D120" s="76" t="s">
        <v>145</v>
      </c>
      <c r="E120" s="92">
        <f>'REF Traffic'!$X$52+'REF Traffic'!$Z$52+'REF Traffic'!$AB$52</f>
        <v>4.0049999999999999</v>
      </c>
      <c r="F120" s="52" t="s">
        <v>137</v>
      </c>
    </row>
    <row r="121" spans="1:39" x14ac:dyDescent="0.2">
      <c r="A121" s="51"/>
      <c r="C121" s="1" t="s">
        <v>150</v>
      </c>
      <c r="D121" s="76" t="s">
        <v>102</v>
      </c>
      <c r="E121" s="20">
        <f>'REF Traffic'!$W$48</f>
        <v>2023</v>
      </c>
      <c r="F121" s="52" t="s">
        <v>137</v>
      </c>
    </row>
    <row r="122" spans="1:39" x14ac:dyDescent="0.2">
      <c r="A122" s="51"/>
      <c r="C122" s="1" t="s">
        <v>151</v>
      </c>
      <c r="D122" s="76" t="s">
        <v>145</v>
      </c>
      <c r="E122" s="92">
        <f>'REF Traffic'!$AD$52+'REF Traffic'!$AF$52+'REF Traffic'!$AH$52</f>
        <v>8.1449999999999996</v>
      </c>
      <c r="F122" s="52" t="s">
        <v>137</v>
      </c>
    </row>
    <row r="123" spans="1:39" x14ac:dyDescent="0.2">
      <c r="A123" s="53"/>
      <c r="B123" s="58"/>
      <c r="C123" s="58" t="s">
        <v>151</v>
      </c>
      <c r="D123" s="84" t="s">
        <v>102</v>
      </c>
      <c r="E123" s="251">
        <f>'REF Traffic'!$AC$48</f>
        <v>2046</v>
      </c>
      <c r="F123" s="56" t="s">
        <v>137</v>
      </c>
    </row>
    <row r="124" spans="1:39" x14ac:dyDescent="0.2">
      <c r="D124" s="18"/>
    </row>
    <row r="125" spans="1:39" ht="15" x14ac:dyDescent="0.25">
      <c r="A125" s="2" t="s">
        <v>152</v>
      </c>
      <c r="B125" s="2"/>
      <c r="D125" s="18"/>
    </row>
    <row r="126" spans="1:39" ht="15" x14ac:dyDescent="0.2">
      <c r="A126" s="47"/>
      <c r="B126" s="57"/>
      <c r="C126" s="57"/>
      <c r="D126" s="190"/>
      <c r="E126" s="57"/>
      <c r="F126" s="57"/>
      <c r="G126" s="412" t="s">
        <v>44</v>
      </c>
      <c r="H126" s="413">
        <v>2022</v>
      </c>
      <c r="I126" s="351">
        <v>2023</v>
      </c>
      <c r="J126" s="351">
        <v>2024</v>
      </c>
      <c r="K126" s="351">
        <v>2025</v>
      </c>
      <c r="L126" s="351">
        <v>2026</v>
      </c>
      <c r="M126" s="351">
        <v>2027</v>
      </c>
      <c r="N126" s="351">
        <v>2028</v>
      </c>
      <c r="O126" s="351">
        <v>2029</v>
      </c>
      <c r="P126" s="351">
        <v>2030</v>
      </c>
      <c r="Q126" s="351">
        <v>2031</v>
      </c>
      <c r="R126" s="351">
        <v>2032</v>
      </c>
      <c r="S126" s="351">
        <v>2033</v>
      </c>
      <c r="T126" s="351">
        <v>2034</v>
      </c>
      <c r="U126" s="351">
        <v>2035</v>
      </c>
      <c r="V126" s="351">
        <v>2036</v>
      </c>
      <c r="W126" s="351">
        <v>2037</v>
      </c>
      <c r="X126" s="351">
        <v>2038</v>
      </c>
      <c r="Y126" s="351">
        <v>2039</v>
      </c>
      <c r="Z126" s="351">
        <v>2040</v>
      </c>
      <c r="AA126" s="351">
        <v>2041</v>
      </c>
      <c r="AB126" s="351">
        <v>2042</v>
      </c>
      <c r="AC126" s="351">
        <v>2043</v>
      </c>
      <c r="AD126" s="351">
        <v>2044</v>
      </c>
      <c r="AE126" s="351">
        <v>2045</v>
      </c>
      <c r="AF126" s="351">
        <v>2046</v>
      </c>
      <c r="AG126" s="351">
        <v>2047</v>
      </c>
      <c r="AH126" s="351">
        <v>2048</v>
      </c>
      <c r="AI126" s="351">
        <v>2049</v>
      </c>
      <c r="AJ126" s="351">
        <v>2050</v>
      </c>
      <c r="AK126" s="351">
        <v>2051</v>
      </c>
      <c r="AL126" s="351">
        <v>2052</v>
      </c>
      <c r="AM126" s="351">
        <v>2053</v>
      </c>
    </row>
    <row r="127" spans="1:39" ht="15" x14ac:dyDescent="0.2">
      <c r="A127" s="51"/>
      <c r="C127" s="1" t="s">
        <v>153</v>
      </c>
      <c r="D127" s="19" t="s">
        <v>154</v>
      </c>
      <c r="E127" s="1" t="s">
        <v>155</v>
      </c>
      <c r="F127" s="1" t="s">
        <v>979</v>
      </c>
      <c r="G127" s="414"/>
      <c r="H127" s="415"/>
      <c r="I127" s="352">
        <v>19800</v>
      </c>
      <c r="J127" s="352">
        <v>20100</v>
      </c>
      <c r="K127" s="352">
        <v>20300</v>
      </c>
      <c r="L127" s="352">
        <v>20600</v>
      </c>
      <c r="M127" s="352">
        <v>21000</v>
      </c>
      <c r="N127" s="352">
        <v>21300</v>
      </c>
      <c r="O127" s="352">
        <v>21700</v>
      </c>
      <c r="P127" s="352">
        <v>22000</v>
      </c>
      <c r="Q127" s="352">
        <v>22000</v>
      </c>
      <c r="R127" s="352">
        <v>22000</v>
      </c>
      <c r="S127" s="352">
        <v>22000</v>
      </c>
      <c r="T127" s="352">
        <v>22000</v>
      </c>
      <c r="U127" s="352">
        <v>22000</v>
      </c>
      <c r="V127" s="352">
        <v>22000</v>
      </c>
      <c r="W127" s="352">
        <v>22000</v>
      </c>
      <c r="X127" s="352">
        <v>22000</v>
      </c>
      <c r="Y127" s="352">
        <v>22000</v>
      </c>
      <c r="Z127" s="352">
        <v>22000</v>
      </c>
      <c r="AA127" s="352">
        <v>22000</v>
      </c>
      <c r="AB127" s="352">
        <v>22000</v>
      </c>
      <c r="AC127" s="352">
        <v>22000</v>
      </c>
      <c r="AD127" s="352">
        <v>22000</v>
      </c>
      <c r="AE127" s="352">
        <v>22000</v>
      </c>
      <c r="AF127" s="352">
        <v>22000</v>
      </c>
      <c r="AG127" s="352">
        <v>22000</v>
      </c>
      <c r="AH127" s="352">
        <v>22000</v>
      </c>
      <c r="AI127" s="352">
        <v>22000</v>
      </c>
      <c r="AJ127" s="352">
        <v>22000</v>
      </c>
      <c r="AK127" s="352">
        <v>22000</v>
      </c>
      <c r="AL127" s="352">
        <v>22000</v>
      </c>
      <c r="AM127" s="352">
        <v>22000</v>
      </c>
    </row>
    <row r="128" spans="1:39" ht="15" x14ac:dyDescent="0.2">
      <c r="A128" s="51"/>
      <c r="C128" s="1" t="s">
        <v>156</v>
      </c>
      <c r="D128" s="19" t="s">
        <v>154</v>
      </c>
      <c r="E128" s="1" t="s">
        <v>155</v>
      </c>
      <c r="F128" s="1" t="s">
        <v>979</v>
      </c>
      <c r="G128" s="414"/>
      <c r="H128" s="415"/>
      <c r="I128" s="352">
        <v>52900</v>
      </c>
      <c r="J128" s="352">
        <v>53800</v>
      </c>
      <c r="K128" s="352">
        <v>54800</v>
      </c>
      <c r="L128" s="352">
        <v>56100</v>
      </c>
      <c r="M128" s="352">
        <v>57400</v>
      </c>
      <c r="N128" s="352">
        <v>58700</v>
      </c>
      <c r="O128" s="352">
        <v>60100</v>
      </c>
      <c r="P128" s="352">
        <v>61500</v>
      </c>
      <c r="Q128" s="352">
        <v>61500</v>
      </c>
      <c r="R128" s="352">
        <v>61500</v>
      </c>
      <c r="S128" s="352">
        <v>61500</v>
      </c>
      <c r="T128" s="352">
        <v>61500</v>
      </c>
      <c r="U128" s="352">
        <v>61500</v>
      </c>
      <c r="V128" s="352">
        <v>61500</v>
      </c>
      <c r="W128" s="352">
        <v>61500</v>
      </c>
      <c r="X128" s="352">
        <v>61500</v>
      </c>
      <c r="Y128" s="352">
        <v>61500</v>
      </c>
      <c r="Z128" s="352">
        <v>61500</v>
      </c>
      <c r="AA128" s="352">
        <v>61500</v>
      </c>
      <c r="AB128" s="352">
        <v>61500</v>
      </c>
      <c r="AC128" s="352">
        <v>61500</v>
      </c>
      <c r="AD128" s="352">
        <v>61500</v>
      </c>
      <c r="AE128" s="352">
        <v>61500</v>
      </c>
      <c r="AF128" s="352">
        <v>61500</v>
      </c>
      <c r="AG128" s="352">
        <v>61500</v>
      </c>
      <c r="AH128" s="352">
        <v>61500</v>
      </c>
      <c r="AI128" s="352">
        <v>61500</v>
      </c>
      <c r="AJ128" s="352">
        <v>61500</v>
      </c>
      <c r="AK128" s="352">
        <v>61500</v>
      </c>
      <c r="AL128" s="352">
        <v>61500</v>
      </c>
      <c r="AM128" s="352">
        <v>61500</v>
      </c>
    </row>
    <row r="129" spans="1:39" ht="15" x14ac:dyDescent="0.2">
      <c r="A129" s="51"/>
      <c r="C129" s="1" t="s">
        <v>157</v>
      </c>
      <c r="D129" s="19" t="s">
        <v>154</v>
      </c>
      <c r="E129" s="1" t="s">
        <v>155</v>
      </c>
      <c r="F129" s="1" t="s">
        <v>979</v>
      </c>
      <c r="G129" s="414"/>
      <c r="H129" s="415"/>
      <c r="I129" s="352">
        <v>951000</v>
      </c>
      <c r="J129" s="352">
        <v>963200</v>
      </c>
      <c r="K129" s="352">
        <v>975500</v>
      </c>
      <c r="L129" s="352">
        <v>993500</v>
      </c>
      <c r="M129" s="352">
        <v>1011900</v>
      </c>
      <c r="N129" s="352">
        <v>1030600</v>
      </c>
      <c r="O129" s="352">
        <v>1049600</v>
      </c>
      <c r="P129" s="352">
        <v>1069000</v>
      </c>
      <c r="Q129" s="352">
        <v>1069000</v>
      </c>
      <c r="R129" s="352">
        <v>1069000</v>
      </c>
      <c r="S129" s="352">
        <v>1069000</v>
      </c>
      <c r="T129" s="352">
        <v>1069000</v>
      </c>
      <c r="U129" s="352">
        <v>1069000</v>
      </c>
      <c r="V129" s="352">
        <v>1069000</v>
      </c>
      <c r="W129" s="352">
        <v>1069000</v>
      </c>
      <c r="X129" s="352">
        <v>1069000</v>
      </c>
      <c r="Y129" s="352">
        <v>1069000</v>
      </c>
      <c r="Z129" s="352">
        <v>1069000</v>
      </c>
      <c r="AA129" s="352">
        <v>1069000</v>
      </c>
      <c r="AB129" s="352">
        <v>1069000</v>
      </c>
      <c r="AC129" s="352">
        <v>1069000</v>
      </c>
      <c r="AD129" s="352">
        <v>1069000</v>
      </c>
      <c r="AE129" s="352">
        <v>1069000</v>
      </c>
      <c r="AF129" s="352">
        <v>1069000</v>
      </c>
      <c r="AG129" s="352">
        <v>1069000</v>
      </c>
      <c r="AH129" s="352">
        <v>1069000</v>
      </c>
      <c r="AI129" s="352">
        <v>1069000</v>
      </c>
      <c r="AJ129" s="352">
        <v>1069000</v>
      </c>
      <c r="AK129" s="352">
        <v>1069000</v>
      </c>
      <c r="AL129" s="352">
        <v>1069000</v>
      </c>
      <c r="AM129" s="352">
        <v>1069000</v>
      </c>
    </row>
    <row r="130" spans="1:39" ht="15" x14ac:dyDescent="0.2">
      <c r="A130" s="53"/>
      <c r="B130" s="58"/>
      <c r="C130" s="58" t="s">
        <v>143</v>
      </c>
      <c r="D130" s="54" t="s">
        <v>154</v>
      </c>
      <c r="E130" s="58" t="s">
        <v>155</v>
      </c>
      <c r="F130" s="56" t="s">
        <v>979</v>
      </c>
      <c r="G130" s="414"/>
      <c r="H130" s="415"/>
      <c r="I130" s="352">
        <v>228.37600706009624</v>
      </c>
      <c r="J130" s="352">
        <v>232.85396798284322</v>
      </c>
      <c r="K130" s="352">
        <v>237.33192890559022</v>
      </c>
      <c r="L130" s="352">
        <v>240.69039959765044</v>
      </c>
      <c r="M130" s="352">
        <v>245.16836052039741</v>
      </c>
      <c r="N130" s="352">
        <v>249.64632144314442</v>
      </c>
      <c r="O130" s="352">
        <v>253.00479213520464</v>
      </c>
      <c r="P130" s="352">
        <v>257.48275305795164</v>
      </c>
      <c r="Q130" s="352">
        <v>261.96071398069864</v>
      </c>
      <c r="R130" s="352">
        <v>265.31918467275887</v>
      </c>
      <c r="S130" s="352">
        <v>269.79714559550587</v>
      </c>
      <c r="T130" s="352">
        <v>274.27510651825281</v>
      </c>
      <c r="U130" s="352">
        <v>277.63357721031309</v>
      </c>
      <c r="V130" s="352">
        <v>282.11153813306004</v>
      </c>
      <c r="W130" s="352">
        <v>286.58949905580704</v>
      </c>
      <c r="X130" s="352">
        <v>289.94796974786726</v>
      </c>
      <c r="Y130" s="352">
        <v>294.42593067061426</v>
      </c>
      <c r="Z130" s="352">
        <v>298.90389159336127</v>
      </c>
      <c r="AA130" s="352">
        <v>303.38185251610821</v>
      </c>
      <c r="AB130" s="352">
        <v>307.85981343885521</v>
      </c>
      <c r="AC130" s="352">
        <v>312.33777436160221</v>
      </c>
      <c r="AD130" s="352">
        <v>316.81573528434916</v>
      </c>
      <c r="AE130" s="352">
        <v>321.29369620709616</v>
      </c>
      <c r="AF130" s="352">
        <v>325.77165712984316</v>
      </c>
      <c r="AG130" s="352">
        <v>331.36910828327689</v>
      </c>
      <c r="AH130" s="352">
        <v>335.84706920602389</v>
      </c>
      <c r="AI130" s="352">
        <v>340.32503012877083</v>
      </c>
      <c r="AJ130" s="352">
        <v>344.80299105151784</v>
      </c>
      <c r="AK130" s="352">
        <v>349.28095197426484</v>
      </c>
      <c r="AL130" s="352">
        <v>352.63942266632506</v>
      </c>
      <c r="AM130" s="352">
        <v>357.11738358907206</v>
      </c>
    </row>
    <row r="131" spans="1:39" x14ac:dyDescent="0.2">
      <c r="C131" s="102"/>
      <c r="D131" s="19"/>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row>
    <row r="132" spans="1:39" ht="15" x14ac:dyDescent="0.25">
      <c r="A132" s="2" t="s">
        <v>158</v>
      </c>
      <c r="B132" s="2"/>
      <c r="C132" s="238"/>
      <c r="D132" s="19"/>
      <c r="E132" s="252"/>
    </row>
    <row r="133" spans="1:39" x14ac:dyDescent="0.2">
      <c r="A133" s="47"/>
      <c r="B133" s="57"/>
      <c r="C133" s="57" t="s">
        <v>159</v>
      </c>
      <c r="D133" s="245" t="s">
        <v>160</v>
      </c>
      <c r="E133" s="250">
        <f>'REF Traffic'!$W$41+'REF Traffic'!$X$41+'REF Traffic'!$Y$41</f>
        <v>345</v>
      </c>
      <c r="F133" s="50" t="s">
        <v>137</v>
      </c>
    </row>
    <row r="134" spans="1:39" x14ac:dyDescent="0.2">
      <c r="A134" s="51"/>
      <c r="C134" s="1" t="s">
        <v>159</v>
      </c>
      <c r="D134" s="76" t="s">
        <v>102</v>
      </c>
      <c r="E134" s="20">
        <f>'REF Traffic'!$W$39</f>
        <v>2023</v>
      </c>
      <c r="F134" s="52" t="s">
        <v>137</v>
      </c>
    </row>
    <row r="135" spans="1:39" x14ac:dyDescent="0.2">
      <c r="A135" s="51"/>
      <c r="C135" s="1" t="s">
        <v>161</v>
      </c>
      <c r="D135" s="76" t="s">
        <v>160</v>
      </c>
      <c r="E135" s="92">
        <f>'REF Traffic'!$Z$41+'REF Traffic'!$AA$41+'REF Traffic'!$AB$41</f>
        <v>841.5</v>
      </c>
      <c r="F135" s="52" t="s">
        <v>137</v>
      </c>
    </row>
    <row r="136" spans="1:39" x14ac:dyDescent="0.2">
      <c r="A136" s="51"/>
      <c r="C136" s="1" t="s">
        <v>161</v>
      </c>
      <c r="D136" s="76" t="s">
        <v>102</v>
      </c>
      <c r="E136" s="20">
        <f>'REF Traffic'!$Z$39</f>
        <v>2046</v>
      </c>
      <c r="F136" s="52" t="s">
        <v>137</v>
      </c>
    </row>
    <row r="137" spans="1:39" x14ac:dyDescent="0.2">
      <c r="A137" s="51"/>
      <c r="C137" s="1" t="s">
        <v>162</v>
      </c>
      <c r="D137" s="76" t="s">
        <v>160</v>
      </c>
      <c r="E137" s="92">
        <f>'REF Traffic'!$W$42+'REF Traffic'!$X$42+'REF Traffic'!$Y$42</f>
        <v>294</v>
      </c>
      <c r="F137" s="52" t="s">
        <v>137</v>
      </c>
    </row>
    <row r="138" spans="1:39" x14ac:dyDescent="0.2">
      <c r="A138" s="51"/>
      <c r="C138" s="1" t="s">
        <v>162</v>
      </c>
      <c r="D138" s="76" t="s">
        <v>102</v>
      </c>
      <c r="E138" s="20">
        <f>'REF Traffic'!$W$39</f>
        <v>2023</v>
      </c>
      <c r="F138" s="52" t="s">
        <v>137</v>
      </c>
    </row>
    <row r="139" spans="1:39" x14ac:dyDescent="0.2">
      <c r="A139" s="51"/>
      <c r="C139" s="1" t="s">
        <v>163</v>
      </c>
      <c r="D139" s="76" t="s">
        <v>160</v>
      </c>
      <c r="E139" s="92">
        <f>'REF Traffic'!$Z$42+'REF Traffic'!$AA$42+'REF Traffic'!$AB$42</f>
        <v>598.5</v>
      </c>
      <c r="F139" s="52" t="s">
        <v>137</v>
      </c>
    </row>
    <row r="140" spans="1:39" x14ac:dyDescent="0.2">
      <c r="A140" s="53"/>
      <c r="B140" s="58"/>
      <c r="C140" s="58" t="s">
        <v>163</v>
      </c>
      <c r="D140" s="84" t="s">
        <v>102</v>
      </c>
      <c r="E140" s="251">
        <f>'REF Traffic'!$Z$39</f>
        <v>2046</v>
      </c>
      <c r="F140" s="56" t="s">
        <v>137</v>
      </c>
    </row>
    <row r="141" spans="1:39" x14ac:dyDescent="0.2">
      <c r="D141" s="76"/>
      <c r="E141" s="20"/>
    </row>
    <row r="142" spans="1:39" ht="15" x14ac:dyDescent="0.25">
      <c r="A142" s="2" t="s">
        <v>164</v>
      </c>
      <c r="B142" s="2"/>
      <c r="D142" s="19"/>
      <c r="E142" s="5"/>
    </row>
    <row r="143" spans="1:39" x14ac:dyDescent="0.2">
      <c r="A143" s="47"/>
      <c r="B143" s="57"/>
      <c r="C143" s="57" t="s">
        <v>165</v>
      </c>
      <c r="D143" s="255" t="s">
        <v>44</v>
      </c>
      <c r="E143" s="57">
        <f>'REF Pedestrian'!$C$8</f>
        <v>2023</v>
      </c>
      <c r="F143" s="50" t="s">
        <v>166</v>
      </c>
    </row>
    <row r="144" spans="1:39" x14ac:dyDescent="0.2">
      <c r="A144" s="51"/>
      <c r="C144" s="1" t="s">
        <v>167</v>
      </c>
      <c r="D144" s="76" t="s">
        <v>168</v>
      </c>
      <c r="E144" s="75">
        <f>'REF Pedestrian'!$C$7</f>
        <v>68.5</v>
      </c>
      <c r="F144" s="52" t="s">
        <v>166</v>
      </c>
    </row>
    <row r="145" spans="1:8" x14ac:dyDescent="0.2">
      <c r="A145" s="51"/>
      <c r="C145" s="1" t="s">
        <v>169</v>
      </c>
      <c r="D145" s="19" t="s">
        <v>60</v>
      </c>
      <c r="E145" s="242">
        <f>'REF Pedestrian'!$D$21*(1+$E$146)</f>
        <v>5.3992539027215708E-3</v>
      </c>
      <c r="F145" s="52" t="s">
        <v>170</v>
      </c>
    </row>
    <row r="146" spans="1:8" x14ac:dyDescent="0.2">
      <c r="A146" s="338"/>
      <c r="B146" s="228">
        <f>IF(E146=0,0,1)</f>
        <v>0</v>
      </c>
      <c r="C146" s="228" t="s">
        <v>169</v>
      </c>
      <c r="D146" s="294" t="s">
        <v>60</v>
      </c>
      <c r="E146" s="293">
        <v>0</v>
      </c>
      <c r="F146" s="295" t="s">
        <v>73</v>
      </c>
    </row>
    <row r="147" spans="1:8" x14ac:dyDescent="0.2">
      <c r="A147" s="51"/>
      <c r="C147" s="238" t="s">
        <v>171</v>
      </c>
      <c r="D147" s="19" t="s">
        <v>172</v>
      </c>
      <c r="E147" s="387">
        <f>'REF USDOT BCA 2024 Guidlines'!C139</f>
        <v>0.11</v>
      </c>
      <c r="F147" s="52" t="s">
        <v>173</v>
      </c>
    </row>
    <row r="148" spans="1:8" x14ac:dyDescent="0.2">
      <c r="A148" s="51"/>
      <c r="C148" s="238" t="s">
        <v>174</v>
      </c>
      <c r="D148" s="19" t="s">
        <v>175</v>
      </c>
      <c r="E148" s="387">
        <f>'REF USDOT BCA 2024 Guidlines'!C145</f>
        <v>0.19</v>
      </c>
      <c r="F148" s="52" t="s">
        <v>173</v>
      </c>
    </row>
    <row r="149" spans="1:8" x14ac:dyDescent="0.2">
      <c r="A149" s="51"/>
      <c r="C149" s="238" t="s">
        <v>176</v>
      </c>
      <c r="D149" s="19" t="s">
        <v>175</v>
      </c>
      <c r="E149" s="387">
        <f>'REF USDOT BCA 2024 Guidlines'!C146</f>
        <v>0.51</v>
      </c>
      <c r="F149" s="52" t="s">
        <v>173</v>
      </c>
    </row>
    <row r="150" spans="1:8" x14ac:dyDescent="0.2">
      <c r="A150" s="51"/>
      <c r="C150" s="238" t="s">
        <v>1002</v>
      </c>
      <c r="D150" s="19" t="s">
        <v>60</v>
      </c>
      <c r="E150" s="437">
        <v>0.01</v>
      </c>
      <c r="F150" s="459" t="s">
        <v>1026</v>
      </c>
    </row>
    <row r="151" spans="1:8" x14ac:dyDescent="0.2">
      <c r="A151" s="51"/>
      <c r="C151" s="238" t="s">
        <v>1002</v>
      </c>
      <c r="D151" s="19" t="s">
        <v>60</v>
      </c>
      <c r="E151" s="242">
        <f>E150+E152</f>
        <v>0.01</v>
      </c>
      <c r="F151" s="459" t="s">
        <v>1026</v>
      </c>
    </row>
    <row r="152" spans="1:8" ht="14.25" customHeight="1" x14ac:dyDescent="0.2">
      <c r="A152" s="338"/>
      <c r="B152" s="228">
        <f>IF(E152=0,0,1)</f>
        <v>0</v>
      </c>
      <c r="C152" s="228" t="s">
        <v>1023</v>
      </c>
      <c r="D152" s="294" t="s">
        <v>60</v>
      </c>
      <c r="E152" s="293">
        <v>0</v>
      </c>
      <c r="F152" s="295" t="s">
        <v>73</v>
      </c>
      <c r="H152" s="4"/>
    </row>
    <row r="153" spans="1:8" x14ac:dyDescent="0.2">
      <c r="A153" s="51"/>
      <c r="C153" s="238" t="s">
        <v>1013</v>
      </c>
      <c r="D153" s="19" t="s">
        <v>1011</v>
      </c>
      <c r="E153" s="447">
        <v>200</v>
      </c>
      <c r="F153" s="459" t="s">
        <v>1027</v>
      </c>
    </row>
    <row r="154" spans="1:8" x14ac:dyDescent="0.2">
      <c r="A154" s="51"/>
      <c r="C154" s="238" t="s">
        <v>1014</v>
      </c>
      <c r="D154" s="19" t="s">
        <v>60</v>
      </c>
      <c r="E154" s="437">
        <v>0.5</v>
      </c>
      <c r="F154" s="52" t="s">
        <v>1015</v>
      </c>
    </row>
    <row r="155" spans="1:8" x14ac:dyDescent="0.2">
      <c r="A155" s="51"/>
      <c r="C155" s="238" t="s">
        <v>1016</v>
      </c>
      <c r="D155" s="19" t="s">
        <v>60</v>
      </c>
      <c r="E155" s="437">
        <v>0.75</v>
      </c>
      <c r="F155" s="52" t="s">
        <v>1015</v>
      </c>
    </row>
    <row r="156" spans="1:8" x14ac:dyDescent="0.2">
      <c r="A156" s="51"/>
      <c r="C156" s="238" t="s">
        <v>1017</v>
      </c>
      <c r="D156" s="19" t="s">
        <v>60</v>
      </c>
      <c r="E156" s="437">
        <v>1</v>
      </c>
      <c r="F156" s="52" t="s">
        <v>1015</v>
      </c>
    </row>
    <row r="157" spans="1:8" x14ac:dyDescent="0.2">
      <c r="A157" s="51"/>
      <c r="C157" s="238" t="s">
        <v>991</v>
      </c>
      <c r="D157" s="19" t="s">
        <v>994</v>
      </c>
      <c r="E157" s="434">
        <f>'REF USDOT BCA 2024 Guidlines'!D220</f>
        <v>7.63</v>
      </c>
      <c r="F157" s="52" t="s">
        <v>993</v>
      </c>
    </row>
    <row r="158" spans="1:8" x14ac:dyDescent="0.2">
      <c r="A158" s="53"/>
      <c r="B158" s="58"/>
      <c r="C158" s="187" t="s">
        <v>992</v>
      </c>
      <c r="D158" s="54" t="s">
        <v>994</v>
      </c>
      <c r="E158" s="435">
        <f>'REF USDOT BCA 2024 Guidlines'!D221</f>
        <v>6.8</v>
      </c>
      <c r="F158" s="56" t="s">
        <v>993</v>
      </c>
    </row>
    <row r="160" spans="1:8" x14ac:dyDescent="0.2">
      <c r="C160" s="238"/>
      <c r="D160" s="19"/>
      <c r="E160" s="252"/>
    </row>
    <row r="161" spans="1:6" ht="15" x14ac:dyDescent="0.25">
      <c r="A161" s="2" t="s">
        <v>177</v>
      </c>
      <c r="B161" s="2"/>
      <c r="D161" s="18"/>
    </row>
    <row r="162" spans="1:6" x14ac:dyDescent="0.2">
      <c r="A162" s="47"/>
      <c r="B162" s="57"/>
      <c r="C162" s="57" t="s">
        <v>178</v>
      </c>
      <c r="D162" s="48" t="s">
        <v>179</v>
      </c>
      <c r="E162" s="188">
        <v>10</v>
      </c>
      <c r="F162" s="50" t="s">
        <v>180</v>
      </c>
    </row>
    <row r="163" spans="1:6" x14ac:dyDescent="0.2">
      <c r="A163" s="51"/>
      <c r="C163" s="1" t="s">
        <v>181</v>
      </c>
      <c r="D163" s="19" t="s">
        <v>182</v>
      </c>
      <c r="E163" s="184">
        <v>4</v>
      </c>
      <c r="F163" s="52" t="s">
        <v>180</v>
      </c>
    </row>
    <row r="164" spans="1:6" x14ac:dyDescent="0.2">
      <c r="A164" s="51"/>
      <c r="C164" s="1" t="s">
        <v>183</v>
      </c>
      <c r="D164" s="19" t="s">
        <v>179</v>
      </c>
      <c r="E164" s="184">
        <v>276</v>
      </c>
      <c r="F164" s="52" t="s">
        <v>180</v>
      </c>
    </row>
    <row r="165" spans="1:6" x14ac:dyDescent="0.2">
      <c r="A165" s="51"/>
      <c r="C165" s="1" t="s">
        <v>184</v>
      </c>
      <c r="D165" s="19" t="s">
        <v>185</v>
      </c>
      <c r="E165" s="185">
        <f>E162/E164</f>
        <v>3.6231884057971016E-2</v>
      </c>
      <c r="F165" s="52" t="s">
        <v>2</v>
      </c>
    </row>
    <row r="166" spans="1:6" x14ac:dyDescent="0.2">
      <c r="A166" s="51"/>
      <c r="C166" s="1" t="s">
        <v>184</v>
      </c>
      <c r="D166" s="19" t="s">
        <v>186</v>
      </c>
      <c r="E166" s="185">
        <f>E165/E163</f>
        <v>9.057971014492754E-3</v>
      </c>
      <c r="F166" s="52" t="s">
        <v>2</v>
      </c>
    </row>
    <row r="167" spans="1:6" x14ac:dyDescent="0.2">
      <c r="A167" s="51"/>
      <c r="C167" s="1" t="s">
        <v>187</v>
      </c>
      <c r="D167" s="19" t="s">
        <v>72</v>
      </c>
      <c r="E167" s="186">
        <v>0</v>
      </c>
      <c r="F167" s="52" t="s">
        <v>188</v>
      </c>
    </row>
    <row r="168" spans="1:6" x14ac:dyDescent="0.2">
      <c r="A168" s="51"/>
      <c r="C168" s="1" t="s">
        <v>189</v>
      </c>
      <c r="D168" s="19" t="s">
        <v>72</v>
      </c>
      <c r="E168" s="6">
        <f>'REF Bridge Hits'!$F$36</f>
        <v>187060.86046250002</v>
      </c>
      <c r="F168" s="52" t="s">
        <v>180</v>
      </c>
    </row>
    <row r="169" spans="1:6" x14ac:dyDescent="0.2">
      <c r="A169" s="53"/>
      <c r="B169" s="58"/>
      <c r="C169" s="58" t="s">
        <v>190</v>
      </c>
      <c r="D169" s="54" t="s">
        <v>104</v>
      </c>
      <c r="E169" s="189">
        <f>E167+E168</f>
        <v>187060.86046250002</v>
      </c>
      <c r="F169" s="56" t="s">
        <v>2</v>
      </c>
    </row>
    <row r="170" spans="1:6" x14ac:dyDescent="0.2">
      <c r="B170" s="1">
        <f>SUM(B12:B169)</f>
        <v>0</v>
      </c>
    </row>
    <row r="172" spans="1:6" x14ac:dyDescent="0.2">
      <c r="C172" s="20"/>
      <c r="D172" s="19"/>
      <c r="E172" s="4"/>
    </row>
    <row r="173" spans="1:6" x14ac:dyDescent="0.2">
      <c r="C173" s="20"/>
      <c r="D173" s="19"/>
      <c r="E173" s="4"/>
    </row>
    <row r="174" spans="1:6" x14ac:dyDescent="0.2">
      <c r="D174" s="18"/>
    </row>
  </sheetData>
  <phoneticPr fontId="16" type="noConversion"/>
  <conditionalFormatting sqref="D7">
    <cfRule type="cellIs" dxfId="0" priority="1" operator="equal">
      <formula>"YES"</formula>
    </cfRule>
  </conditionalFormatting>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9F91-6AF0-4F80-BDE6-92CB384296FF}">
  <sheetPr>
    <tabColor theme="6"/>
  </sheetPr>
  <dimension ref="B2:D16"/>
  <sheetViews>
    <sheetView zoomScaleNormal="100" workbookViewId="0">
      <selection activeCell="D13" sqref="D13"/>
    </sheetView>
  </sheetViews>
  <sheetFormatPr defaultRowHeight="15" x14ac:dyDescent="0.25"/>
  <cols>
    <col min="2" max="2" width="41.5703125" bestFit="1" customWidth="1"/>
    <col min="4" max="4" width="10.5703125" bestFit="1" customWidth="1"/>
  </cols>
  <sheetData>
    <row r="2" spans="2:4" x14ac:dyDescent="0.25">
      <c r="B2" t="s">
        <v>447</v>
      </c>
    </row>
    <row r="4" spans="2:4" x14ac:dyDescent="0.25">
      <c r="B4" t="s">
        <v>225</v>
      </c>
      <c r="C4">
        <v>2012</v>
      </c>
    </row>
    <row r="5" spans="2:4" x14ac:dyDescent="0.25">
      <c r="B5" t="s">
        <v>448</v>
      </c>
      <c r="C5">
        <v>2021</v>
      </c>
    </row>
    <row r="6" spans="2:4" x14ac:dyDescent="0.25">
      <c r="B6" t="s">
        <v>449</v>
      </c>
      <c r="C6">
        <f>C5-C4</f>
        <v>9</v>
      </c>
    </row>
    <row r="8" spans="2:4" x14ac:dyDescent="0.25">
      <c r="C8" t="s">
        <v>450</v>
      </c>
      <c r="D8" t="s">
        <v>451</v>
      </c>
    </row>
    <row r="9" spans="2:4" x14ac:dyDescent="0.25">
      <c r="B9" t="s">
        <v>103</v>
      </c>
      <c r="C9">
        <v>16</v>
      </c>
      <c r="D9" s="91">
        <f>C9/$C$6</f>
        <v>1.7777777777777777</v>
      </c>
    </row>
    <row r="10" spans="2:4" x14ac:dyDescent="0.25">
      <c r="B10" t="s">
        <v>106</v>
      </c>
      <c r="C10">
        <v>18</v>
      </c>
      <c r="D10" s="91">
        <f>C10/$C$6</f>
        <v>2</v>
      </c>
    </row>
    <row r="11" spans="2:4" x14ac:dyDescent="0.25">
      <c r="B11" t="s">
        <v>231</v>
      </c>
      <c r="C11">
        <v>34</v>
      </c>
      <c r="D11" s="91">
        <f>C11/$C$6</f>
        <v>3.7777777777777777</v>
      </c>
    </row>
    <row r="12" spans="2:4" x14ac:dyDescent="0.25">
      <c r="D12" s="91"/>
    </row>
    <row r="13" spans="2:4" x14ac:dyDescent="0.25">
      <c r="B13" t="s">
        <v>452</v>
      </c>
      <c r="C13" t="s">
        <v>237</v>
      </c>
      <c r="D13" s="300">
        <v>0.52</v>
      </c>
    </row>
    <row r="16" spans="2:4" x14ac:dyDescent="0.25">
      <c r="B16" t="s">
        <v>980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79C7-13F2-4B99-A187-08D888C0989E}">
  <sheetPr>
    <tabColor theme="2" tint="-0.249977111117893"/>
    <pageSetUpPr fitToPage="1"/>
  </sheetPr>
  <dimension ref="A1:O36"/>
  <sheetViews>
    <sheetView zoomScale="130" zoomScaleNormal="130" workbookViewId="0">
      <pane ySplit="1" topLeftCell="A2" activePane="bottomLeft" state="frozen"/>
      <selection activeCell="K8" sqref="K8"/>
      <selection pane="bottomLeft" activeCell="F36" sqref="F36"/>
    </sheetView>
  </sheetViews>
  <sheetFormatPr defaultRowHeight="12.75" x14ac:dyDescent="0.2"/>
  <cols>
    <col min="1" max="1" width="8.5703125" style="113" customWidth="1"/>
    <col min="2" max="2" width="16.28515625" style="118" customWidth="1"/>
    <col min="3" max="3" width="27.28515625" style="113" customWidth="1"/>
    <col min="4" max="4" width="50.140625" style="113" customWidth="1"/>
    <col min="5" max="5" width="28" style="113" customWidth="1"/>
    <col min="6" max="6" width="18.85546875" style="119" customWidth="1"/>
    <col min="7" max="7" width="20" style="119" customWidth="1"/>
    <col min="8" max="8" width="15.42578125" style="120" customWidth="1"/>
    <col min="9" max="9" width="9.140625" style="121" customWidth="1"/>
    <col min="10" max="10" width="22.42578125" style="113" customWidth="1"/>
    <col min="11" max="11" width="17.5703125" style="113" customWidth="1"/>
    <col min="12" max="13" width="9.140625" style="113"/>
    <col min="14" max="14" width="11.28515625" style="113" bestFit="1" customWidth="1"/>
    <col min="15" max="15" width="12.7109375" style="113" bestFit="1" customWidth="1"/>
    <col min="16" max="256" width="9.140625" style="113"/>
    <col min="257" max="257" width="8.5703125" style="113" customWidth="1"/>
    <col min="258" max="258" width="15" style="113" customWidth="1"/>
    <col min="259" max="259" width="27.28515625" style="113" customWidth="1"/>
    <col min="260" max="260" width="50.140625" style="113" customWidth="1"/>
    <col min="261" max="261" width="28" style="113" customWidth="1"/>
    <col min="262" max="262" width="11.5703125" style="113" customWidth="1"/>
    <col min="263" max="263" width="11.42578125" style="113" customWidth="1"/>
    <col min="264" max="264" width="10.140625" style="113" bestFit="1" customWidth="1"/>
    <col min="265" max="265" width="9.140625" style="113"/>
    <col min="266" max="266" width="22.42578125" style="113" customWidth="1"/>
    <col min="267" max="267" width="10.85546875" style="113" customWidth="1"/>
    <col min="268" max="512" width="9.140625" style="113"/>
    <col min="513" max="513" width="8.5703125" style="113" customWidth="1"/>
    <col min="514" max="514" width="15" style="113" customWidth="1"/>
    <col min="515" max="515" width="27.28515625" style="113" customWidth="1"/>
    <col min="516" max="516" width="50.140625" style="113" customWidth="1"/>
    <col min="517" max="517" width="28" style="113" customWidth="1"/>
    <col min="518" max="518" width="11.5703125" style="113" customWidth="1"/>
    <col min="519" max="519" width="11.42578125" style="113" customWidth="1"/>
    <col min="520" max="520" width="10.140625" style="113" bestFit="1" customWidth="1"/>
    <col min="521" max="521" width="9.140625" style="113"/>
    <col min="522" max="522" width="22.42578125" style="113" customWidth="1"/>
    <col min="523" max="523" width="10.85546875" style="113" customWidth="1"/>
    <col min="524" max="768" width="9.140625" style="113"/>
    <col min="769" max="769" width="8.5703125" style="113" customWidth="1"/>
    <col min="770" max="770" width="15" style="113" customWidth="1"/>
    <col min="771" max="771" width="27.28515625" style="113" customWidth="1"/>
    <col min="772" max="772" width="50.140625" style="113" customWidth="1"/>
    <col min="773" max="773" width="28" style="113" customWidth="1"/>
    <col min="774" max="774" width="11.5703125" style="113" customWidth="1"/>
    <col min="775" max="775" width="11.42578125" style="113" customWidth="1"/>
    <col min="776" max="776" width="10.140625" style="113" bestFit="1" customWidth="1"/>
    <col min="777" max="777" width="9.140625" style="113"/>
    <col min="778" max="778" width="22.42578125" style="113" customWidth="1"/>
    <col min="779" max="779" width="10.85546875" style="113" customWidth="1"/>
    <col min="780" max="1024" width="9.140625" style="113"/>
    <col min="1025" max="1025" width="8.5703125" style="113" customWidth="1"/>
    <col min="1026" max="1026" width="15" style="113" customWidth="1"/>
    <col min="1027" max="1027" width="27.28515625" style="113" customWidth="1"/>
    <col min="1028" max="1028" width="50.140625" style="113" customWidth="1"/>
    <col min="1029" max="1029" width="28" style="113" customWidth="1"/>
    <col min="1030" max="1030" width="11.5703125" style="113" customWidth="1"/>
    <col min="1031" max="1031" width="11.42578125" style="113" customWidth="1"/>
    <col min="1032" max="1032" width="10.140625" style="113" bestFit="1" customWidth="1"/>
    <col min="1033" max="1033" width="9.140625" style="113"/>
    <col min="1034" max="1034" width="22.42578125" style="113" customWidth="1"/>
    <col min="1035" max="1035" width="10.85546875" style="113" customWidth="1"/>
    <col min="1036" max="1280" width="9.140625" style="113"/>
    <col min="1281" max="1281" width="8.5703125" style="113" customWidth="1"/>
    <col min="1282" max="1282" width="15" style="113" customWidth="1"/>
    <col min="1283" max="1283" width="27.28515625" style="113" customWidth="1"/>
    <col min="1284" max="1284" width="50.140625" style="113" customWidth="1"/>
    <col min="1285" max="1285" width="28" style="113" customWidth="1"/>
    <col min="1286" max="1286" width="11.5703125" style="113" customWidth="1"/>
    <col min="1287" max="1287" width="11.42578125" style="113" customWidth="1"/>
    <col min="1288" max="1288" width="10.140625" style="113" bestFit="1" customWidth="1"/>
    <col min="1289" max="1289" width="9.140625" style="113"/>
    <col min="1290" max="1290" width="22.42578125" style="113" customWidth="1"/>
    <col min="1291" max="1291" width="10.85546875" style="113" customWidth="1"/>
    <col min="1292" max="1536" width="9.140625" style="113"/>
    <col min="1537" max="1537" width="8.5703125" style="113" customWidth="1"/>
    <col min="1538" max="1538" width="15" style="113" customWidth="1"/>
    <col min="1539" max="1539" width="27.28515625" style="113" customWidth="1"/>
    <col min="1540" max="1540" width="50.140625" style="113" customWidth="1"/>
    <col min="1541" max="1541" width="28" style="113" customWidth="1"/>
    <col min="1542" max="1542" width="11.5703125" style="113" customWidth="1"/>
    <col min="1543" max="1543" width="11.42578125" style="113" customWidth="1"/>
    <col min="1544" max="1544" width="10.140625" style="113" bestFit="1" customWidth="1"/>
    <col min="1545" max="1545" width="9.140625" style="113"/>
    <col min="1546" max="1546" width="22.42578125" style="113" customWidth="1"/>
    <col min="1547" max="1547" width="10.85546875" style="113" customWidth="1"/>
    <col min="1548" max="1792" width="9.140625" style="113"/>
    <col min="1793" max="1793" width="8.5703125" style="113" customWidth="1"/>
    <col min="1794" max="1794" width="15" style="113" customWidth="1"/>
    <col min="1795" max="1795" width="27.28515625" style="113" customWidth="1"/>
    <col min="1796" max="1796" width="50.140625" style="113" customWidth="1"/>
    <col min="1797" max="1797" width="28" style="113" customWidth="1"/>
    <col min="1798" max="1798" width="11.5703125" style="113" customWidth="1"/>
    <col min="1799" max="1799" width="11.42578125" style="113" customWidth="1"/>
    <col min="1800" max="1800" width="10.140625" style="113" bestFit="1" customWidth="1"/>
    <col min="1801" max="1801" width="9.140625" style="113"/>
    <col min="1802" max="1802" width="22.42578125" style="113" customWidth="1"/>
    <col min="1803" max="1803" width="10.85546875" style="113" customWidth="1"/>
    <col min="1804" max="2048" width="9.140625" style="113"/>
    <col min="2049" max="2049" width="8.5703125" style="113" customWidth="1"/>
    <col min="2050" max="2050" width="15" style="113" customWidth="1"/>
    <col min="2051" max="2051" width="27.28515625" style="113" customWidth="1"/>
    <col min="2052" max="2052" width="50.140625" style="113" customWidth="1"/>
    <col min="2053" max="2053" width="28" style="113" customWidth="1"/>
    <col min="2054" max="2054" width="11.5703125" style="113" customWidth="1"/>
    <col min="2055" max="2055" width="11.42578125" style="113" customWidth="1"/>
    <col min="2056" max="2056" width="10.140625" style="113" bestFit="1" customWidth="1"/>
    <col min="2057" max="2057" width="9.140625" style="113"/>
    <col min="2058" max="2058" width="22.42578125" style="113" customWidth="1"/>
    <col min="2059" max="2059" width="10.85546875" style="113" customWidth="1"/>
    <col min="2060" max="2304" width="9.140625" style="113"/>
    <col min="2305" max="2305" width="8.5703125" style="113" customWidth="1"/>
    <col min="2306" max="2306" width="15" style="113" customWidth="1"/>
    <col min="2307" max="2307" width="27.28515625" style="113" customWidth="1"/>
    <col min="2308" max="2308" width="50.140625" style="113" customWidth="1"/>
    <col min="2309" max="2309" width="28" style="113" customWidth="1"/>
    <col min="2310" max="2310" width="11.5703125" style="113" customWidth="1"/>
    <col min="2311" max="2311" width="11.42578125" style="113" customWidth="1"/>
    <col min="2312" max="2312" width="10.140625" style="113" bestFit="1" customWidth="1"/>
    <col min="2313" max="2313" width="9.140625" style="113"/>
    <col min="2314" max="2314" width="22.42578125" style="113" customWidth="1"/>
    <col min="2315" max="2315" width="10.85546875" style="113" customWidth="1"/>
    <col min="2316" max="2560" width="9.140625" style="113"/>
    <col min="2561" max="2561" width="8.5703125" style="113" customWidth="1"/>
    <col min="2562" max="2562" width="15" style="113" customWidth="1"/>
    <col min="2563" max="2563" width="27.28515625" style="113" customWidth="1"/>
    <col min="2564" max="2564" width="50.140625" style="113" customWidth="1"/>
    <col min="2565" max="2565" width="28" style="113" customWidth="1"/>
    <col min="2566" max="2566" width="11.5703125" style="113" customWidth="1"/>
    <col min="2567" max="2567" width="11.42578125" style="113" customWidth="1"/>
    <col min="2568" max="2568" width="10.140625" style="113" bestFit="1" customWidth="1"/>
    <col min="2569" max="2569" width="9.140625" style="113"/>
    <col min="2570" max="2570" width="22.42578125" style="113" customWidth="1"/>
    <col min="2571" max="2571" width="10.85546875" style="113" customWidth="1"/>
    <col min="2572" max="2816" width="9.140625" style="113"/>
    <col min="2817" max="2817" width="8.5703125" style="113" customWidth="1"/>
    <col min="2818" max="2818" width="15" style="113" customWidth="1"/>
    <col min="2819" max="2819" width="27.28515625" style="113" customWidth="1"/>
    <col min="2820" max="2820" width="50.140625" style="113" customWidth="1"/>
    <col min="2821" max="2821" width="28" style="113" customWidth="1"/>
    <col min="2822" max="2822" width="11.5703125" style="113" customWidth="1"/>
    <col min="2823" max="2823" width="11.42578125" style="113" customWidth="1"/>
    <col min="2824" max="2824" width="10.140625" style="113" bestFit="1" customWidth="1"/>
    <col min="2825" max="2825" width="9.140625" style="113"/>
    <col min="2826" max="2826" width="22.42578125" style="113" customWidth="1"/>
    <col min="2827" max="2827" width="10.85546875" style="113" customWidth="1"/>
    <col min="2828" max="3072" width="9.140625" style="113"/>
    <col min="3073" max="3073" width="8.5703125" style="113" customWidth="1"/>
    <col min="3074" max="3074" width="15" style="113" customWidth="1"/>
    <col min="3075" max="3075" width="27.28515625" style="113" customWidth="1"/>
    <col min="3076" max="3076" width="50.140625" style="113" customWidth="1"/>
    <col min="3077" max="3077" width="28" style="113" customWidth="1"/>
    <col min="3078" max="3078" width="11.5703125" style="113" customWidth="1"/>
    <col min="3079" max="3079" width="11.42578125" style="113" customWidth="1"/>
    <col min="3080" max="3080" width="10.140625" style="113" bestFit="1" customWidth="1"/>
    <col min="3081" max="3081" width="9.140625" style="113"/>
    <col min="3082" max="3082" width="22.42578125" style="113" customWidth="1"/>
    <col min="3083" max="3083" width="10.85546875" style="113" customWidth="1"/>
    <col min="3084" max="3328" width="9.140625" style="113"/>
    <col min="3329" max="3329" width="8.5703125" style="113" customWidth="1"/>
    <col min="3330" max="3330" width="15" style="113" customWidth="1"/>
    <col min="3331" max="3331" width="27.28515625" style="113" customWidth="1"/>
    <col min="3332" max="3332" width="50.140625" style="113" customWidth="1"/>
    <col min="3333" max="3333" width="28" style="113" customWidth="1"/>
    <col min="3334" max="3334" width="11.5703125" style="113" customWidth="1"/>
    <col min="3335" max="3335" width="11.42578125" style="113" customWidth="1"/>
    <col min="3336" max="3336" width="10.140625" style="113" bestFit="1" customWidth="1"/>
    <col min="3337" max="3337" width="9.140625" style="113"/>
    <col min="3338" max="3338" width="22.42578125" style="113" customWidth="1"/>
    <col min="3339" max="3339" width="10.85546875" style="113" customWidth="1"/>
    <col min="3340" max="3584" width="9.140625" style="113"/>
    <col min="3585" max="3585" width="8.5703125" style="113" customWidth="1"/>
    <col min="3586" max="3586" width="15" style="113" customWidth="1"/>
    <col min="3587" max="3587" width="27.28515625" style="113" customWidth="1"/>
    <col min="3588" max="3588" width="50.140625" style="113" customWidth="1"/>
    <col min="3589" max="3589" width="28" style="113" customWidth="1"/>
    <col min="3590" max="3590" width="11.5703125" style="113" customWidth="1"/>
    <col min="3591" max="3591" width="11.42578125" style="113" customWidth="1"/>
    <col min="3592" max="3592" width="10.140625" style="113" bestFit="1" customWidth="1"/>
    <col min="3593" max="3593" width="9.140625" style="113"/>
    <col min="3594" max="3594" width="22.42578125" style="113" customWidth="1"/>
    <col min="3595" max="3595" width="10.85546875" style="113" customWidth="1"/>
    <col min="3596" max="3840" width="9.140625" style="113"/>
    <col min="3841" max="3841" width="8.5703125" style="113" customWidth="1"/>
    <col min="3842" max="3842" width="15" style="113" customWidth="1"/>
    <col min="3843" max="3843" width="27.28515625" style="113" customWidth="1"/>
    <col min="3844" max="3844" width="50.140625" style="113" customWidth="1"/>
    <col min="3845" max="3845" width="28" style="113" customWidth="1"/>
    <col min="3846" max="3846" width="11.5703125" style="113" customWidth="1"/>
    <col min="3847" max="3847" width="11.42578125" style="113" customWidth="1"/>
    <col min="3848" max="3848" width="10.140625" style="113" bestFit="1" customWidth="1"/>
    <col min="3849" max="3849" width="9.140625" style="113"/>
    <col min="3850" max="3850" width="22.42578125" style="113" customWidth="1"/>
    <col min="3851" max="3851" width="10.85546875" style="113" customWidth="1"/>
    <col min="3852" max="4096" width="9.140625" style="113"/>
    <col min="4097" max="4097" width="8.5703125" style="113" customWidth="1"/>
    <col min="4098" max="4098" width="15" style="113" customWidth="1"/>
    <col min="4099" max="4099" width="27.28515625" style="113" customWidth="1"/>
    <col min="4100" max="4100" width="50.140625" style="113" customWidth="1"/>
    <col min="4101" max="4101" width="28" style="113" customWidth="1"/>
    <col min="4102" max="4102" width="11.5703125" style="113" customWidth="1"/>
    <col min="4103" max="4103" width="11.42578125" style="113" customWidth="1"/>
    <col min="4104" max="4104" width="10.140625" style="113" bestFit="1" customWidth="1"/>
    <col min="4105" max="4105" width="9.140625" style="113"/>
    <col min="4106" max="4106" width="22.42578125" style="113" customWidth="1"/>
    <col min="4107" max="4107" width="10.85546875" style="113" customWidth="1"/>
    <col min="4108" max="4352" width="9.140625" style="113"/>
    <col min="4353" max="4353" width="8.5703125" style="113" customWidth="1"/>
    <col min="4354" max="4354" width="15" style="113" customWidth="1"/>
    <col min="4355" max="4355" width="27.28515625" style="113" customWidth="1"/>
    <col min="4356" max="4356" width="50.140625" style="113" customWidth="1"/>
    <col min="4357" max="4357" width="28" style="113" customWidth="1"/>
    <col min="4358" max="4358" width="11.5703125" style="113" customWidth="1"/>
    <col min="4359" max="4359" width="11.42578125" style="113" customWidth="1"/>
    <col min="4360" max="4360" width="10.140625" style="113" bestFit="1" customWidth="1"/>
    <col min="4361" max="4361" width="9.140625" style="113"/>
    <col min="4362" max="4362" width="22.42578125" style="113" customWidth="1"/>
    <col min="4363" max="4363" width="10.85546875" style="113" customWidth="1"/>
    <col min="4364" max="4608" width="9.140625" style="113"/>
    <col min="4609" max="4609" width="8.5703125" style="113" customWidth="1"/>
    <col min="4610" max="4610" width="15" style="113" customWidth="1"/>
    <col min="4611" max="4611" width="27.28515625" style="113" customWidth="1"/>
    <col min="4612" max="4612" width="50.140625" style="113" customWidth="1"/>
    <col min="4613" max="4613" width="28" style="113" customWidth="1"/>
    <col min="4614" max="4614" width="11.5703125" style="113" customWidth="1"/>
    <col min="4615" max="4615" width="11.42578125" style="113" customWidth="1"/>
    <col min="4616" max="4616" width="10.140625" style="113" bestFit="1" customWidth="1"/>
    <col min="4617" max="4617" width="9.140625" style="113"/>
    <col min="4618" max="4618" width="22.42578125" style="113" customWidth="1"/>
    <col min="4619" max="4619" width="10.85546875" style="113" customWidth="1"/>
    <col min="4620" max="4864" width="9.140625" style="113"/>
    <col min="4865" max="4865" width="8.5703125" style="113" customWidth="1"/>
    <col min="4866" max="4866" width="15" style="113" customWidth="1"/>
    <col min="4867" max="4867" width="27.28515625" style="113" customWidth="1"/>
    <col min="4868" max="4868" width="50.140625" style="113" customWidth="1"/>
    <col min="4869" max="4869" width="28" style="113" customWidth="1"/>
    <col min="4870" max="4870" width="11.5703125" style="113" customWidth="1"/>
    <col min="4871" max="4871" width="11.42578125" style="113" customWidth="1"/>
    <col min="4872" max="4872" width="10.140625" style="113" bestFit="1" customWidth="1"/>
    <col min="4873" max="4873" width="9.140625" style="113"/>
    <col min="4874" max="4874" width="22.42578125" style="113" customWidth="1"/>
    <col min="4875" max="4875" width="10.85546875" style="113" customWidth="1"/>
    <col min="4876" max="5120" width="9.140625" style="113"/>
    <col min="5121" max="5121" width="8.5703125" style="113" customWidth="1"/>
    <col min="5122" max="5122" width="15" style="113" customWidth="1"/>
    <col min="5123" max="5123" width="27.28515625" style="113" customWidth="1"/>
    <col min="5124" max="5124" width="50.140625" style="113" customWidth="1"/>
    <col min="5125" max="5125" width="28" style="113" customWidth="1"/>
    <col min="5126" max="5126" width="11.5703125" style="113" customWidth="1"/>
    <col min="5127" max="5127" width="11.42578125" style="113" customWidth="1"/>
    <col min="5128" max="5128" width="10.140625" style="113" bestFit="1" customWidth="1"/>
    <col min="5129" max="5129" width="9.140625" style="113"/>
    <col min="5130" max="5130" width="22.42578125" style="113" customWidth="1"/>
    <col min="5131" max="5131" width="10.85546875" style="113" customWidth="1"/>
    <col min="5132" max="5376" width="9.140625" style="113"/>
    <col min="5377" max="5377" width="8.5703125" style="113" customWidth="1"/>
    <col min="5378" max="5378" width="15" style="113" customWidth="1"/>
    <col min="5379" max="5379" width="27.28515625" style="113" customWidth="1"/>
    <col min="5380" max="5380" width="50.140625" style="113" customWidth="1"/>
    <col min="5381" max="5381" width="28" style="113" customWidth="1"/>
    <col min="5382" max="5382" width="11.5703125" style="113" customWidth="1"/>
    <col min="5383" max="5383" width="11.42578125" style="113" customWidth="1"/>
    <col min="5384" max="5384" width="10.140625" style="113" bestFit="1" customWidth="1"/>
    <col min="5385" max="5385" width="9.140625" style="113"/>
    <col min="5386" max="5386" width="22.42578125" style="113" customWidth="1"/>
    <col min="5387" max="5387" width="10.85546875" style="113" customWidth="1"/>
    <col min="5388" max="5632" width="9.140625" style="113"/>
    <col min="5633" max="5633" width="8.5703125" style="113" customWidth="1"/>
    <col min="5634" max="5634" width="15" style="113" customWidth="1"/>
    <col min="5635" max="5635" width="27.28515625" style="113" customWidth="1"/>
    <col min="5636" max="5636" width="50.140625" style="113" customWidth="1"/>
    <col min="5637" max="5637" width="28" style="113" customWidth="1"/>
    <col min="5638" max="5638" width="11.5703125" style="113" customWidth="1"/>
    <col min="5639" max="5639" width="11.42578125" style="113" customWidth="1"/>
    <col min="5640" max="5640" width="10.140625" style="113" bestFit="1" customWidth="1"/>
    <col min="5641" max="5641" width="9.140625" style="113"/>
    <col min="5642" max="5642" width="22.42578125" style="113" customWidth="1"/>
    <col min="5643" max="5643" width="10.85546875" style="113" customWidth="1"/>
    <col min="5644" max="5888" width="9.140625" style="113"/>
    <col min="5889" max="5889" width="8.5703125" style="113" customWidth="1"/>
    <col min="5890" max="5890" width="15" style="113" customWidth="1"/>
    <col min="5891" max="5891" width="27.28515625" style="113" customWidth="1"/>
    <col min="5892" max="5892" width="50.140625" style="113" customWidth="1"/>
    <col min="5893" max="5893" width="28" style="113" customWidth="1"/>
    <col min="5894" max="5894" width="11.5703125" style="113" customWidth="1"/>
    <col min="5895" max="5895" width="11.42578125" style="113" customWidth="1"/>
    <col min="5896" max="5896" width="10.140625" style="113" bestFit="1" customWidth="1"/>
    <col min="5897" max="5897" width="9.140625" style="113"/>
    <col min="5898" max="5898" width="22.42578125" style="113" customWidth="1"/>
    <col min="5899" max="5899" width="10.85546875" style="113" customWidth="1"/>
    <col min="5900" max="6144" width="9.140625" style="113"/>
    <col min="6145" max="6145" width="8.5703125" style="113" customWidth="1"/>
    <col min="6146" max="6146" width="15" style="113" customWidth="1"/>
    <col min="6147" max="6147" width="27.28515625" style="113" customWidth="1"/>
    <col min="6148" max="6148" width="50.140625" style="113" customWidth="1"/>
    <col min="6149" max="6149" width="28" style="113" customWidth="1"/>
    <col min="6150" max="6150" width="11.5703125" style="113" customWidth="1"/>
    <col min="6151" max="6151" width="11.42578125" style="113" customWidth="1"/>
    <col min="6152" max="6152" width="10.140625" style="113" bestFit="1" customWidth="1"/>
    <col min="6153" max="6153" width="9.140625" style="113"/>
    <col min="6154" max="6154" width="22.42578125" style="113" customWidth="1"/>
    <col min="6155" max="6155" width="10.85546875" style="113" customWidth="1"/>
    <col min="6156" max="6400" width="9.140625" style="113"/>
    <col min="6401" max="6401" width="8.5703125" style="113" customWidth="1"/>
    <col min="6402" max="6402" width="15" style="113" customWidth="1"/>
    <col min="6403" max="6403" width="27.28515625" style="113" customWidth="1"/>
    <col min="6404" max="6404" width="50.140625" style="113" customWidth="1"/>
    <col min="6405" max="6405" width="28" style="113" customWidth="1"/>
    <col min="6406" max="6406" width="11.5703125" style="113" customWidth="1"/>
    <col min="6407" max="6407" width="11.42578125" style="113" customWidth="1"/>
    <col min="6408" max="6408" width="10.140625" style="113" bestFit="1" customWidth="1"/>
    <col min="6409" max="6409" width="9.140625" style="113"/>
    <col min="6410" max="6410" width="22.42578125" style="113" customWidth="1"/>
    <col min="6411" max="6411" width="10.85546875" style="113" customWidth="1"/>
    <col min="6412" max="6656" width="9.140625" style="113"/>
    <col min="6657" max="6657" width="8.5703125" style="113" customWidth="1"/>
    <col min="6658" max="6658" width="15" style="113" customWidth="1"/>
    <col min="6659" max="6659" width="27.28515625" style="113" customWidth="1"/>
    <col min="6660" max="6660" width="50.140625" style="113" customWidth="1"/>
    <col min="6661" max="6661" width="28" style="113" customWidth="1"/>
    <col min="6662" max="6662" width="11.5703125" style="113" customWidth="1"/>
    <col min="6663" max="6663" width="11.42578125" style="113" customWidth="1"/>
    <col min="6664" max="6664" width="10.140625" style="113" bestFit="1" customWidth="1"/>
    <col min="6665" max="6665" width="9.140625" style="113"/>
    <col min="6666" max="6666" width="22.42578125" style="113" customWidth="1"/>
    <col min="6667" max="6667" width="10.85546875" style="113" customWidth="1"/>
    <col min="6668" max="6912" width="9.140625" style="113"/>
    <col min="6913" max="6913" width="8.5703125" style="113" customWidth="1"/>
    <col min="6914" max="6914" width="15" style="113" customWidth="1"/>
    <col min="6915" max="6915" width="27.28515625" style="113" customWidth="1"/>
    <col min="6916" max="6916" width="50.140625" style="113" customWidth="1"/>
    <col min="6917" max="6917" width="28" style="113" customWidth="1"/>
    <col min="6918" max="6918" width="11.5703125" style="113" customWidth="1"/>
    <col min="6919" max="6919" width="11.42578125" style="113" customWidth="1"/>
    <col min="6920" max="6920" width="10.140625" style="113" bestFit="1" customWidth="1"/>
    <col min="6921" max="6921" width="9.140625" style="113"/>
    <col min="6922" max="6922" width="22.42578125" style="113" customWidth="1"/>
    <col min="6923" max="6923" width="10.85546875" style="113" customWidth="1"/>
    <col min="6924" max="7168" width="9.140625" style="113"/>
    <col min="7169" max="7169" width="8.5703125" style="113" customWidth="1"/>
    <col min="7170" max="7170" width="15" style="113" customWidth="1"/>
    <col min="7171" max="7171" width="27.28515625" style="113" customWidth="1"/>
    <col min="7172" max="7172" width="50.140625" style="113" customWidth="1"/>
    <col min="7173" max="7173" width="28" style="113" customWidth="1"/>
    <col min="7174" max="7174" width="11.5703125" style="113" customWidth="1"/>
    <col min="7175" max="7175" width="11.42578125" style="113" customWidth="1"/>
    <col min="7176" max="7176" width="10.140625" style="113" bestFit="1" customWidth="1"/>
    <col min="7177" max="7177" width="9.140625" style="113"/>
    <col min="7178" max="7178" width="22.42578125" style="113" customWidth="1"/>
    <col min="7179" max="7179" width="10.85546875" style="113" customWidth="1"/>
    <col min="7180" max="7424" width="9.140625" style="113"/>
    <col min="7425" max="7425" width="8.5703125" style="113" customWidth="1"/>
    <col min="7426" max="7426" width="15" style="113" customWidth="1"/>
    <col min="7427" max="7427" width="27.28515625" style="113" customWidth="1"/>
    <col min="7428" max="7428" width="50.140625" style="113" customWidth="1"/>
    <col min="7429" max="7429" width="28" style="113" customWidth="1"/>
    <col min="7430" max="7430" width="11.5703125" style="113" customWidth="1"/>
    <col min="7431" max="7431" width="11.42578125" style="113" customWidth="1"/>
    <col min="7432" max="7432" width="10.140625" style="113" bestFit="1" customWidth="1"/>
    <col min="7433" max="7433" width="9.140625" style="113"/>
    <col min="7434" max="7434" width="22.42578125" style="113" customWidth="1"/>
    <col min="7435" max="7435" width="10.85546875" style="113" customWidth="1"/>
    <col min="7436" max="7680" width="9.140625" style="113"/>
    <col min="7681" max="7681" width="8.5703125" style="113" customWidth="1"/>
    <col min="7682" max="7682" width="15" style="113" customWidth="1"/>
    <col min="7683" max="7683" width="27.28515625" style="113" customWidth="1"/>
    <col min="7684" max="7684" width="50.140625" style="113" customWidth="1"/>
    <col min="7685" max="7685" width="28" style="113" customWidth="1"/>
    <col min="7686" max="7686" width="11.5703125" style="113" customWidth="1"/>
    <col min="7687" max="7687" width="11.42578125" style="113" customWidth="1"/>
    <col min="7688" max="7688" width="10.140625" style="113" bestFit="1" customWidth="1"/>
    <col min="7689" max="7689" width="9.140625" style="113"/>
    <col min="7690" max="7690" width="22.42578125" style="113" customWidth="1"/>
    <col min="7691" max="7691" width="10.85546875" style="113" customWidth="1"/>
    <col min="7692" max="7936" width="9.140625" style="113"/>
    <col min="7937" max="7937" width="8.5703125" style="113" customWidth="1"/>
    <col min="7938" max="7938" width="15" style="113" customWidth="1"/>
    <col min="7939" max="7939" width="27.28515625" style="113" customWidth="1"/>
    <col min="7940" max="7940" width="50.140625" style="113" customWidth="1"/>
    <col min="7941" max="7941" width="28" style="113" customWidth="1"/>
    <col min="7942" max="7942" width="11.5703125" style="113" customWidth="1"/>
    <col min="7943" max="7943" width="11.42578125" style="113" customWidth="1"/>
    <col min="7944" max="7944" width="10.140625" style="113" bestFit="1" customWidth="1"/>
    <col min="7945" max="7945" width="9.140625" style="113"/>
    <col min="7946" max="7946" width="22.42578125" style="113" customWidth="1"/>
    <col min="7947" max="7947" width="10.85546875" style="113" customWidth="1"/>
    <col min="7948" max="8192" width="9.140625" style="113"/>
    <col min="8193" max="8193" width="8.5703125" style="113" customWidth="1"/>
    <col min="8194" max="8194" width="15" style="113" customWidth="1"/>
    <col min="8195" max="8195" width="27.28515625" style="113" customWidth="1"/>
    <col min="8196" max="8196" width="50.140625" style="113" customWidth="1"/>
    <col min="8197" max="8197" width="28" style="113" customWidth="1"/>
    <col min="8198" max="8198" width="11.5703125" style="113" customWidth="1"/>
    <col min="8199" max="8199" width="11.42578125" style="113" customWidth="1"/>
    <col min="8200" max="8200" width="10.140625" style="113" bestFit="1" customWidth="1"/>
    <col min="8201" max="8201" width="9.140625" style="113"/>
    <col min="8202" max="8202" width="22.42578125" style="113" customWidth="1"/>
    <col min="8203" max="8203" width="10.85546875" style="113" customWidth="1"/>
    <col min="8204" max="8448" width="9.140625" style="113"/>
    <col min="8449" max="8449" width="8.5703125" style="113" customWidth="1"/>
    <col min="8450" max="8450" width="15" style="113" customWidth="1"/>
    <col min="8451" max="8451" width="27.28515625" style="113" customWidth="1"/>
    <col min="8452" max="8452" width="50.140625" style="113" customWidth="1"/>
    <col min="8453" max="8453" width="28" style="113" customWidth="1"/>
    <col min="8454" max="8454" width="11.5703125" style="113" customWidth="1"/>
    <col min="8455" max="8455" width="11.42578125" style="113" customWidth="1"/>
    <col min="8456" max="8456" width="10.140625" style="113" bestFit="1" customWidth="1"/>
    <col min="8457" max="8457" width="9.140625" style="113"/>
    <col min="8458" max="8458" width="22.42578125" style="113" customWidth="1"/>
    <col min="8459" max="8459" width="10.85546875" style="113" customWidth="1"/>
    <col min="8460" max="8704" width="9.140625" style="113"/>
    <col min="8705" max="8705" width="8.5703125" style="113" customWidth="1"/>
    <col min="8706" max="8706" width="15" style="113" customWidth="1"/>
    <col min="8707" max="8707" width="27.28515625" style="113" customWidth="1"/>
    <col min="8708" max="8708" width="50.140625" style="113" customWidth="1"/>
    <col min="8709" max="8709" width="28" style="113" customWidth="1"/>
    <col min="8710" max="8710" width="11.5703125" style="113" customWidth="1"/>
    <col min="8711" max="8711" width="11.42578125" style="113" customWidth="1"/>
    <col min="8712" max="8712" width="10.140625" style="113" bestFit="1" customWidth="1"/>
    <col min="8713" max="8713" width="9.140625" style="113"/>
    <col min="8714" max="8714" width="22.42578125" style="113" customWidth="1"/>
    <col min="8715" max="8715" width="10.85546875" style="113" customWidth="1"/>
    <col min="8716" max="8960" width="9.140625" style="113"/>
    <col min="8961" max="8961" width="8.5703125" style="113" customWidth="1"/>
    <col min="8962" max="8962" width="15" style="113" customWidth="1"/>
    <col min="8963" max="8963" width="27.28515625" style="113" customWidth="1"/>
    <col min="8964" max="8964" width="50.140625" style="113" customWidth="1"/>
    <col min="8965" max="8965" width="28" style="113" customWidth="1"/>
    <col min="8966" max="8966" width="11.5703125" style="113" customWidth="1"/>
    <col min="8967" max="8967" width="11.42578125" style="113" customWidth="1"/>
    <col min="8968" max="8968" width="10.140625" style="113" bestFit="1" customWidth="1"/>
    <col min="8969" max="8969" width="9.140625" style="113"/>
    <col min="8970" max="8970" width="22.42578125" style="113" customWidth="1"/>
    <col min="8971" max="8971" width="10.85546875" style="113" customWidth="1"/>
    <col min="8972" max="9216" width="9.140625" style="113"/>
    <col min="9217" max="9217" width="8.5703125" style="113" customWidth="1"/>
    <col min="9218" max="9218" width="15" style="113" customWidth="1"/>
    <col min="9219" max="9219" width="27.28515625" style="113" customWidth="1"/>
    <col min="9220" max="9220" width="50.140625" style="113" customWidth="1"/>
    <col min="9221" max="9221" width="28" style="113" customWidth="1"/>
    <col min="9222" max="9222" width="11.5703125" style="113" customWidth="1"/>
    <col min="9223" max="9223" width="11.42578125" style="113" customWidth="1"/>
    <col min="9224" max="9224" width="10.140625" style="113" bestFit="1" customWidth="1"/>
    <col min="9225" max="9225" width="9.140625" style="113"/>
    <col min="9226" max="9226" width="22.42578125" style="113" customWidth="1"/>
    <col min="9227" max="9227" width="10.85546875" style="113" customWidth="1"/>
    <col min="9228" max="9472" width="9.140625" style="113"/>
    <col min="9473" max="9473" width="8.5703125" style="113" customWidth="1"/>
    <col min="9474" max="9474" width="15" style="113" customWidth="1"/>
    <col min="9475" max="9475" width="27.28515625" style="113" customWidth="1"/>
    <col min="9476" max="9476" width="50.140625" style="113" customWidth="1"/>
    <col min="9477" max="9477" width="28" style="113" customWidth="1"/>
    <col min="9478" max="9478" width="11.5703125" style="113" customWidth="1"/>
    <col min="9479" max="9479" width="11.42578125" style="113" customWidth="1"/>
    <col min="9480" max="9480" width="10.140625" style="113" bestFit="1" customWidth="1"/>
    <col min="9481" max="9481" width="9.140625" style="113"/>
    <col min="9482" max="9482" width="22.42578125" style="113" customWidth="1"/>
    <col min="9483" max="9483" width="10.85546875" style="113" customWidth="1"/>
    <col min="9484" max="9728" width="9.140625" style="113"/>
    <col min="9729" max="9729" width="8.5703125" style="113" customWidth="1"/>
    <col min="9730" max="9730" width="15" style="113" customWidth="1"/>
    <col min="9731" max="9731" width="27.28515625" style="113" customWidth="1"/>
    <col min="9732" max="9732" width="50.140625" style="113" customWidth="1"/>
    <col min="9733" max="9733" width="28" style="113" customWidth="1"/>
    <col min="9734" max="9734" width="11.5703125" style="113" customWidth="1"/>
    <col min="9735" max="9735" width="11.42578125" style="113" customWidth="1"/>
    <col min="9736" max="9736" width="10.140625" style="113" bestFit="1" customWidth="1"/>
    <col min="9737" max="9737" width="9.140625" style="113"/>
    <col min="9738" max="9738" width="22.42578125" style="113" customWidth="1"/>
    <col min="9739" max="9739" width="10.85546875" style="113" customWidth="1"/>
    <col min="9740" max="9984" width="9.140625" style="113"/>
    <col min="9985" max="9985" width="8.5703125" style="113" customWidth="1"/>
    <col min="9986" max="9986" width="15" style="113" customWidth="1"/>
    <col min="9987" max="9987" width="27.28515625" style="113" customWidth="1"/>
    <col min="9988" max="9988" width="50.140625" style="113" customWidth="1"/>
    <col min="9989" max="9989" width="28" style="113" customWidth="1"/>
    <col min="9990" max="9990" width="11.5703125" style="113" customWidth="1"/>
    <col min="9991" max="9991" width="11.42578125" style="113" customWidth="1"/>
    <col min="9992" max="9992" width="10.140625" style="113" bestFit="1" customWidth="1"/>
    <col min="9993" max="9993" width="9.140625" style="113"/>
    <col min="9994" max="9994" width="22.42578125" style="113" customWidth="1"/>
    <col min="9995" max="9995" width="10.85546875" style="113" customWidth="1"/>
    <col min="9996" max="10240" width="9.140625" style="113"/>
    <col min="10241" max="10241" width="8.5703125" style="113" customWidth="1"/>
    <col min="10242" max="10242" width="15" style="113" customWidth="1"/>
    <col min="10243" max="10243" width="27.28515625" style="113" customWidth="1"/>
    <col min="10244" max="10244" width="50.140625" style="113" customWidth="1"/>
    <col min="10245" max="10245" width="28" style="113" customWidth="1"/>
    <col min="10246" max="10246" width="11.5703125" style="113" customWidth="1"/>
    <col min="10247" max="10247" width="11.42578125" style="113" customWidth="1"/>
    <col min="10248" max="10248" width="10.140625" style="113" bestFit="1" customWidth="1"/>
    <col min="10249" max="10249" width="9.140625" style="113"/>
    <col min="10250" max="10250" width="22.42578125" style="113" customWidth="1"/>
    <col min="10251" max="10251" width="10.85546875" style="113" customWidth="1"/>
    <col min="10252" max="10496" width="9.140625" style="113"/>
    <col min="10497" max="10497" width="8.5703125" style="113" customWidth="1"/>
    <col min="10498" max="10498" width="15" style="113" customWidth="1"/>
    <col min="10499" max="10499" width="27.28515625" style="113" customWidth="1"/>
    <col min="10500" max="10500" width="50.140625" style="113" customWidth="1"/>
    <col min="10501" max="10501" width="28" style="113" customWidth="1"/>
    <col min="10502" max="10502" width="11.5703125" style="113" customWidth="1"/>
    <col min="10503" max="10503" width="11.42578125" style="113" customWidth="1"/>
    <col min="10504" max="10504" width="10.140625" style="113" bestFit="1" customWidth="1"/>
    <col min="10505" max="10505" width="9.140625" style="113"/>
    <col min="10506" max="10506" width="22.42578125" style="113" customWidth="1"/>
    <col min="10507" max="10507" width="10.85546875" style="113" customWidth="1"/>
    <col min="10508" max="10752" width="9.140625" style="113"/>
    <col min="10753" max="10753" width="8.5703125" style="113" customWidth="1"/>
    <col min="10754" max="10754" width="15" style="113" customWidth="1"/>
    <col min="10755" max="10755" width="27.28515625" style="113" customWidth="1"/>
    <col min="10756" max="10756" width="50.140625" style="113" customWidth="1"/>
    <col min="10757" max="10757" width="28" style="113" customWidth="1"/>
    <col min="10758" max="10758" width="11.5703125" style="113" customWidth="1"/>
    <col min="10759" max="10759" width="11.42578125" style="113" customWidth="1"/>
    <col min="10760" max="10760" width="10.140625" style="113" bestFit="1" customWidth="1"/>
    <col min="10761" max="10761" width="9.140625" style="113"/>
    <col min="10762" max="10762" width="22.42578125" style="113" customWidth="1"/>
    <col min="10763" max="10763" width="10.85546875" style="113" customWidth="1"/>
    <col min="10764" max="11008" width="9.140625" style="113"/>
    <col min="11009" max="11009" width="8.5703125" style="113" customWidth="1"/>
    <col min="11010" max="11010" width="15" style="113" customWidth="1"/>
    <col min="11011" max="11011" width="27.28515625" style="113" customWidth="1"/>
    <col min="11012" max="11012" width="50.140625" style="113" customWidth="1"/>
    <col min="11013" max="11013" width="28" style="113" customWidth="1"/>
    <col min="11014" max="11014" width="11.5703125" style="113" customWidth="1"/>
    <col min="11015" max="11015" width="11.42578125" style="113" customWidth="1"/>
    <col min="11016" max="11016" width="10.140625" style="113" bestFit="1" customWidth="1"/>
    <col min="11017" max="11017" width="9.140625" style="113"/>
    <col min="11018" max="11018" width="22.42578125" style="113" customWidth="1"/>
    <col min="11019" max="11019" width="10.85546875" style="113" customWidth="1"/>
    <col min="11020" max="11264" width="9.140625" style="113"/>
    <col min="11265" max="11265" width="8.5703125" style="113" customWidth="1"/>
    <col min="11266" max="11266" width="15" style="113" customWidth="1"/>
    <col min="11267" max="11267" width="27.28515625" style="113" customWidth="1"/>
    <col min="11268" max="11268" width="50.140625" style="113" customWidth="1"/>
    <col min="11269" max="11269" width="28" style="113" customWidth="1"/>
    <col min="11270" max="11270" width="11.5703125" style="113" customWidth="1"/>
    <col min="11271" max="11271" width="11.42578125" style="113" customWidth="1"/>
    <col min="11272" max="11272" width="10.140625" style="113" bestFit="1" customWidth="1"/>
    <col min="11273" max="11273" width="9.140625" style="113"/>
    <col min="11274" max="11274" width="22.42578125" style="113" customWidth="1"/>
    <col min="11275" max="11275" width="10.85546875" style="113" customWidth="1"/>
    <col min="11276" max="11520" width="9.140625" style="113"/>
    <col min="11521" max="11521" width="8.5703125" style="113" customWidth="1"/>
    <col min="11522" max="11522" width="15" style="113" customWidth="1"/>
    <col min="11523" max="11523" width="27.28515625" style="113" customWidth="1"/>
    <col min="11524" max="11524" width="50.140625" style="113" customWidth="1"/>
    <col min="11525" max="11525" width="28" style="113" customWidth="1"/>
    <col min="11526" max="11526" width="11.5703125" style="113" customWidth="1"/>
    <col min="11527" max="11527" width="11.42578125" style="113" customWidth="1"/>
    <col min="11528" max="11528" width="10.140625" style="113" bestFit="1" customWidth="1"/>
    <col min="11529" max="11529" width="9.140625" style="113"/>
    <col min="11530" max="11530" width="22.42578125" style="113" customWidth="1"/>
    <col min="11531" max="11531" width="10.85546875" style="113" customWidth="1"/>
    <col min="11532" max="11776" width="9.140625" style="113"/>
    <col min="11777" max="11777" width="8.5703125" style="113" customWidth="1"/>
    <col min="11778" max="11778" width="15" style="113" customWidth="1"/>
    <col min="11779" max="11779" width="27.28515625" style="113" customWidth="1"/>
    <col min="11780" max="11780" width="50.140625" style="113" customWidth="1"/>
    <col min="11781" max="11781" width="28" style="113" customWidth="1"/>
    <col min="11782" max="11782" width="11.5703125" style="113" customWidth="1"/>
    <col min="11783" max="11783" width="11.42578125" style="113" customWidth="1"/>
    <col min="11784" max="11784" width="10.140625" style="113" bestFit="1" customWidth="1"/>
    <col min="11785" max="11785" width="9.140625" style="113"/>
    <col min="11786" max="11786" width="22.42578125" style="113" customWidth="1"/>
    <col min="11787" max="11787" width="10.85546875" style="113" customWidth="1"/>
    <col min="11788" max="12032" width="9.140625" style="113"/>
    <col min="12033" max="12033" width="8.5703125" style="113" customWidth="1"/>
    <col min="12034" max="12034" width="15" style="113" customWidth="1"/>
    <col min="12035" max="12035" width="27.28515625" style="113" customWidth="1"/>
    <col min="12036" max="12036" width="50.140625" style="113" customWidth="1"/>
    <col min="12037" max="12037" width="28" style="113" customWidth="1"/>
    <col min="12038" max="12038" width="11.5703125" style="113" customWidth="1"/>
    <col min="12039" max="12039" width="11.42578125" style="113" customWidth="1"/>
    <col min="12040" max="12040" width="10.140625" style="113" bestFit="1" customWidth="1"/>
    <col min="12041" max="12041" width="9.140625" style="113"/>
    <col min="12042" max="12042" width="22.42578125" style="113" customWidth="1"/>
    <col min="12043" max="12043" width="10.85546875" style="113" customWidth="1"/>
    <col min="12044" max="12288" width="9.140625" style="113"/>
    <col min="12289" max="12289" width="8.5703125" style="113" customWidth="1"/>
    <col min="12290" max="12290" width="15" style="113" customWidth="1"/>
    <col min="12291" max="12291" width="27.28515625" style="113" customWidth="1"/>
    <col min="12292" max="12292" width="50.140625" style="113" customWidth="1"/>
    <col min="12293" max="12293" width="28" style="113" customWidth="1"/>
    <col min="12294" max="12294" width="11.5703125" style="113" customWidth="1"/>
    <col min="12295" max="12295" width="11.42578125" style="113" customWidth="1"/>
    <col min="12296" max="12296" width="10.140625" style="113" bestFit="1" customWidth="1"/>
    <col min="12297" max="12297" width="9.140625" style="113"/>
    <col min="12298" max="12298" width="22.42578125" style="113" customWidth="1"/>
    <col min="12299" max="12299" width="10.85546875" style="113" customWidth="1"/>
    <col min="12300" max="12544" width="9.140625" style="113"/>
    <col min="12545" max="12545" width="8.5703125" style="113" customWidth="1"/>
    <col min="12546" max="12546" width="15" style="113" customWidth="1"/>
    <col min="12547" max="12547" width="27.28515625" style="113" customWidth="1"/>
    <col min="12548" max="12548" width="50.140625" style="113" customWidth="1"/>
    <col min="12549" max="12549" width="28" style="113" customWidth="1"/>
    <col min="12550" max="12550" width="11.5703125" style="113" customWidth="1"/>
    <col min="12551" max="12551" width="11.42578125" style="113" customWidth="1"/>
    <col min="12552" max="12552" width="10.140625" style="113" bestFit="1" customWidth="1"/>
    <col min="12553" max="12553" width="9.140625" style="113"/>
    <col min="12554" max="12554" width="22.42578125" style="113" customWidth="1"/>
    <col min="12555" max="12555" width="10.85546875" style="113" customWidth="1"/>
    <col min="12556" max="12800" width="9.140625" style="113"/>
    <col min="12801" max="12801" width="8.5703125" style="113" customWidth="1"/>
    <col min="12802" max="12802" width="15" style="113" customWidth="1"/>
    <col min="12803" max="12803" width="27.28515625" style="113" customWidth="1"/>
    <col min="12804" max="12804" width="50.140625" style="113" customWidth="1"/>
    <col min="12805" max="12805" width="28" style="113" customWidth="1"/>
    <col min="12806" max="12806" width="11.5703125" style="113" customWidth="1"/>
    <col min="12807" max="12807" width="11.42578125" style="113" customWidth="1"/>
    <col min="12808" max="12808" width="10.140625" style="113" bestFit="1" customWidth="1"/>
    <col min="12809" max="12809" width="9.140625" style="113"/>
    <col min="12810" max="12810" width="22.42578125" style="113" customWidth="1"/>
    <col min="12811" max="12811" width="10.85546875" style="113" customWidth="1"/>
    <col min="12812" max="13056" width="9.140625" style="113"/>
    <col min="13057" max="13057" width="8.5703125" style="113" customWidth="1"/>
    <col min="13058" max="13058" width="15" style="113" customWidth="1"/>
    <col min="13059" max="13059" width="27.28515625" style="113" customWidth="1"/>
    <col min="13060" max="13060" width="50.140625" style="113" customWidth="1"/>
    <col min="13061" max="13061" width="28" style="113" customWidth="1"/>
    <col min="13062" max="13062" width="11.5703125" style="113" customWidth="1"/>
    <col min="13063" max="13063" width="11.42578125" style="113" customWidth="1"/>
    <col min="13064" max="13064" width="10.140625" style="113" bestFit="1" customWidth="1"/>
    <col min="13065" max="13065" width="9.140625" style="113"/>
    <col min="13066" max="13066" width="22.42578125" style="113" customWidth="1"/>
    <col min="13067" max="13067" width="10.85546875" style="113" customWidth="1"/>
    <col min="13068" max="13312" width="9.140625" style="113"/>
    <col min="13313" max="13313" width="8.5703125" style="113" customWidth="1"/>
    <col min="13314" max="13314" width="15" style="113" customWidth="1"/>
    <col min="13315" max="13315" width="27.28515625" style="113" customWidth="1"/>
    <col min="13316" max="13316" width="50.140625" style="113" customWidth="1"/>
    <col min="13317" max="13317" width="28" style="113" customWidth="1"/>
    <col min="13318" max="13318" width="11.5703125" style="113" customWidth="1"/>
    <col min="13319" max="13319" width="11.42578125" style="113" customWidth="1"/>
    <col min="13320" max="13320" width="10.140625" style="113" bestFit="1" customWidth="1"/>
    <col min="13321" max="13321" width="9.140625" style="113"/>
    <col min="13322" max="13322" width="22.42578125" style="113" customWidth="1"/>
    <col min="13323" max="13323" width="10.85546875" style="113" customWidth="1"/>
    <col min="13324" max="13568" width="9.140625" style="113"/>
    <col min="13569" max="13569" width="8.5703125" style="113" customWidth="1"/>
    <col min="13570" max="13570" width="15" style="113" customWidth="1"/>
    <col min="13571" max="13571" width="27.28515625" style="113" customWidth="1"/>
    <col min="13572" max="13572" width="50.140625" style="113" customWidth="1"/>
    <col min="13573" max="13573" width="28" style="113" customWidth="1"/>
    <col min="13574" max="13574" width="11.5703125" style="113" customWidth="1"/>
    <col min="13575" max="13575" width="11.42578125" style="113" customWidth="1"/>
    <col min="13576" max="13576" width="10.140625" style="113" bestFit="1" customWidth="1"/>
    <col min="13577" max="13577" width="9.140625" style="113"/>
    <col min="13578" max="13578" width="22.42578125" style="113" customWidth="1"/>
    <col min="13579" max="13579" width="10.85546875" style="113" customWidth="1"/>
    <col min="13580" max="13824" width="9.140625" style="113"/>
    <col min="13825" max="13825" width="8.5703125" style="113" customWidth="1"/>
    <col min="13826" max="13826" width="15" style="113" customWidth="1"/>
    <col min="13827" max="13827" width="27.28515625" style="113" customWidth="1"/>
    <col min="13828" max="13828" width="50.140625" style="113" customWidth="1"/>
    <col min="13829" max="13829" width="28" style="113" customWidth="1"/>
    <col min="13830" max="13830" width="11.5703125" style="113" customWidth="1"/>
    <col min="13831" max="13831" width="11.42578125" style="113" customWidth="1"/>
    <col min="13832" max="13832" width="10.140625" style="113" bestFit="1" customWidth="1"/>
    <col min="13833" max="13833" width="9.140625" style="113"/>
    <col min="13834" max="13834" width="22.42578125" style="113" customWidth="1"/>
    <col min="13835" max="13835" width="10.85546875" style="113" customWidth="1"/>
    <col min="13836" max="14080" width="9.140625" style="113"/>
    <col min="14081" max="14081" width="8.5703125" style="113" customWidth="1"/>
    <col min="14082" max="14082" width="15" style="113" customWidth="1"/>
    <col min="14083" max="14083" width="27.28515625" style="113" customWidth="1"/>
    <col min="14084" max="14084" width="50.140625" style="113" customWidth="1"/>
    <col min="14085" max="14085" width="28" style="113" customWidth="1"/>
    <col min="14086" max="14086" width="11.5703125" style="113" customWidth="1"/>
    <col min="14087" max="14087" width="11.42578125" style="113" customWidth="1"/>
    <col min="14088" max="14088" width="10.140625" style="113" bestFit="1" customWidth="1"/>
    <col min="14089" max="14089" width="9.140625" style="113"/>
    <col min="14090" max="14090" width="22.42578125" style="113" customWidth="1"/>
    <col min="14091" max="14091" width="10.85546875" style="113" customWidth="1"/>
    <col min="14092" max="14336" width="9.140625" style="113"/>
    <col min="14337" max="14337" width="8.5703125" style="113" customWidth="1"/>
    <col min="14338" max="14338" width="15" style="113" customWidth="1"/>
    <col min="14339" max="14339" width="27.28515625" style="113" customWidth="1"/>
    <col min="14340" max="14340" width="50.140625" style="113" customWidth="1"/>
    <col min="14341" max="14341" width="28" style="113" customWidth="1"/>
    <col min="14342" max="14342" width="11.5703125" style="113" customWidth="1"/>
    <col min="14343" max="14343" width="11.42578125" style="113" customWidth="1"/>
    <col min="14344" max="14344" width="10.140625" style="113" bestFit="1" customWidth="1"/>
    <col min="14345" max="14345" width="9.140625" style="113"/>
    <col min="14346" max="14346" width="22.42578125" style="113" customWidth="1"/>
    <col min="14347" max="14347" width="10.85546875" style="113" customWidth="1"/>
    <col min="14348" max="14592" width="9.140625" style="113"/>
    <col min="14593" max="14593" width="8.5703125" style="113" customWidth="1"/>
    <col min="14594" max="14594" width="15" style="113" customWidth="1"/>
    <col min="14595" max="14595" width="27.28515625" style="113" customWidth="1"/>
    <col min="14596" max="14596" width="50.140625" style="113" customWidth="1"/>
    <col min="14597" max="14597" width="28" style="113" customWidth="1"/>
    <col min="14598" max="14598" width="11.5703125" style="113" customWidth="1"/>
    <col min="14599" max="14599" width="11.42578125" style="113" customWidth="1"/>
    <col min="14600" max="14600" width="10.140625" style="113" bestFit="1" customWidth="1"/>
    <col min="14601" max="14601" width="9.140625" style="113"/>
    <col min="14602" max="14602" width="22.42578125" style="113" customWidth="1"/>
    <col min="14603" max="14603" width="10.85546875" style="113" customWidth="1"/>
    <col min="14604" max="14848" width="9.140625" style="113"/>
    <col min="14849" max="14849" width="8.5703125" style="113" customWidth="1"/>
    <col min="14850" max="14850" width="15" style="113" customWidth="1"/>
    <col min="14851" max="14851" width="27.28515625" style="113" customWidth="1"/>
    <col min="14852" max="14852" width="50.140625" style="113" customWidth="1"/>
    <col min="14853" max="14853" width="28" style="113" customWidth="1"/>
    <col min="14854" max="14854" width="11.5703125" style="113" customWidth="1"/>
    <col min="14855" max="14855" width="11.42578125" style="113" customWidth="1"/>
    <col min="14856" max="14856" width="10.140625" style="113" bestFit="1" customWidth="1"/>
    <col min="14857" max="14857" width="9.140625" style="113"/>
    <col min="14858" max="14858" width="22.42578125" style="113" customWidth="1"/>
    <col min="14859" max="14859" width="10.85546875" style="113" customWidth="1"/>
    <col min="14860" max="15104" width="9.140625" style="113"/>
    <col min="15105" max="15105" width="8.5703125" style="113" customWidth="1"/>
    <col min="15106" max="15106" width="15" style="113" customWidth="1"/>
    <col min="15107" max="15107" width="27.28515625" style="113" customWidth="1"/>
    <col min="15108" max="15108" width="50.140625" style="113" customWidth="1"/>
    <col min="15109" max="15109" width="28" style="113" customWidth="1"/>
    <col min="15110" max="15110" width="11.5703125" style="113" customWidth="1"/>
    <col min="15111" max="15111" width="11.42578125" style="113" customWidth="1"/>
    <col min="15112" max="15112" width="10.140625" style="113" bestFit="1" customWidth="1"/>
    <col min="15113" max="15113" width="9.140625" style="113"/>
    <col min="15114" max="15114" width="22.42578125" style="113" customWidth="1"/>
    <col min="15115" max="15115" width="10.85546875" style="113" customWidth="1"/>
    <col min="15116" max="15360" width="9.140625" style="113"/>
    <col min="15361" max="15361" width="8.5703125" style="113" customWidth="1"/>
    <col min="15362" max="15362" width="15" style="113" customWidth="1"/>
    <col min="15363" max="15363" width="27.28515625" style="113" customWidth="1"/>
    <col min="15364" max="15364" width="50.140625" style="113" customWidth="1"/>
    <col min="15365" max="15365" width="28" style="113" customWidth="1"/>
    <col min="15366" max="15366" width="11.5703125" style="113" customWidth="1"/>
    <col min="15367" max="15367" width="11.42578125" style="113" customWidth="1"/>
    <col min="15368" max="15368" width="10.140625" style="113" bestFit="1" customWidth="1"/>
    <col min="15369" max="15369" width="9.140625" style="113"/>
    <col min="15370" max="15370" width="22.42578125" style="113" customWidth="1"/>
    <col min="15371" max="15371" width="10.85546875" style="113" customWidth="1"/>
    <col min="15372" max="15616" width="9.140625" style="113"/>
    <col min="15617" max="15617" width="8.5703125" style="113" customWidth="1"/>
    <col min="15618" max="15618" width="15" style="113" customWidth="1"/>
    <col min="15619" max="15619" width="27.28515625" style="113" customWidth="1"/>
    <col min="15620" max="15620" width="50.140625" style="113" customWidth="1"/>
    <col min="15621" max="15621" width="28" style="113" customWidth="1"/>
    <col min="15622" max="15622" width="11.5703125" style="113" customWidth="1"/>
    <col min="15623" max="15623" width="11.42578125" style="113" customWidth="1"/>
    <col min="15624" max="15624" width="10.140625" style="113" bestFit="1" customWidth="1"/>
    <col min="15625" max="15625" width="9.140625" style="113"/>
    <col min="15626" max="15626" width="22.42578125" style="113" customWidth="1"/>
    <col min="15627" max="15627" width="10.85546875" style="113" customWidth="1"/>
    <col min="15628" max="15872" width="9.140625" style="113"/>
    <col min="15873" max="15873" width="8.5703125" style="113" customWidth="1"/>
    <col min="15874" max="15874" width="15" style="113" customWidth="1"/>
    <col min="15875" max="15875" width="27.28515625" style="113" customWidth="1"/>
    <col min="15876" max="15876" width="50.140625" style="113" customWidth="1"/>
    <col min="15877" max="15877" width="28" style="113" customWidth="1"/>
    <col min="15878" max="15878" width="11.5703125" style="113" customWidth="1"/>
    <col min="15879" max="15879" width="11.42578125" style="113" customWidth="1"/>
    <col min="15880" max="15880" width="10.140625" style="113" bestFit="1" customWidth="1"/>
    <col min="15881" max="15881" width="9.140625" style="113"/>
    <col min="15882" max="15882" width="22.42578125" style="113" customWidth="1"/>
    <col min="15883" max="15883" width="10.85546875" style="113" customWidth="1"/>
    <col min="15884" max="16128" width="9.140625" style="113"/>
    <col min="16129" max="16129" width="8.5703125" style="113" customWidth="1"/>
    <col min="16130" max="16130" width="15" style="113" customWidth="1"/>
    <col min="16131" max="16131" width="27.28515625" style="113" customWidth="1"/>
    <col min="16132" max="16132" width="50.140625" style="113" customWidth="1"/>
    <col min="16133" max="16133" width="28" style="113" customWidth="1"/>
    <col min="16134" max="16134" width="11.5703125" style="113" customWidth="1"/>
    <col min="16135" max="16135" width="11.42578125" style="113" customWidth="1"/>
    <col min="16136" max="16136" width="10.140625" style="113" bestFit="1" customWidth="1"/>
    <col min="16137" max="16137" width="9.140625" style="113"/>
    <col min="16138" max="16138" width="22.42578125" style="113" customWidth="1"/>
    <col min="16139" max="16139" width="10.85546875" style="113" customWidth="1"/>
    <col min="16140" max="16384" width="9.140625" style="113"/>
  </cols>
  <sheetData>
    <row r="1" spans="1:15" s="103" customFormat="1" x14ac:dyDescent="0.2">
      <c r="A1" s="128" t="s">
        <v>453</v>
      </c>
      <c r="B1" s="129" t="s">
        <v>454</v>
      </c>
      <c r="C1" s="130" t="s">
        <v>455</v>
      </c>
      <c r="D1" s="131" t="s">
        <v>456</v>
      </c>
      <c r="E1" s="132" t="s">
        <v>457</v>
      </c>
      <c r="F1" s="133" t="s">
        <v>458</v>
      </c>
      <c r="G1" s="133" t="s">
        <v>459</v>
      </c>
      <c r="H1" s="134" t="s">
        <v>460</v>
      </c>
      <c r="I1" s="130" t="s">
        <v>461</v>
      </c>
      <c r="J1" s="132" t="s">
        <v>462</v>
      </c>
      <c r="K1" s="135" t="s">
        <v>463</v>
      </c>
      <c r="M1" s="103" t="s">
        <v>44</v>
      </c>
      <c r="N1" s="103" t="s">
        <v>828</v>
      </c>
      <c r="O1" s="103" t="s">
        <v>829</v>
      </c>
    </row>
    <row r="2" spans="1:15" s="109" customFormat="1" x14ac:dyDescent="0.2">
      <c r="A2" s="122" t="s">
        <v>464</v>
      </c>
      <c r="B2" s="105">
        <v>43207</v>
      </c>
      <c r="C2" s="104" t="s">
        <v>465</v>
      </c>
      <c r="D2" s="104" t="s">
        <v>466</v>
      </c>
      <c r="E2" s="104" t="s">
        <v>467</v>
      </c>
      <c r="F2" s="106">
        <v>158179.98000000001</v>
      </c>
      <c r="G2" s="106">
        <v>158179.98000000001</v>
      </c>
      <c r="H2" s="107">
        <v>43795</v>
      </c>
      <c r="I2" s="108">
        <v>8</v>
      </c>
      <c r="J2" s="104" t="s">
        <v>468</v>
      </c>
      <c r="K2" s="124" t="s">
        <v>469</v>
      </c>
      <c r="M2" s="109">
        <f>YEAR(Table1[[#This Row],[DATE INCIDENT]])</f>
        <v>2018</v>
      </c>
      <c r="N2" s="109">
        <f>VLOOKUP(M2,'REF GDP Deflator'!$C$36:$E$56,3)</f>
        <v>1.1499999999999999</v>
      </c>
      <c r="O2" s="404">
        <f>Table1[[#This Row],[AMOUNT CLAIMED]]*N2</f>
        <v>181906.97699999998</v>
      </c>
    </row>
    <row r="3" spans="1:15" hidden="1" x14ac:dyDescent="0.2">
      <c r="A3" s="122" t="s">
        <v>470</v>
      </c>
      <c r="B3" s="105">
        <v>43201</v>
      </c>
      <c r="C3" s="104" t="s">
        <v>471</v>
      </c>
      <c r="D3" s="104" t="s">
        <v>472</v>
      </c>
      <c r="E3" s="110" t="s">
        <v>473</v>
      </c>
      <c r="F3" s="106">
        <v>122211.58</v>
      </c>
      <c r="G3" s="106">
        <v>122211.58</v>
      </c>
      <c r="H3" s="107">
        <v>44498</v>
      </c>
      <c r="I3" s="111">
        <v>4</v>
      </c>
      <c r="J3" s="112" t="s">
        <v>474</v>
      </c>
      <c r="K3" s="125" t="s">
        <v>475</v>
      </c>
      <c r="O3" s="404">
        <f>Table1[[#This Row],[AMOUNT CLAIMED]]*N3</f>
        <v>0</v>
      </c>
    </row>
    <row r="4" spans="1:15" s="109" customFormat="1" x14ac:dyDescent="0.2">
      <c r="A4" s="122" t="s">
        <v>476</v>
      </c>
      <c r="B4" s="105">
        <v>43263</v>
      </c>
      <c r="C4" s="104" t="s">
        <v>477</v>
      </c>
      <c r="D4" s="104" t="s">
        <v>478</v>
      </c>
      <c r="E4" s="104" t="s">
        <v>479</v>
      </c>
      <c r="F4" s="106">
        <v>21753.42</v>
      </c>
      <c r="G4" s="106">
        <v>21753.42</v>
      </c>
      <c r="H4" s="107">
        <v>43819</v>
      </c>
      <c r="I4" s="108">
        <v>8</v>
      </c>
      <c r="J4" s="104" t="s">
        <v>480</v>
      </c>
      <c r="K4" s="124" t="s">
        <v>481</v>
      </c>
      <c r="M4" s="109">
        <f>YEAR(Table1[[#This Row],[DATE INCIDENT]])</f>
        <v>2018</v>
      </c>
      <c r="N4" s="109">
        <f>VLOOKUP(M4,'REF GDP Deflator'!$C$36:$E$56,3)</f>
        <v>1.1499999999999999</v>
      </c>
      <c r="O4" s="404">
        <f>Table1[[#This Row],[AMOUNT CLAIMED]]*N4</f>
        <v>25016.432999999997</v>
      </c>
    </row>
    <row r="5" spans="1:15" s="109" customFormat="1" hidden="1" x14ac:dyDescent="0.2">
      <c r="A5" s="122" t="s">
        <v>482</v>
      </c>
      <c r="B5" s="105">
        <v>43403</v>
      </c>
      <c r="C5" s="104" t="s">
        <v>483</v>
      </c>
      <c r="D5" s="104" t="s">
        <v>484</v>
      </c>
      <c r="E5" s="104" t="s">
        <v>485</v>
      </c>
      <c r="F5" s="106">
        <v>200583.47</v>
      </c>
      <c r="G5" s="106"/>
      <c r="H5" s="107"/>
      <c r="I5" s="108">
        <v>7</v>
      </c>
      <c r="J5" s="104" t="s">
        <v>486</v>
      </c>
      <c r="K5" s="126" t="s">
        <v>475</v>
      </c>
      <c r="M5" s="109">
        <f>YEAR(Table1[[#This Row],[DATE INCIDENT]])</f>
        <v>2018</v>
      </c>
      <c r="N5" s="109">
        <f>VLOOKUP(M5,'REF GDP Deflator'!$C$36:$E$56,3)</f>
        <v>1.1499999999999999</v>
      </c>
      <c r="O5" s="404">
        <f>Table1[[#This Row],[AMOUNT CLAIMED]]*N5</f>
        <v>230670.99049999999</v>
      </c>
    </row>
    <row r="6" spans="1:15" s="109" customFormat="1" hidden="1" x14ac:dyDescent="0.2">
      <c r="A6" s="122" t="s">
        <v>487</v>
      </c>
      <c r="B6" s="105">
        <v>43452</v>
      </c>
      <c r="C6" s="104" t="s">
        <v>488</v>
      </c>
      <c r="D6" s="104" t="s">
        <v>489</v>
      </c>
      <c r="E6" s="104" t="s">
        <v>490</v>
      </c>
      <c r="F6" s="106">
        <v>107564.64</v>
      </c>
      <c r="G6" s="106">
        <v>107564.64</v>
      </c>
      <c r="H6" s="107">
        <v>44644</v>
      </c>
      <c r="I6" s="108">
        <v>3</v>
      </c>
      <c r="J6" s="104" t="s">
        <v>491</v>
      </c>
      <c r="K6" s="124" t="s">
        <v>492</v>
      </c>
      <c r="M6" s="109">
        <f>YEAR(Table1[[#This Row],[DATE INCIDENT]])</f>
        <v>2018</v>
      </c>
      <c r="N6" s="109">
        <f>VLOOKUP(M6,'REF GDP Deflator'!$C$36:$E$56,3)</f>
        <v>1.1499999999999999</v>
      </c>
      <c r="O6" s="404">
        <f>Table1[[#This Row],[AMOUNT CLAIMED]]*N6</f>
        <v>123699.336</v>
      </c>
    </row>
    <row r="7" spans="1:15" s="109" customFormat="1" x14ac:dyDescent="0.2">
      <c r="A7" s="122" t="s">
        <v>493</v>
      </c>
      <c r="B7" s="105">
        <v>43643</v>
      </c>
      <c r="C7" s="104" t="s">
        <v>494</v>
      </c>
      <c r="D7" s="104" t="s">
        <v>495</v>
      </c>
      <c r="E7" s="104" t="s">
        <v>496</v>
      </c>
      <c r="F7" s="106">
        <v>909081.73</v>
      </c>
      <c r="G7" s="106"/>
      <c r="H7" s="107"/>
      <c r="I7" s="108">
        <v>8</v>
      </c>
      <c r="J7" s="104" t="s">
        <v>497</v>
      </c>
      <c r="K7" s="124" t="s">
        <v>498</v>
      </c>
      <c r="M7" s="109">
        <f>YEAR(Table1[[#This Row],[DATE INCIDENT]])</f>
        <v>2019</v>
      </c>
      <c r="N7" s="109">
        <f>VLOOKUP(M7,'REF GDP Deflator'!$C$36:$E$56,3)</f>
        <v>1.1299999999999999</v>
      </c>
      <c r="O7" s="404">
        <f>Table1[[#This Row],[AMOUNT CLAIMED]]*N7</f>
        <v>1027262.3548999999</v>
      </c>
    </row>
    <row r="8" spans="1:15" hidden="1" x14ac:dyDescent="0.2">
      <c r="A8" s="122" t="s">
        <v>499</v>
      </c>
      <c r="B8" s="105">
        <v>43690</v>
      </c>
      <c r="C8" s="104" t="s">
        <v>500</v>
      </c>
      <c r="D8" s="104" t="s">
        <v>501</v>
      </c>
      <c r="E8" s="104" t="s">
        <v>502</v>
      </c>
      <c r="F8" s="106">
        <v>124475.7</v>
      </c>
      <c r="G8" s="106">
        <v>124475.7</v>
      </c>
      <c r="H8" s="107">
        <v>44621</v>
      </c>
      <c r="I8" s="108">
        <v>2</v>
      </c>
      <c r="J8" s="112" t="s">
        <v>503</v>
      </c>
      <c r="K8" s="127" t="s">
        <v>504</v>
      </c>
      <c r="M8" s="109">
        <f>YEAR(Table1[[#This Row],[DATE INCIDENT]])</f>
        <v>2019</v>
      </c>
      <c r="N8" s="109">
        <f>VLOOKUP(M8,'REF GDP Deflator'!$C$36:$E$56,3)</f>
        <v>1.1299999999999999</v>
      </c>
      <c r="O8" s="404">
        <f>Table1[[#This Row],[AMOUNT CLAIMED]]*N8</f>
        <v>140657.541</v>
      </c>
    </row>
    <row r="9" spans="1:15" s="109" customFormat="1" hidden="1" x14ac:dyDescent="0.2">
      <c r="A9" s="122" t="s">
        <v>505</v>
      </c>
      <c r="B9" s="105">
        <v>43677</v>
      </c>
      <c r="C9" s="104" t="s">
        <v>506</v>
      </c>
      <c r="D9" s="104" t="s">
        <v>507</v>
      </c>
      <c r="E9" s="104" t="s">
        <v>508</v>
      </c>
      <c r="F9" s="106">
        <v>153456.13</v>
      </c>
      <c r="G9" s="106"/>
      <c r="H9" s="107"/>
      <c r="I9" s="108">
        <v>3</v>
      </c>
      <c r="J9" s="104" t="s">
        <v>509</v>
      </c>
      <c r="K9" s="124" t="s">
        <v>510</v>
      </c>
      <c r="M9" s="109">
        <f>YEAR(Table1[[#This Row],[DATE INCIDENT]])</f>
        <v>2019</v>
      </c>
      <c r="N9" s="109">
        <f>VLOOKUP(M9,'REF GDP Deflator'!$C$36:$E$56,3)</f>
        <v>1.1299999999999999</v>
      </c>
      <c r="O9" s="404">
        <f>Table1[[#This Row],[AMOUNT CLAIMED]]*N9</f>
        <v>173405.42689999999</v>
      </c>
    </row>
    <row r="10" spans="1:15" hidden="1" x14ac:dyDescent="0.2">
      <c r="A10" s="122" t="s">
        <v>511</v>
      </c>
      <c r="B10" s="105">
        <v>43717</v>
      </c>
      <c r="C10" s="104" t="s">
        <v>512</v>
      </c>
      <c r="D10" s="104" t="s">
        <v>513</v>
      </c>
      <c r="E10" s="104" t="s">
        <v>514</v>
      </c>
      <c r="F10" s="106">
        <v>732049.67</v>
      </c>
      <c r="G10" s="106">
        <v>732049.67</v>
      </c>
      <c r="H10" s="107">
        <v>44508</v>
      </c>
      <c r="I10" s="111">
        <v>4</v>
      </c>
      <c r="J10" s="112" t="s">
        <v>515</v>
      </c>
      <c r="K10" s="127" t="s">
        <v>516</v>
      </c>
      <c r="L10" s="113" t="s">
        <v>517</v>
      </c>
      <c r="M10" s="109">
        <f>YEAR(Table1[[#This Row],[DATE INCIDENT]])</f>
        <v>2019</v>
      </c>
      <c r="N10" s="109">
        <f>VLOOKUP(M10,'REF GDP Deflator'!$C$36:$E$56,3)</f>
        <v>1.1299999999999999</v>
      </c>
      <c r="O10" s="404">
        <f>Table1[[#This Row],[AMOUNT CLAIMED]]*N10</f>
        <v>827216.12709999993</v>
      </c>
    </row>
    <row r="11" spans="1:15" hidden="1" x14ac:dyDescent="0.2">
      <c r="A11" s="122" t="s">
        <v>518</v>
      </c>
      <c r="B11" s="105">
        <v>43749</v>
      </c>
      <c r="C11" s="104" t="s">
        <v>519</v>
      </c>
      <c r="D11" s="104" t="s">
        <v>520</v>
      </c>
      <c r="E11" s="104" t="s">
        <v>521</v>
      </c>
      <c r="F11" s="106">
        <v>28649.3</v>
      </c>
      <c r="G11" s="106">
        <v>25000</v>
      </c>
      <c r="H11" s="107">
        <v>44307</v>
      </c>
      <c r="I11" s="111">
        <v>4</v>
      </c>
      <c r="J11" s="112" t="s">
        <v>522</v>
      </c>
      <c r="K11" s="127" t="s">
        <v>523</v>
      </c>
      <c r="M11" s="109">
        <f>YEAR(Table1[[#This Row],[DATE INCIDENT]])</f>
        <v>2019</v>
      </c>
      <c r="N11" s="109">
        <f>VLOOKUP(M11,'REF GDP Deflator'!$C$36:$E$56,3)</f>
        <v>1.1299999999999999</v>
      </c>
      <c r="O11" s="404">
        <f>Table1[[#This Row],[AMOUNT CLAIMED]]*N11</f>
        <v>32373.708999999995</v>
      </c>
    </row>
    <row r="12" spans="1:15" s="109" customFormat="1" hidden="1" x14ac:dyDescent="0.2">
      <c r="A12" s="122" t="s">
        <v>524</v>
      </c>
      <c r="B12" s="105">
        <v>43749</v>
      </c>
      <c r="C12" s="104" t="s">
        <v>525</v>
      </c>
      <c r="D12" s="104" t="s">
        <v>526</v>
      </c>
      <c r="E12" s="104" t="s">
        <v>527</v>
      </c>
      <c r="F12" s="106">
        <v>59169.93</v>
      </c>
      <c r="G12" s="106"/>
      <c r="H12" s="107"/>
      <c r="I12" s="108">
        <v>4</v>
      </c>
      <c r="J12" s="104" t="s">
        <v>528</v>
      </c>
      <c r="K12" s="124" t="s">
        <v>529</v>
      </c>
      <c r="M12" s="109">
        <f>YEAR(Table1[[#This Row],[DATE INCIDENT]])</f>
        <v>2019</v>
      </c>
      <c r="N12" s="109">
        <f>VLOOKUP(M12,'REF GDP Deflator'!$C$36:$E$56,3)</f>
        <v>1.1299999999999999</v>
      </c>
      <c r="O12" s="404">
        <f>Table1[[#This Row],[AMOUNT CLAIMED]]*N12</f>
        <v>66862.020899999989</v>
      </c>
    </row>
    <row r="13" spans="1:15" s="109" customFormat="1" x14ac:dyDescent="0.2">
      <c r="A13" s="122" t="s">
        <v>530</v>
      </c>
      <c r="B13" s="105">
        <v>43917</v>
      </c>
      <c r="C13" s="104" t="s">
        <v>531</v>
      </c>
      <c r="D13" s="104" t="s">
        <v>532</v>
      </c>
      <c r="E13" s="104" t="s">
        <v>533</v>
      </c>
      <c r="F13" s="106">
        <v>28819.81</v>
      </c>
      <c r="G13" s="106"/>
      <c r="H13" s="107"/>
      <c r="I13" s="108">
        <v>8</v>
      </c>
      <c r="J13" s="104" t="s">
        <v>534</v>
      </c>
      <c r="K13" s="124" t="s">
        <v>535</v>
      </c>
      <c r="M13" s="109">
        <f>YEAR(Table1[[#This Row],[DATE INCIDENT]])</f>
        <v>2020</v>
      </c>
      <c r="N13" s="109">
        <f>VLOOKUP(M13,'REF GDP Deflator'!$C$36:$E$56,3)</f>
        <v>1.1200000000000001</v>
      </c>
      <c r="O13" s="404">
        <f>Table1[[#This Row],[AMOUNT CLAIMED]]*N13</f>
        <v>32278.187200000004</v>
      </c>
    </row>
    <row r="14" spans="1:15" hidden="1" x14ac:dyDescent="0.2">
      <c r="A14" s="122" t="s">
        <v>536</v>
      </c>
      <c r="B14" s="105">
        <v>44056</v>
      </c>
      <c r="C14" s="104" t="s">
        <v>537</v>
      </c>
      <c r="D14" s="104" t="s">
        <v>538</v>
      </c>
      <c r="E14" s="104" t="s">
        <v>539</v>
      </c>
      <c r="F14" s="106">
        <v>57749.41</v>
      </c>
      <c r="G14" s="106">
        <v>57749.41</v>
      </c>
      <c r="H14" s="107">
        <v>44529</v>
      </c>
      <c r="I14" s="111">
        <v>2</v>
      </c>
      <c r="J14" s="112" t="s">
        <v>540</v>
      </c>
      <c r="K14" s="125" t="s">
        <v>475</v>
      </c>
      <c r="M14" s="109">
        <f>YEAR(Table1[[#This Row],[DATE INCIDENT]])</f>
        <v>2020</v>
      </c>
      <c r="N14" s="109">
        <f>VLOOKUP(M14,'REF GDP Deflator'!$C$36:$E$56,3)</f>
        <v>1.1200000000000001</v>
      </c>
      <c r="O14" s="404">
        <f>Table1[[#This Row],[AMOUNT CLAIMED]]*N14</f>
        <v>64679.339200000009</v>
      </c>
    </row>
    <row r="15" spans="1:15" ht="13.5" hidden="1" customHeight="1" x14ac:dyDescent="0.2">
      <c r="A15" s="122" t="s">
        <v>541</v>
      </c>
      <c r="B15" s="105">
        <v>44082</v>
      </c>
      <c r="C15" s="104" t="s">
        <v>542</v>
      </c>
      <c r="D15" s="104" t="s">
        <v>543</v>
      </c>
      <c r="E15" s="104" t="s">
        <v>544</v>
      </c>
      <c r="F15" s="106">
        <v>204532.08</v>
      </c>
      <c r="G15" s="106">
        <v>204532.08</v>
      </c>
      <c r="H15" s="107">
        <v>44673</v>
      </c>
      <c r="I15" s="108">
        <v>3</v>
      </c>
      <c r="J15" s="112" t="s">
        <v>545</v>
      </c>
      <c r="K15" s="125" t="s">
        <v>475</v>
      </c>
      <c r="M15" s="109">
        <f>YEAR(Table1[[#This Row],[DATE INCIDENT]])</f>
        <v>2020</v>
      </c>
      <c r="N15" s="109">
        <f>VLOOKUP(M15,'REF GDP Deflator'!$C$36:$E$56,3)</f>
        <v>1.1200000000000001</v>
      </c>
      <c r="O15" s="404">
        <f>Table1[[#This Row],[AMOUNT CLAIMED]]*N15</f>
        <v>229075.9296</v>
      </c>
    </row>
    <row r="16" spans="1:15" x14ac:dyDescent="0.2">
      <c r="A16" s="122" t="s">
        <v>546</v>
      </c>
      <c r="B16" s="105">
        <v>44152</v>
      </c>
      <c r="C16" s="104" t="s">
        <v>547</v>
      </c>
      <c r="D16" s="104" t="s">
        <v>548</v>
      </c>
      <c r="E16" s="104" t="s">
        <v>549</v>
      </c>
      <c r="F16" s="106">
        <v>61207.37</v>
      </c>
      <c r="G16" s="106">
        <v>61207.37</v>
      </c>
      <c r="H16" s="107">
        <v>44676</v>
      </c>
      <c r="I16" s="108">
        <v>8</v>
      </c>
      <c r="J16" s="112" t="s">
        <v>550</v>
      </c>
      <c r="K16" s="127" t="s">
        <v>551</v>
      </c>
      <c r="M16" s="109">
        <f>YEAR(Table1[[#This Row],[DATE INCIDENT]])</f>
        <v>2020</v>
      </c>
      <c r="N16" s="109">
        <f>VLOOKUP(M16,'REF GDP Deflator'!$C$36:$E$56,3)</f>
        <v>1.1200000000000001</v>
      </c>
      <c r="O16" s="404">
        <f>Table1[[#This Row],[AMOUNT CLAIMED]]*N16</f>
        <v>68552.254400000005</v>
      </c>
    </row>
    <row r="17" spans="1:15" hidden="1" x14ac:dyDescent="0.2">
      <c r="A17" s="123" t="s">
        <v>552</v>
      </c>
      <c r="B17" s="114">
        <v>44168</v>
      </c>
      <c r="C17" s="112" t="s">
        <v>553</v>
      </c>
      <c r="D17" s="112" t="s">
        <v>554</v>
      </c>
      <c r="E17" s="112" t="s">
        <v>555</v>
      </c>
      <c r="F17" s="115">
        <v>56289.4</v>
      </c>
      <c r="G17" s="115">
        <v>56289.4</v>
      </c>
      <c r="H17" s="116">
        <v>44782</v>
      </c>
      <c r="I17" s="111">
        <v>4</v>
      </c>
      <c r="J17" s="112" t="s">
        <v>556</v>
      </c>
      <c r="K17" s="127" t="s">
        <v>557</v>
      </c>
      <c r="M17" s="109">
        <f>YEAR(Table1[[#This Row],[DATE INCIDENT]])</f>
        <v>2020</v>
      </c>
      <c r="N17" s="109">
        <f>VLOOKUP(M17,'REF GDP Deflator'!$C$36:$E$56,3)</f>
        <v>1.1200000000000001</v>
      </c>
      <c r="O17" s="404">
        <f>Table1[[#This Row],[AMOUNT CLAIMED]]*N17</f>
        <v>63044.128000000004</v>
      </c>
    </row>
    <row r="18" spans="1:15" s="109" customFormat="1" x14ac:dyDescent="0.2">
      <c r="A18" s="122" t="s">
        <v>558</v>
      </c>
      <c r="B18" s="105">
        <v>44195</v>
      </c>
      <c r="C18" s="104" t="s">
        <v>559</v>
      </c>
      <c r="D18" s="104" t="s">
        <v>560</v>
      </c>
      <c r="E18" s="104" t="s">
        <v>561</v>
      </c>
      <c r="F18" s="106">
        <v>44263.01</v>
      </c>
      <c r="G18" s="106"/>
      <c r="H18" s="107"/>
      <c r="I18" s="108">
        <v>8</v>
      </c>
      <c r="J18" s="104" t="s">
        <v>562</v>
      </c>
      <c r="K18" s="126" t="s">
        <v>475</v>
      </c>
      <c r="M18" s="109">
        <f>YEAR(Table1[[#This Row],[DATE INCIDENT]])</f>
        <v>2020</v>
      </c>
      <c r="N18" s="109">
        <f>VLOOKUP(M18,'REF GDP Deflator'!$C$36:$E$56,3)</f>
        <v>1.1200000000000001</v>
      </c>
      <c r="O18" s="404">
        <f>Table1[[#This Row],[AMOUNT CLAIMED]]*N18</f>
        <v>49574.571200000006</v>
      </c>
    </row>
    <row r="19" spans="1:15" s="109" customFormat="1" hidden="1" x14ac:dyDescent="0.2">
      <c r="A19" s="122" t="s">
        <v>563</v>
      </c>
      <c r="B19" s="117">
        <v>44334</v>
      </c>
      <c r="C19" s="104" t="s">
        <v>564</v>
      </c>
      <c r="D19" s="104" t="s">
        <v>565</v>
      </c>
      <c r="E19" s="104" t="s">
        <v>566</v>
      </c>
      <c r="F19" s="106">
        <v>43560.72</v>
      </c>
      <c r="G19" s="106"/>
      <c r="H19" s="107"/>
      <c r="I19" s="108">
        <v>3</v>
      </c>
      <c r="J19" s="104" t="s">
        <v>567</v>
      </c>
      <c r="K19" s="124" t="s">
        <v>504</v>
      </c>
      <c r="M19" s="109">
        <f>YEAR(Table1[[#This Row],[DATE INCIDENT]])</f>
        <v>2021</v>
      </c>
      <c r="N19" s="109">
        <f>VLOOKUP(M19,'REF GDP Deflator'!$C$36:$E$56,3)</f>
        <v>1.07</v>
      </c>
      <c r="O19" s="404">
        <f>Table1[[#This Row],[AMOUNT CLAIMED]]*N19</f>
        <v>46609.970400000006</v>
      </c>
    </row>
    <row r="20" spans="1:15" hidden="1" x14ac:dyDescent="0.2">
      <c r="A20" s="122" t="s">
        <v>568</v>
      </c>
      <c r="B20" s="117">
        <v>44404</v>
      </c>
      <c r="C20" s="104" t="s">
        <v>569</v>
      </c>
      <c r="D20" s="104" t="s">
        <v>570</v>
      </c>
      <c r="E20" s="104" t="s">
        <v>571</v>
      </c>
      <c r="F20" s="106">
        <v>33778.959999999999</v>
      </c>
      <c r="G20" s="106">
        <v>33778.959999999999</v>
      </c>
      <c r="H20" s="107">
        <v>44858</v>
      </c>
      <c r="I20" s="108">
        <v>7</v>
      </c>
      <c r="J20" s="112" t="s">
        <v>572</v>
      </c>
      <c r="K20" s="125" t="s">
        <v>475</v>
      </c>
      <c r="M20" s="109">
        <f>YEAR(Table1[[#This Row],[DATE INCIDENT]])</f>
        <v>2021</v>
      </c>
      <c r="N20" s="109">
        <f>VLOOKUP(M20,'REF GDP Deflator'!$C$36:$E$56,3)</f>
        <v>1.07</v>
      </c>
      <c r="O20" s="404">
        <f>Table1[[#This Row],[AMOUNT CLAIMED]]*N20</f>
        <v>36143.487200000003</v>
      </c>
    </row>
    <row r="21" spans="1:15" s="109" customFormat="1" hidden="1" x14ac:dyDescent="0.2">
      <c r="A21" s="122" t="s">
        <v>573</v>
      </c>
      <c r="B21" s="117">
        <v>44420</v>
      </c>
      <c r="C21" s="104" t="s">
        <v>574</v>
      </c>
      <c r="D21" s="104" t="s">
        <v>575</v>
      </c>
      <c r="E21" s="104" t="s">
        <v>576</v>
      </c>
      <c r="F21" s="106">
        <v>319679.74</v>
      </c>
      <c r="G21" s="106"/>
      <c r="H21" s="107"/>
      <c r="I21" s="108">
        <v>7</v>
      </c>
      <c r="J21" s="104" t="s">
        <v>577</v>
      </c>
      <c r="K21" s="124" t="s">
        <v>516</v>
      </c>
      <c r="M21" s="109">
        <f>YEAR(Table1[[#This Row],[DATE INCIDENT]])</f>
        <v>2021</v>
      </c>
      <c r="N21" s="109">
        <f>VLOOKUP(M21,'REF GDP Deflator'!$C$36:$E$56,3)</f>
        <v>1.07</v>
      </c>
      <c r="O21" s="404">
        <f>Table1[[#This Row],[AMOUNT CLAIMED]]*N21</f>
        <v>342057.32180000003</v>
      </c>
    </row>
    <row r="22" spans="1:15" s="109" customFormat="1" x14ac:dyDescent="0.2">
      <c r="A22" s="122" t="s">
        <v>578</v>
      </c>
      <c r="B22" s="117">
        <v>44468</v>
      </c>
      <c r="C22" s="104" t="s">
        <v>579</v>
      </c>
      <c r="D22" s="104" t="s">
        <v>580</v>
      </c>
      <c r="E22" s="104" t="s">
        <v>581</v>
      </c>
      <c r="F22" s="106">
        <v>70997.740000000005</v>
      </c>
      <c r="G22" s="106"/>
      <c r="H22" s="107"/>
      <c r="I22" s="108">
        <v>8</v>
      </c>
      <c r="J22" s="104" t="s">
        <v>582</v>
      </c>
      <c r="K22" s="124" t="s">
        <v>583</v>
      </c>
      <c r="M22" s="109">
        <f>YEAR(Table1[[#This Row],[DATE INCIDENT]])</f>
        <v>2021</v>
      </c>
      <c r="N22" s="109">
        <f>VLOOKUP(M22,'REF GDP Deflator'!$C$36:$E$56,3)</f>
        <v>1.07</v>
      </c>
      <c r="O22" s="404">
        <f>Table1[[#This Row],[AMOUNT CLAIMED]]*N22</f>
        <v>75967.581800000014</v>
      </c>
    </row>
    <row r="23" spans="1:15" s="109" customFormat="1" x14ac:dyDescent="0.2">
      <c r="A23" s="122" t="s">
        <v>584</v>
      </c>
      <c r="B23" s="117">
        <v>44491</v>
      </c>
      <c r="C23" s="104" t="s">
        <v>585</v>
      </c>
      <c r="D23" s="104" t="s">
        <v>586</v>
      </c>
      <c r="E23" s="104" t="s">
        <v>587</v>
      </c>
      <c r="F23" s="106">
        <v>33578.06</v>
      </c>
      <c r="G23" s="106">
        <v>33578.06</v>
      </c>
      <c r="H23" s="107">
        <v>44929</v>
      </c>
      <c r="I23" s="108">
        <v>8</v>
      </c>
      <c r="J23" s="104" t="s">
        <v>588</v>
      </c>
      <c r="K23" s="124" t="s">
        <v>589</v>
      </c>
      <c r="M23" s="109">
        <f>YEAR(Table1[[#This Row],[DATE INCIDENT]])</f>
        <v>2021</v>
      </c>
      <c r="N23" s="109">
        <f>VLOOKUP(M23,'REF GDP Deflator'!$C$36:$E$56,3)</f>
        <v>1.07</v>
      </c>
      <c r="O23" s="404">
        <f>Table1[[#This Row],[AMOUNT CLAIMED]]*N23</f>
        <v>35928.5242</v>
      </c>
    </row>
    <row r="24" spans="1:15" s="109" customFormat="1" hidden="1" x14ac:dyDescent="0.2">
      <c r="A24" s="122" t="s">
        <v>590</v>
      </c>
      <c r="B24" s="117">
        <v>44524</v>
      </c>
      <c r="C24" s="104" t="s">
        <v>591</v>
      </c>
      <c r="D24" s="104" t="s">
        <v>592</v>
      </c>
      <c r="E24" s="104" t="s">
        <v>593</v>
      </c>
      <c r="F24" s="106">
        <v>52868.23</v>
      </c>
      <c r="G24" s="106"/>
      <c r="H24" s="107"/>
      <c r="I24" s="108">
        <v>2</v>
      </c>
      <c r="J24" s="104" t="s">
        <v>594</v>
      </c>
      <c r="K24" s="124" t="s">
        <v>595</v>
      </c>
      <c r="M24" s="109">
        <f>YEAR(Table1[[#This Row],[DATE INCIDENT]])</f>
        <v>2021</v>
      </c>
      <c r="N24" s="109">
        <f>VLOOKUP(M24,'REF GDP Deflator'!$C$36:$E$56,3)</f>
        <v>1.07</v>
      </c>
      <c r="O24" s="404">
        <f>Table1[[#This Row],[AMOUNT CLAIMED]]*N24</f>
        <v>56569.006100000006</v>
      </c>
    </row>
    <row r="25" spans="1:15" s="109" customFormat="1" x14ac:dyDescent="0.2">
      <c r="A25" s="122" t="s">
        <v>596</v>
      </c>
      <c r="B25" s="117">
        <v>44561</v>
      </c>
      <c r="C25" s="104" t="s">
        <v>597</v>
      </c>
      <c r="D25" s="104" t="s">
        <v>598</v>
      </c>
      <c r="E25" s="104" t="s">
        <v>467</v>
      </c>
      <c r="F25" s="106"/>
      <c r="G25" s="106"/>
      <c r="H25" s="107"/>
      <c r="I25" s="108">
        <v>8</v>
      </c>
      <c r="J25" s="104" t="s">
        <v>599</v>
      </c>
      <c r="K25" s="124" t="s">
        <v>469</v>
      </c>
      <c r="M25" s="109">
        <f>YEAR(Table1[[#This Row],[DATE INCIDENT]])</f>
        <v>2021</v>
      </c>
      <c r="N25" s="109">
        <f>VLOOKUP(M25,'REF GDP Deflator'!$C$36:$E$56,3)</f>
        <v>1.07</v>
      </c>
      <c r="O25" s="404">
        <f>Table1[[#This Row],[AMOUNT CLAIMED]]*N25</f>
        <v>0</v>
      </c>
    </row>
    <row r="26" spans="1:15" s="109" customFormat="1" hidden="1" x14ac:dyDescent="0.2">
      <c r="A26" s="122" t="s">
        <v>600</v>
      </c>
      <c r="B26" s="117">
        <v>44602</v>
      </c>
      <c r="C26" s="104" t="s">
        <v>601</v>
      </c>
      <c r="D26" s="104" t="s">
        <v>602</v>
      </c>
      <c r="E26" s="104" t="s">
        <v>603</v>
      </c>
      <c r="F26" s="106">
        <v>244323.71</v>
      </c>
      <c r="G26" s="106"/>
      <c r="H26" s="107"/>
      <c r="I26" s="108">
        <v>7</v>
      </c>
      <c r="J26" s="104" t="s">
        <v>604</v>
      </c>
      <c r="K26" s="124" t="s">
        <v>605</v>
      </c>
      <c r="M26" s="109">
        <f>YEAR(Table1[[#This Row],[DATE INCIDENT]])</f>
        <v>2022</v>
      </c>
      <c r="N26" s="109">
        <f>VLOOKUP(M26,'REF GDP Deflator'!$C$36:$E$56,3)</f>
        <v>1</v>
      </c>
      <c r="O26" s="404">
        <f>Table1[[#This Row],[AMOUNT CLAIMED]]*N26</f>
        <v>244323.71</v>
      </c>
    </row>
    <row r="27" spans="1:15" s="109" customFormat="1" hidden="1" x14ac:dyDescent="0.2">
      <c r="A27" s="122" t="s">
        <v>606</v>
      </c>
      <c r="B27" s="117">
        <v>44609</v>
      </c>
      <c r="C27" s="104" t="s">
        <v>607</v>
      </c>
      <c r="D27" s="104" t="s">
        <v>608</v>
      </c>
      <c r="E27" s="104" t="s">
        <v>609</v>
      </c>
      <c r="F27" s="106"/>
      <c r="G27" s="106"/>
      <c r="H27" s="107"/>
      <c r="I27" s="108">
        <v>4</v>
      </c>
      <c r="J27" s="104" t="s">
        <v>610</v>
      </c>
      <c r="K27" s="124" t="s">
        <v>510</v>
      </c>
      <c r="M27" s="109">
        <f>YEAR(Table1[[#This Row],[DATE INCIDENT]])</f>
        <v>2022</v>
      </c>
      <c r="N27" s="109">
        <f>VLOOKUP(M27,'REF GDP Deflator'!$C$36:$E$56,3)</f>
        <v>1</v>
      </c>
      <c r="O27" s="404">
        <f>Table1[[#This Row],[AMOUNT CLAIMED]]*N27</f>
        <v>0</v>
      </c>
    </row>
    <row r="28" spans="1:15" s="109" customFormat="1" x14ac:dyDescent="0.2">
      <c r="A28" s="122" t="s">
        <v>611</v>
      </c>
      <c r="B28" s="117">
        <v>44844</v>
      </c>
      <c r="C28" s="104" t="s">
        <v>612</v>
      </c>
      <c r="D28" s="104" t="s">
        <v>613</v>
      </c>
      <c r="E28" s="104" t="s">
        <v>614</v>
      </c>
      <c r="F28" s="106"/>
      <c r="G28" s="106"/>
      <c r="H28" s="107"/>
      <c r="I28" s="108">
        <v>8</v>
      </c>
      <c r="J28" s="104" t="s">
        <v>615</v>
      </c>
      <c r="K28" s="124" t="s">
        <v>616</v>
      </c>
      <c r="M28" s="109">
        <f>YEAR(Table1[[#This Row],[DATE INCIDENT]])</f>
        <v>2022</v>
      </c>
      <c r="N28" s="109">
        <f>VLOOKUP(M28,'REF GDP Deflator'!$C$36:$E$56,3)</f>
        <v>1</v>
      </c>
      <c r="O28" s="404">
        <f>Table1[[#This Row],[AMOUNT CLAIMED]]*N28</f>
        <v>0</v>
      </c>
    </row>
    <row r="29" spans="1:15" s="109" customFormat="1" hidden="1" x14ac:dyDescent="0.2">
      <c r="A29" s="136" t="s">
        <v>617</v>
      </c>
      <c r="B29" s="137">
        <v>44938</v>
      </c>
      <c r="C29" s="138" t="s">
        <v>618</v>
      </c>
      <c r="D29" s="138" t="s">
        <v>619</v>
      </c>
      <c r="E29" s="138" t="s">
        <v>620</v>
      </c>
      <c r="F29" s="139"/>
      <c r="G29" s="139"/>
      <c r="H29" s="140"/>
      <c r="I29" s="141">
        <v>3</v>
      </c>
      <c r="J29" s="138"/>
      <c r="K29" s="142"/>
    </row>
    <row r="33" spans="5:7" x14ac:dyDescent="0.2">
      <c r="E33" s="103" t="s">
        <v>621</v>
      </c>
    </row>
    <row r="34" spans="5:7" x14ac:dyDescent="0.2">
      <c r="E34" s="113" t="s">
        <v>622</v>
      </c>
      <c r="F34" s="119">
        <f>O2+O4+O7+O13+O16+O18+O22+O23</f>
        <v>1496486.8837000001</v>
      </c>
    </row>
    <row r="35" spans="5:7" x14ac:dyDescent="0.2">
      <c r="E35" s="113" t="s">
        <v>623</v>
      </c>
      <c r="F35" s="264">
        <v>8</v>
      </c>
    </row>
    <row r="36" spans="5:7" x14ac:dyDescent="0.2">
      <c r="E36" s="113" t="s">
        <v>624</v>
      </c>
      <c r="F36" s="119">
        <f>F34/F35</f>
        <v>187060.86046250002</v>
      </c>
      <c r="G36" s="403"/>
    </row>
  </sheetData>
  <sheetProtection selectLockedCells="1" selectUnlockedCells="1"/>
  <printOptions gridLines="1"/>
  <pageMargins left="0.75" right="0.75" top="1" bottom="1" header="0.5" footer="0.5"/>
  <pageSetup paperSize="5" scale="66" fitToHeight="0" orientation="landscape" r:id="rId1"/>
  <headerFooter alignWithMargins="0"/>
  <colBreaks count="1" manualBreakCount="1">
    <brk id="2" max="1048575" man="1"/>
  </colBreak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569B-2D48-4044-B6AE-31F034CBE803}">
  <sheetPr>
    <tabColor theme="2" tint="-0.249977111117893"/>
  </sheetPr>
  <dimension ref="B2:I56"/>
  <sheetViews>
    <sheetView topLeftCell="A13" workbookViewId="0">
      <selection activeCell="E56" sqref="E56"/>
    </sheetView>
  </sheetViews>
  <sheetFormatPr defaultRowHeight="15" x14ac:dyDescent="0.25"/>
  <cols>
    <col min="4" max="4" width="31.85546875" customWidth="1"/>
    <col min="5" max="5" width="9.5703125" bestFit="1" customWidth="1"/>
  </cols>
  <sheetData>
    <row r="2" spans="2:3" x14ac:dyDescent="0.25">
      <c r="B2" t="s">
        <v>389</v>
      </c>
      <c r="C2" s="160" t="s">
        <v>625</v>
      </c>
    </row>
    <row r="31" spans="9:9" x14ac:dyDescent="0.25">
      <c r="I31">
        <v>2020</v>
      </c>
    </row>
    <row r="35" spans="3:5" x14ac:dyDescent="0.25">
      <c r="C35" t="s">
        <v>44</v>
      </c>
      <c r="D35" t="s">
        <v>626</v>
      </c>
      <c r="E35" t="s">
        <v>627</v>
      </c>
    </row>
    <row r="36" spans="3:5" x14ac:dyDescent="0.25">
      <c r="C36">
        <v>2003</v>
      </c>
      <c r="D36" t="s">
        <v>628</v>
      </c>
      <c r="E36" s="91">
        <f>'REF USDOT BCA 2024 Guidlines'!C116</f>
        <v>1.53</v>
      </c>
    </row>
    <row r="37" spans="3:5" x14ac:dyDescent="0.25">
      <c r="C37">
        <v>2004</v>
      </c>
      <c r="D37" t="s">
        <v>628</v>
      </c>
      <c r="E37" s="91">
        <f>'REF USDOT BCA 2024 Guidlines'!C117</f>
        <v>1.49</v>
      </c>
    </row>
    <row r="38" spans="3:5" x14ac:dyDescent="0.25">
      <c r="C38">
        <v>2005</v>
      </c>
      <c r="D38" t="s">
        <v>628</v>
      </c>
      <c r="E38" s="91">
        <f>'REF USDOT BCA 2024 Guidlines'!C118</f>
        <v>1.45</v>
      </c>
    </row>
    <row r="39" spans="3:5" x14ac:dyDescent="0.25">
      <c r="C39">
        <v>2006</v>
      </c>
      <c r="D39" t="s">
        <v>628</v>
      </c>
      <c r="E39" s="91">
        <f>'REF USDOT BCA 2024 Guidlines'!C119</f>
        <v>1.4</v>
      </c>
    </row>
    <row r="40" spans="3:5" x14ac:dyDescent="0.25">
      <c r="C40">
        <v>2007</v>
      </c>
      <c r="D40" t="s">
        <v>628</v>
      </c>
      <c r="E40" s="91">
        <f>'REF USDOT BCA 2024 Guidlines'!C120</f>
        <v>1.37</v>
      </c>
    </row>
    <row r="41" spans="3:5" x14ac:dyDescent="0.25">
      <c r="C41">
        <v>2008</v>
      </c>
      <c r="D41" t="s">
        <v>628</v>
      </c>
      <c r="E41" s="91">
        <f>'REF USDOT BCA 2024 Guidlines'!C121</f>
        <v>1.34</v>
      </c>
    </row>
    <row r="42" spans="3:5" x14ac:dyDescent="0.25">
      <c r="C42">
        <v>2009</v>
      </c>
      <c r="D42" t="s">
        <v>628</v>
      </c>
      <c r="E42" s="91">
        <f>'REF USDOT BCA 2024 Guidlines'!C122</f>
        <v>1.33</v>
      </c>
    </row>
    <row r="43" spans="3:5" x14ac:dyDescent="0.25">
      <c r="C43">
        <v>2010</v>
      </c>
      <c r="D43" t="s">
        <v>628</v>
      </c>
      <c r="E43" s="91">
        <f>'REF USDOT BCA 2024 Guidlines'!C123</f>
        <v>1.32</v>
      </c>
    </row>
    <row r="44" spans="3:5" x14ac:dyDescent="0.25">
      <c r="C44">
        <v>2011</v>
      </c>
      <c r="D44" t="s">
        <v>628</v>
      </c>
      <c r="E44" s="91">
        <f>'REF USDOT BCA 2024 Guidlines'!C124</f>
        <v>1.29</v>
      </c>
    </row>
    <row r="45" spans="3:5" x14ac:dyDescent="0.25">
      <c r="C45">
        <v>2012</v>
      </c>
      <c r="D45" t="s">
        <v>628</v>
      </c>
      <c r="E45" s="91">
        <f>'REF USDOT BCA 2024 Guidlines'!C125</f>
        <v>1.27</v>
      </c>
    </row>
    <row r="46" spans="3:5" x14ac:dyDescent="0.25">
      <c r="C46">
        <v>2013</v>
      </c>
      <c r="D46" t="s">
        <v>628</v>
      </c>
      <c r="E46" s="91">
        <f>'REF USDOT BCA 2024 Guidlines'!C126</f>
        <v>1.24</v>
      </c>
    </row>
    <row r="47" spans="3:5" x14ac:dyDescent="0.25">
      <c r="C47">
        <v>2014</v>
      </c>
      <c r="D47" t="s">
        <v>628</v>
      </c>
      <c r="E47" s="91">
        <f>'REF USDOT BCA 2024 Guidlines'!C127</f>
        <v>1.22</v>
      </c>
    </row>
    <row r="48" spans="3:5" x14ac:dyDescent="0.25">
      <c r="C48">
        <v>2015</v>
      </c>
      <c r="D48" t="s">
        <v>628</v>
      </c>
      <c r="E48" s="91">
        <f>'REF USDOT BCA 2024 Guidlines'!C128</f>
        <v>1.21</v>
      </c>
    </row>
    <row r="49" spans="3:5" x14ac:dyDescent="0.25">
      <c r="C49">
        <v>2016</v>
      </c>
      <c r="D49" t="s">
        <v>628</v>
      </c>
      <c r="E49" s="91">
        <f>'REF USDOT BCA 2024 Guidlines'!C129</f>
        <v>1.2</v>
      </c>
    </row>
    <row r="50" spans="3:5" x14ac:dyDescent="0.25">
      <c r="C50">
        <v>2017</v>
      </c>
      <c r="D50" t="s">
        <v>628</v>
      </c>
      <c r="E50" s="91">
        <f>'REF USDOT BCA 2024 Guidlines'!C130</f>
        <v>1.18</v>
      </c>
    </row>
    <row r="51" spans="3:5" x14ac:dyDescent="0.25">
      <c r="C51">
        <v>2018</v>
      </c>
      <c r="D51" t="s">
        <v>628</v>
      </c>
      <c r="E51" s="91">
        <f>'REF USDOT BCA 2024 Guidlines'!C131</f>
        <v>1.1499999999999999</v>
      </c>
    </row>
    <row r="52" spans="3:5" x14ac:dyDescent="0.25">
      <c r="C52">
        <v>2019</v>
      </c>
      <c r="D52" t="s">
        <v>628</v>
      </c>
      <c r="E52" s="91">
        <f>'REF USDOT BCA 2024 Guidlines'!C132</f>
        <v>1.1299999999999999</v>
      </c>
    </row>
    <row r="53" spans="3:5" x14ac:dyDescent="0.25">
      <c r="C53">
        <v>2020</v>
      </c>
      <c r="D53" t="s">
        <v>628</v>
      </c>
      <c r="E53" s="91">
        <f>'REF USDOT BCA 2024 Guidlines'!C133</f>
        <v>1.1200000000000001</v>
      </c>
    </row>
    <row r="54" spans="3:5" x14ac:dyDescent="0.25">
      <c r="C54">
        <v>2021</v>
      </c>
      <c r="D54" t="s">
        <v>628</v>
      </c>
      <c r="E54" s="91">
        <f>'REF USDOT BCA 2024 Guidlines'!C134</f>
        <v>1.07</v>
      </c>
    </row>
    <row r="55" spans="3:5" x14ac:dyDescent="0.25">
      <c r="C55">
        <v>2022</v>
      </c>
      <c r="D55" s="229">
        <v>25029.1</v>
      </c>
      <c r="E55" s="91">
        <f>'REF USDOT BCA 2024 Guidlines'!C135</f>
        <v>1</v>
      </c>
    </row>
    <row r="56" spans="3:5" x14ac:dyDescent="0.25">
      <c r="C56">
        <v>2023</v>
      </c>
      <c r="D56" s="229">
        <v>26813.599999999999</v>
      </c>
      <c r="E56" s="91">
        <f>$D$55/D56</f>
        <v>0.93344795178566098</v>
      </c>
    </row>
  </sheetData>
  <hyperlinks>
    <hyperlink ref="C2" r:id="rId1" location="eyJhcHBpZCI6MTksInN0ZXBzIjpbMSwyLDNdLCJkYXRhIjpbWyJOSVBBX1RhYmxlX0xpc3QiLCI1Il0sWyJDYXRlZ29yaWVzIiwiU3VydmV5Il1dfQ==" xr:uid="{59755D55-5B3D-437E-BED0-17AC76C58FA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EBE6-68EA-4AE9-BBB9-12F1E96040D7}">
  <sheetPr>
    <tabColor rgb="FF0070C0"/>
  </sheetPr>
  <dimension ref="A1:AS78"/>
  <sheetViews>
    <sheetView workbookViewId="0">
      <pane xSplit="4" ySplit="11" topLeftCell="I35" activePane="bottomRight" state="frozen"/>
      <selection pane="topRight" activeCell="E1" sqref="E1"/>
      <selection pane="bottomLeft" activeCell="A12" sqref="A12"/>
      <selection pane="bottomRight" activeCell="O71" sqref="O71"/>
    </sheetView>
  </sheetViews>
  <sheetFormatPr defaultColWidth="0" defaultRowHeight="14.25" x14ac:dyDescent="0.2"/>
  <cols>
    <col min="1" max="1" width="10.42578125" style="1" customWidth="1"/>
    <col min="2" max="2" width="32.5703125" style="1" bestFit="1" customWidth="1"/>
    <col min="3" max="3" width="15.425781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265" t="str">
        <f>Summary!$A$1</f>
        <v>Multimodal Improvements to Safely Connect Tulsa at US-75 and 81st Street Interchange</v>
      </c>
    </row>
    <row r="2" spans="1:44" ht="19.5" x14ac:dyDescent="0.3">
      <c r="A2" s="265" t="s">
        <v>191</v>
      </c>
      <c r="C2" s="12"/>
    </row>
    <row r="3" spans="1:44" x14ac:dyDescent="0.2">
      <c r="A3" s="45">
        <f ca="1">Summary!A3</f>
        <v>45345</v>
      </c>
      <c r="C3" s="12"/>
    </row>
    <row r="4" spans="1:44" x14ac:dyDescent="0.2">
      <c r="A4" s="46" t="str">
        <f>Summary!A4</f>
        <v>All $ values 2022, unless otherwise noted</v>
      </c>
      <c r="C4" s="12"/>
    </row>
    <row r="5" spans="1:44" x14ac:dyDescent="0.2">
      <c r="B5" s="59"/>
      <c r="C5" s="12"/>
    </row>
    <row r="6" spans="1:44" x14ac:dyDescent="0.2">
      <c r="C6" s="1" t="s">
        <v>38</v>
      </c>
      <c r="D6" s="1" t="s">
        <v>39</v>
      </c>
    </row>
    <row r="7" spans="1:44" s="266" customFormat="1" x14ac:dyDescent="0.2">
      <c r="A7" s="266" t="s">
        <v>192</v>
      </c>
      <c r="C7" s="266" t="s">
        <v>192</v>
      </c>
      <c r="F7" s="266">
        <f>Inputs!$E$12</f>
        <v>2018</v>
      </c>
      <c r="G7" s="266">
        <f>F7+1</f>
        <v>2019</v>
      </c>
      <c r="H7" s="266">
        <f t="shared" ref="H7:W8" si="0">G7+1</f>
        <v>2020</v>
      </c>
      <c r="I7" s="266">
        <f t="shared" si="0"/>
        <v>2021</v>
      </c>
      <c r="J7" s="266">
        <f t="shared" si="0"/>
        <v>2022</v>
      </c>
      <c r="K7" s="266">
        <f t="shared" si="0"/>
        <v>2023</v>
      </c>
      <c r="L7" s="266">
        <f t="shared" si="0"/>
        <v>2024</v>
      </c>
      <c r="M7" s="266">
        <f t="shared" si="0"/>
        <v>2025</v>
      </c>
      <c r="N7" s="266">
        <f t="shared" si="0"/>
        <v>2026</v>
      </c>
      <c r="O7" s="266">
        <f t="shared" si="0"/>
        <v>2027</v>
      </c>
      <c r="P7" s="266">
        <f t="shared" si="0"/>
        <v>2028</v>
      </c>
      <c r="Q7" s="266">
        <f t="shared" si="0"/>
        <v>2029</v>
      </c>
      <c r="R7" s="266">
        <f t="shared" si="0"/>
        <v>2030</v>
      </c>
      <c r="S7" s="266">
        <f t="shared" si="0"/>
        <v>2031</v>
      </c>
      <c r="T7" s="266">
        <f t="shared" si="0"/>
        <v>2032</v>
      </c>
      <c r="U7" s="266">
        <f t="shared" si="0"/>
        <v>2033</v>
      </c>
      <c r="V7" s="266">
        <f t="shared" si="0"/>
        <v>2034</v>
      </c>
      <c r="W7" s="266">
        <f t="shared" si="0"/>
        <v>2035</v>
      </c>
      <c r="X7" s="266">
        <f t="shared" ref="X7:AM8" si="1">W7+1</f>
        <v>2036</v>
      </c>
      <c r="Y7" s="266">
        <f t="shared" si="1"/>
        <v>2037</v>
      </c>
      <c r="Z7" s="266">
        <f t="shared" si="1"/>
        <v>2038</v>
      </c>
      <c r="AA7" s="266">
        <f t="shared" si="1"/>
        <v>2039</v>
      </c>
      <c r="AB7" s="266">
        <f t="shared" si="1"/>
        <v>2040</v>
      </c>
      <c r="AC7" s="266">
        <f t="shared" si="1"/>
        <v>2041</v>
      </c>
      <c r="AD7" s="266">
        <f t="shared" si="1"/>
        <v>2042</v>
      </c>
      <c r="AE7" s="266">
        <f t="shared" si="1"/>
        <v>2043</v>
      </c>
      <c r="AF7" s="266">
        <f t="shared" si="1"/>
        <v>2044</v>
      </c>
      <c r="AG7" s="266">
        <f t="shared" si="1"/>
        <v>2045</v>
      </c>
      <c r="AH7" s="266">
        <f t="shared" si="1"/>
        <v>2046</v>
      </c>
      <c r="AI7" s="266">
        <f t="shared" si="1"/>
        <v>2047</v>
      </c>
      <c r="AJ7" s="266">
        <f t="shared" si="1"/>
        <v>2048</v>
      </c>
      <c r="AK7" s="266">
        <f t="shared" si="1"/>
        <v>2049</v>
      </c>
      <c r="AL7" s="266">
        <f t="shared" si="1"/>
        <v>2050</v>
      </c>
      <c r="AM7" s="266">
        <f t="shared" si="1"/>
        <v>2051</v>
      </c>
      <c r="AN7" s="266">
        <f t="shared" ref="AN7:AR8" si="2">AM7+1</f>
        <v>2052</v>
      </c>
      <c r="AO7" s="266">
        <f t="shared" si="2"/>
        <v>2053</v>
      </c>
      <c r="AP7" s="266">
        <f t="shared" si="2"/>
        <v>2054</v>
      </c>
      <c r="AQ7" s="266">
        <f t="shared" si="2"/>
        <v>2055</v>
      </c>
      <c r="AR7" s="266">
        <f t="shared" si="2"/>
        <v>2056</v>
      </c>
    </row>
    <row r="8" spans="1:44" hidden="1" x14ac:dyDescent="0.2">
      <c r="B8" s="1" t="s">
        <v>193</v>
      </c>
      <c r="C8" s="12"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hidden="1" x14ac:dyDescent="0.2">
      <c r="B9" s="1" t="s">
        <v>194</v>
      </c>
      <c r="C9" s="12"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hidden="1" x14ac:dyDescent="0.2">
      <c r="B10" s="1" t="s">
        <v>196</v>
      </c>
      <c r="C10" s="12"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hidden="1" x14ac:dyDescent="0.2">
      <c r="B11" s="1" t="s">
        <v>197</v>
      </c>
      <c r="C11" s="12"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2"/>
    </row>
    <row r="13" spans="1:44" x14ac:dyDescent="0.2">
      <c r="B13" s="1" t="s">
        <v>199</v>
      </c>
      <c r="C13" s="12"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2"/>
    </row>
    <row r="15" spans="1:44" x14ac:dyDescent="0.2">
      <c r="B15" s="1" t="s">
        <v>59</v>
      </c>
      <c r="C15" s="12"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2"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2"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266" customFormat="1" x14ac:dyDescent="0.2">
      <c r="A20" s="267" t="s">
        <v>201</v>
      </c>
    </row>
    <row r="21" spans="1:44" ht="15" x14ac:dyDescent="0.25">
      <c r="A21" s="2" t="s">
        <v>202</v>
      </c>
    </row>
    <row r="22" spans="1:44" x14ac:dyDescent="0.2">
      <c r="B22" s="1" t="s">
        <v>19</v>
      </c>
      <c r="C22" s="76" t="s">
        <v>72</v>
      </c>
      <c r="D22" s="75">
        <f t="shared" ref="D22:D27" si="13">SUM(F22:AR22)</f>
        <v>0</v>
      </c>
      <c r="F22" s="16">
        <v>0</v>
      </c>
      <c r="G22" s="16">
        <v>0</v>
      </c>
      <c r="H22" s="16">
        <v>0</v>
      </c>
      <c r="I22" s="16">
        <v>0</v>
      </c>
      <c r="J22" s="16">
        <v>0</v>
      </c>
      <c r="K22" s="16">
        <v>0</v>
      </c>
      <c r="L22" s="16">
        <v>0</v>
      </c>
      <c r="M22" s="16">
        <v>0</v>
      </c>
      <c r="N22" s="16">
        <v>0</v>
      </c>
      <c r="O22" s="16">
        <v>0</v>
      </c>
      <c r="P22" s="16">
        <v>0</v>
      </c>
      <c r="Q22" s="16">
        <v>0</v>
      </c>
      <c r="R22" s="16">
        <v>0</v>
      </c>
      <c r="S22" s="16">
        <v>0</v>
      </c>
      <c r="T22" s="16">
        <v>0</v>
      </c>
      <c r="U22" s="16">
        <v>0</v>
      </c>
      <c r="V22" s="16">
        <v>0</v>
      </c>
      <c r="W22" s="16">
        <v>0</v>
      </c>
      <c r="X22" s="16">
        <v>0</v>
      </c>
      <c r="Y22" s="16">
        <v>0</v>
      </c>
      <c r="Z22" s="16">
        <v>0</v>
      </c>
      <c r="AA22" s="16">
        <v>0</v>
      </c>
      <c r="AB22" s="16">
        <v>0</v>
      </c>
      <c r="AC22" s="16">
        <v>0</v>
      </c>
      <c r="AD22" s="16">
        <v>0</v>
      </c>
      <c r="AE22" s="16">
        <v>0</v>
      </c>
      <c r="AF22" s="16">
        <v>0</v>
      </c>
      <c r="AG22" s="16">
        <v>0</v>
      </c>
      <c r="AH22" s="16">
        <v>0</v>
      </c>
      <c r="AI22" s="16">
        <v>0</v>
      </c>
      <c r="AJ22" s="16">
        <v>0</v>
      </c>
      <c r="AK22" s="16">
        <v>0</v>
      </c>
      <c r="AL22" s="16">
        <v>0</v>
      </c>
      <c r="AM22" s="16">
        <v>0</v>
      </c>
      <c r="AN22" s="16">
        <v>0</v>
      </c>
      <c r="AO22" s="16">
        <v>0</v>
      </c>
      <c r="AP22" s="16">
        <v>0</v>
      </c>
      <c r="AQ22" s="16">
        <v>0</v>
      </c>
      <c r="AR22" s="16">
        <v>0</v>
      </c>
    </row>
    <row r="23" spans="1:44" x14ac:dyDescent="0.2">
      <c r="B23" s="1" t="s">
        <v>203</v>
      </c>
      <c r="C23" s="76" t="s">
        <v>72</v>
      </c>
      <c r="D23" s="75">
        <f t="shared" si="13"/>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v>0</v>
      </c>
      <c r="AH23" s="16">
        <v>0</v>
      </c>
      <c r="AI23" s="16">
        <v>0</v>
      </c>
      <c r="AJ23" s="16">
        <v>0</v>
      </c>
      <c r="AK23" s="16">
        <v>0</v>
      </c>
      <c r="AL23" s="16">
        <v>0</v>
      </c>
      <c r="AM23" s="16">
        <v>0</v>
      </c>
      <c r="AN23" s="16">
        <v>0</v>
      </c>
      <c r="AO23" s="16">
        <v>0</v>
      </c>
      <c r="AP23" s="16">
        <v>0</v>
      </c>
      <c r="AQ23" s="16">
        <v>0</v>
      </c>
      <c r="AR23" s="16">
        <v>0</v>
      </c>
    </row>
    <row r="24" spans="1:44" x14ac:dyDescent="0.2">
      <c r="B24" s="1" t="s">
        <v>204</v>
      </c>
      <c r="C24" s="76" t="s">
        <v>72</v>
      </c>
      <c r="D24" s="75">
        <f t="shared" si="13"/>
        <v>0</v>
      </c>
      <c r="F24" s="16">
        <v>0</v>
      </c>
      <c r="G24" s="16">
        <v>0</v>
      </c>
      <c r="H24" s="16">
        <v>0</v>
      </c>
      <c r="I24" s="16">
        <v>0</v>
      </c>
      <c r="J24" s="16">
        <v>0</v>
      </c>
      <c r="K24" s="16">
        <v>0</v>
      </c>
      <c r="L24" s="16">
        <v>0</v>
      </c>
      <c r="M24" s="16">
        <v>0</v>
      </c>
      <c r="N24" s="16">
        <v>0</v>
      </c>
      <c r="O24" s="16">
        <v>0</v>
      </c>
      <c r="P24" s="16">
        <v>0</v>
      </c>
      <c r="Q24" s="16">
        <v>0</v>
      </c>
      <c r="R24" s="16">
        <v>0</v>
      </c>
      <c r="S24" s="16">
        <v>0</v>
      </c>
      <c r="T24" s="16">
        <v>0</v>
      </c>
      <c r="U24" s="16">
        <v>0</v>
      </c>
      <c r="V24" s="16">
        <v>0</v>
      </c>
      <c r="W24" s="16">
        <v>0</v>
      </c>
      <c r="X24" s="16">
        <v>0</v>
      </c>
      <c r="Y24" s="16">
        <v>0</v>
      </c>
      <c r="Z24" s="16">
        <v>0</v>
      </c>
      <c r="AA24" s="16">
        <v>0</v>
      </c>
      <c r="AB24" s="16">
        <v>0</v>
      </c>
      <c r="AC24" s="16">
        <v>0</v>
      </c>
      <c r="AD24" s="16">
        <v>0</v>
      </c>
      <c r="AE24" s="16">
        <v>0</v>
      </c>
      <c r="AF24" s="16">
        <v>0</v>
      </c>
      <c r="AG24" s="16">
        <v>0</v>
      </c>
      <c r="AH24" s="16">
        <v>0</v>
      </c>
      <c r="AI24" s="16">
        <v>0</v>
      </c>
      <c r="AJ24" s="16">
        <v>0</v>
      </c>
      <c r="AK24" s="16">
        <v>0</v>
      </c>
      <c r="AL24" s="16">
        <v>0</v>
      </c>
      <c r="AM24" s="16">
        <v>0</v>
      </c>
      <c r="AN24" s="16">
        <v>0</v>
      </c>
      <c r="AO24" s="16">
        <v>0</v>
      </c>
      <c r="AP24" s="16">
        <v>0</v>
      </c>
      <c r="AQ24" s="16">
        <v>0</v>
      </c>
      <c r="AR24" s="16">
        <v>0</v>
      </c>
    </row>
    <row r="25" spans="1:44" x14ac:dyDescent="0.2">
      <c r="B25" s="1" t="s">
        <v>205</v>
      </c>
      <c r="C25" s="76" t="s">
        <v>72</v>
      </c>
      <c r="D25" s="75">
        <f t="shared" si="13"/>
        <v>0</v>
      </c>
      <c r="F25" s="16">
        <v>0</v>
      </c>
      <c r="G25" s="16">
        <v>0</v>
      </c>
      <c r="H25" s="16">
        <v>0</v>
      </c>
      <c r="I25" s="16">
        <v>0</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6">
        <v>0</v>
      </c>
      <c r="AP25" s="16">
        <v>0</v>
      </c>
      <c r="AQ25" s="16">
        <v>0</v>
      </c>
      <c r="AR25" s="16">
        <v>0</v>
      </c>
    </row>
    <row r="26" spans="1:44" x14ac:dyDescent="0.2">
      <c r="B26" s="58" t="s">
        <v>206</v>
      </c>
      <c r="C26" s="84" t="s">
        <v>72</v>
      </c>
      <c r="D26" s="85">
        <f t="shared" si="13"/>
        <v>0</v>
      </c>
      <c r="E26" s="58"/>
      <c r="F26" s="86">
        <v>0</v>
      </c>
      <c r="G26" s="86">
        <v>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6">
        <v>0</v>
      </c>
      <c r="Y26" s="86">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row>
    <row r="27" spans="1:44" x14ac:dyDescent="0.2">
      <c r="B27" s="1" t="s">
        <v>207</v>
      </c>
      <c r="C27" s="76" t="s">
        <v>72</v>
      </c>
      <c r="D27" s="75">
        <f t="shared" si="13"/>
        <v>0</v>
      </c>
      <c r="F27" s="16">
        <f>SUM(F22:F26)</f>
        <v>0</v>
      </c>
      <c r="G27" s="16">
        <f t="shared" ref="G27:AR27" si="14">SUM(G22:G26)</f>
        <v>0</v>
      </c>
      <c r="H27" s="16">
        <f t="shared" si="14"/>
        <v>0</v>
      </c>
      <c r="I27" s="16">
        <f t="shared" si="14"/>
        <v>0</v>
      </c>
      <c r="J27" s="16">
        <f t="shared" si="14"/>
        <v>0</v>
      </c>
      <c r="K27" s="16">
        <f t="shared" si="14"/>
        <v>0</v>
      </c>
      <c r="L27" s="16">
        <f t="shared" si="14"/>
        <v>0</v>
      </c>
      <c r="M27" s="16">
        <f t="shared" si="14"/>
        <v>0</v>
      </c>
      <c r="N27" s="16">
        <f t="shared" si="14"/>
        <v>0</v>
      </c>
      <c r="O27" s="16">
        <f t="shared" si="14"/>
        <v>0</v>
      </c>
      <c r="P27" s="16">
        <f t="shared" si="14"/>
        <v>0</v>
      </c>
      <c r="Q27" s="16">
        <f t="shared" si="14"/>
        <v>0</v>
      </c>
      <c r="R27" s="16">
        <f t="shared" si="14"/>
        <v>0</v>
      </c>
      <c r="S27" s="16">
        <f t="shared" si="14"/>
        <v>0</v>
      </c>
      <c r="T27" s="16">
        <f t="shared" si="14"/>
        <v>0</v>
      </c>
      <c r="U27" s="16">
        <f t="shared" si="14"/>
        <v>0</v>
      </c>
      <c r="V27" s="16">
        <f t="shared" si="14"/>
        <v>0</v>
      </c>
      <c r="W27" s="16">
        <f t="shared" si="14"/>
        <v>0</v>
      </c>
      <c r="X27" s="16">
        <f t="shared" si="14"/>
        <v>0</v>
      </c>
      <c r="Y27" s="16">
        <f t="shared" si="14"/>
        <v>0</v>
      </c>
      <c r="Z27" s="16">
        <f t="shared" si="14"/>
        <v>0</v>
      </c>
      <c r="AA27" s="16">
        <f t="shared" si="14"/>
        <v>0</v>
      </c>
      <c r="AB27" s="16">
        <f t="shared" si="14"/>
        <v>0</v>
      </c>
      <c r="AC27" s="16">
        <f t="shared" si="14"/>
        <v>0</v>
      </c>
      <c r="AD27" s="16">
        <f t="shared" si="14"/>
        <v>0</v>
      </c>
      <c r="AE27" s="16">
        <f t="shared" si="14"/>
        <v>0</v>
      </c>
      <c r="AF27" s="16">
        <f t="shared" si="14"/>
        <v>0</v>
      </c>
      <c r="AG27" s="16">
        <f t="shared" si="14"/>
        <v>0</v>
      </c>
      <c r="AH27" s="16">
        <f t="shared" si="14"/>
        <v>0</v>
      </c>
      <c r="AI27" s="16">
        <f t="shared" si="14"/>
        <v>0</v>
      </c>
      <c r="AJ27" s="16">
        <f t="shared" si="14"/>
        <v>0</v>
      </c>
      <c r="AK27" s="16">
        <f t="shared" si="14"/>
        <v>0</v>
      </c>
      <c r="AL27" s="16">
        <f t="shared" si="14"/>
        <v>0</v>
      </c>
      <c r="AM27" s="16">
        <f t="shared" si="14"/>
        <v>0</v>
      </c>
      <c r="AN27" s="16">
        <f t="shared" si="14"/>
        <v>0</v>
      </c>
      <c r="AO27" s="16">
        <f t="shared" si="14"/>
        <v>0</v>
      </c>
      <c r="AP27" s="16">
        <f t="shared" si="14"/>
        <v>0</v>
      </c>
      <c r="AQ27" s="16">
        <f t="shared" si="14"/>
        <v>0</v>
      </c>
      <c r="AR27" s="16">
        <f t="shared" si="14"/>
        <v>0</v>
      </c>
    </row>
    <row r="28" spans="1:44" x14ac:dyDescent="0.2">
      <c r="C28" s="12"/>
    </row>
    <row r="29" spans="1:44" ht="15" x14ac:dyDescent="0.25">
      <c r="B29" s="2" t="s">
        <v>208</v>
      </c>
      <c r="C29" s="12"/>
    </row>
    <row r="30" spans="1:44" x14ac:dyDescent="0.2">
      <c r="B30" s="1" t="s">
        <v>209</v>
      </c>
      <c r="C30" s="76" t="s">
        <v>72</v>
      </c>
      <c r="D30" s="75">
        <f>SUM(F30:AR30)</f>
        <v>0</v>
      </c>
      <c r="E30" s="16"/>
      <c r="F30" s="16">
        <f>F27*F$15</f>
        <v>0</v>
      </c>
      <c r="G30" s="16">
        <f t="shared" ref="G30:AR30" si="15">G27*G$15</f>
        <v>0</v>
      </c>
      <c r="H30" s="16">
        <f t="shared" si="15"/>
        <v>0</v>
      </c>
      <c r="I30" s="16">
        <f t="shared" si="15"/>
        <v>0</v>
      </c>
      <c r="J30" s="16">
        <f t="shared" si="15"/>
        <v>0</v>
      </c>
      <c r="K30" s="16">
        <f t="shared" si="15"/>
        <v>0</v>
      </c>
      <c r="L30" s="16">
        <f t="shared" si="15"/>
        <v>0</v>
      </c>
      <c r="M30" s="16">
        <f t="shared" si="15"/>
        <v>0</v>
      </c>
      <c r="N30" s="16">
        <f t="shared" si="15"/>
        <v>0</v>
      </c>
      <c r="O30" s="16">
        <f t="shared" si="15"/>
        <v>0</v>
      </c>
      <c r="P30" s="16">
        <f t="shared" si="15"/>
        <v>0</v>
      </c>
      <c r="Q30" s="16">
        <f t="shared" si="15"/>
        <v>0</v>
      </c>
      <c r="R30" s="16">
        <f t="shared" si="15"/>
        <v>0</v>
      </c>
      <c r="S30" s="16">
        <f t="shared" si="15"/>
        <v>0</v>
      </c>
      <c r="T30" s="16">
        <f t="shared" si="15"/>
        <v>0</v>
      </c>
      <c r="U30" s="16">
        <f t="shared" si="15"/>
        <v>0</v>
      </c>
      <c r="V30" s="16">
        <f t="shared" si="15"/>
        <v>0</v>
      </c>
      <c r="W30" s="16">
        <f t="shared" si="15"/>
        <v>0</v>
      </c>
      <c r="X30" s="16">
        <f t="shared" si="15"/>
        <v>0</v>
      </c>
      <c r="Y30" s="16">
        <f t="shared" si="15"/>
        <v>0</v>
      </c>
      <c r="Z30" s="16">
        <f t="shared" si="15"/>
        <v>0</v>
      </c>
      <c r="AA30" s="16">
        <f t="shared" si="15"/>
        <v>0</v>
      </c>
      <c r="AB30" s="16">
        <f t="shared" si="15"/>
        <v>0</v>
      </c>
      <c r="AC30" s="16">
        <f t="shared" si="15"/>
        <v>0</v>
      </c>
      <c r="AD30" s="16">
        <f t="shared" si="15"/>
        <v>0</v>
      </c>
      <c r="AE30" s="16">
        <f t="shared" si="15"/>
        <v>0</v>
      </c>
      <c r="AF30" s="16">
        <f t="shared" si="15"/>
        <v>0</v>
      </c>
      <c r="AG30" s="16">
        <f t="shared" si="15"/>
        <v>0</v>
      </c>
      <c r="AH30" s="16">
        <f t="shared" si="15"/>
        <v>0</v>
      </c>
      <c r="AI30" s="16">
        <f t="shared" si="15"/>
        <v>0</v>
      </c>
      <c r="AJ30" s="16">
        <f t="shared" si="15"/>
        <v>0</v>
      </c>
      <c r="AK30" s="16">
        <f t="shared" si="15"/>
        <v>0</v>
      </c>
      <c r="AL30" s="16">
        <f t="shared" si="15"/>
        <v>0</v>
      </c>
      <c r="AM30" s="16">
        <f t="shared" si="15"/>
        <v>0</v>
      </c>
      <c r="AN30" s="16">
        <f t="shared" si="15"/>
        <v>0</v>
      </c>
      <c r="AO30" s="16">
        <f t="shared" si="15"/>
        <v>0</v>
      </c>
      <c r="AP30" s="16">
        <f t="shared" si="15"/>
        <v>0</v>
      </c>
      <c r="AQ30" s="16">
        <f t="shared" si="15"/>
        <v>0</v>
      </c>
      <c r="AR30" s="16">
        <f t="shared" si="15"/>
        <v>0</v>
      </c>
    </row>
    <row r="31" spans="1:44" x14ac:dyDescent="0.2">
      <c r="B31" s="1" t="str">
        <f>Inputs!$C$30</f>
        <v>2% Discount Factor</v>
      </c>
      <c r="C31" s="76" t="s">
        <v>72</v>
      </c>
      <c r="D31" s="75">
        <f>SUM(F31:AR31)</f>
        <v>0</v>
      </c>
      <c r="E31" s="16"/>
      <c r="F31" s="16">
        <f>F27*F$16</f>
        <v>0</v>
      </c>
      <c r="G31" s="16">
        <f t="shared" ref="G31:AR31" si="16">G27*G$16</f>
        <v>0</v>
      </c>
      <c r="H31" s="16">
        <f t="shared" si="16"/>
        <v>0</v>
      </c>
      <c r="I31" s="16">
        <f t="shared" si="16"/>
        <v>0</v>
      </c>
      <c r="J31" s="16">
        <f t="shared" si="16"/>
        <v>0</v>
      </c>
      <c r="K31" s="16">
        <f t="shared" si="16"/>
        <v>0</v>
      </c>
      <c r="L31" s="16">
        <f t="shared" si="16"/>
        <v>0</v>
      </c>
      <c r="M31" s="16">
        <f t="shared" si="16"/>
        <v>0</v>
      </c>
      <c r="N31" s="16">
        <f t="shared" si="16"/>
        <v>0</v>
      </c>
      <c r="O31" s="16">
        <f t="shared" si="16"/>
        <v>0</v>
      </c>
      <c r="P31" s="16">
        <f t="shared" si="16"/>
        <v>0</v>
      </c>
      <c r="Q31" s="16">
        <f t="shared" si="16"/>
        <v>0</v>
      </c>
      <c r="R31" s="16">
        <f t="shared" si="16"/>
        <v>0</v>
      </c>
      <c r="S31" s="16">
        <f t="shared" si="16"/>
        <v>0</v>
      </c>
      <c r="T31" s="16">
        <f t="shared" si="16"/>
        <v>0</v>
      </c>
      <c r="U31" s="16">
        <f t="shared" si="16"/>
        <v>0</v>
      </c>
      <c r="V31" s="16">
        <f t="shared" si="16"/>
        <v>0</v>
      </c>
      <c r="W31" s="16">
        <f t="shared" si="16"/>
        <v>0</v>
      </c>
      <c r="X31" s="16">
        <f t="shared" si="16"/>
        <v>0</v>
      </c>
      <c r="Y31" s="16">
        <f t="shared" si="16"/>
        <v>0</v>
      </c>
      <c r="Z31" s="16">
        <f t="shared" si="16"/>
        <v>0</v>
      </c>
      <c r="AA31" s="16">
        <f t="shared" si="16"/>
        <v>0</v>
      </c>
      <c r="AB31" s="16">
        <f t="shared" si="16"/>
        <v>0</v>
      </c>
      <c r="AC31" s="16">
        <f t="shared" si="16"/>
        <v>0</v>
      </c>
      <c r="AD31" s="16">
        <f t="shared" si="16"/>
        <v>0</v>
      </c>
      <c r="AE31" s="16">
        <f t="shared" si="16"/>
        <v>0</v>
      </c>
      <c r="AF31" s="16">
        <f t="shared" si="16"/>
        <v>0</v>
      </c>
      <c r="AG31" s="16">
        <f t="shared" si="16"/>
        <v>0</v>
      </c>
      <c r="AH31" s="16">
        <f t="shared" si="16"/>
        <v>0</v>
      </c>
      <c r="AI31" s="16">
        <f t="shared" si="16"/>
        <v>0</v>
      </c>
      <c r="AJ31" s="16">
        <f t="shared" si="16"/>
        <v>0</v>
      </c>
      <c r="AK31" s="16">
        <f t="shared" si="16"/>
        <v>0</v>
      </c>
      <c r="AL31" s="16">
        <f t="shared" si="16"/>
        <v>0</v>
      </c>
      <c r="AM31" s="16">
        <f t="shared" si="16"/>
        <v>0</v>
      </c>
      <c r="AN31" s="16">
        <f t="shared" si="16"/>
        <v>0</v>
      </c>
      <c r="AO31" s="16">
        <f t="shared" si="16"/>
        <v>0</v>
      </c>
      <c r="AP31" s="16">
        <f t="shared" si="16"/>
        <v>0</v>
      </c>
      <c r="AQ31" s="16">
        <f t="shared" si="16"/>
        <v>0</v>
      </c>
      <c r="AR31" s="16">
        <f t="shared" si="16"/>
        <v>0</v>
      </c>
    </row>
    <row r="32" spans="1:44" x14ac:dyDescent="0.2">
      <c r="B32" s="1" t="str">
        <f>Inputs!$C$31</f>
        <v>3.1% Discount Factor</v>
      </c>
      <c r="C32" s="76" t="s">
        <v>72</v>
      </c>
      <c r="D32" s="75">
        <f>SUM(F32:AR32)</f>
        <v>0</v>
      </c>
      <c r="E32" s="16"/>
      <c r="F32" s="16">
        <f>F27*F$17</f>
        <v>0</v>
      </c>
      <c r="G32" s="16">
        <f t="shared" ref="G32:AR32" si="17">G27*G$17</f>
        <v>0</v>
      </c>
      <c r="H32" s="16">
        <f t="shared" si="17"/>
        <v>0</v>
      </c>
      <c r="I32" s="16">
        <f t="shared" si="17"/>
        <v>0</v>
      </c>
      <c r="J32" s="16">
        <f t="shared" si="17"/>
        <v>0</v>
      </c>
      <c r="K32" s="16">
        <f t="shared" si="17"/>
        <v>0</v>
      </c>
      <c r="L32" s="16">
        <f t="shared" si="17"/>
        <v>0</v>
      </c>
      <c r="M32" s="16">
        <f t="shared" si="17"/>
        <v>0</v>
      </c>
      <c r="N32" s="16">
        <f t="shared" si="17"/>
        <v>0</v>
      </c>
      <c r="O32" s="16">
        <f t="shared" si="17"/>
        <v>0</v>
      </c>
      <c r="P32" s="16">
        <f t="shared" si="17"/>
        <v>0</v>
      </c>
      <c r="Q32" s="16">
        <f t="shared" si="17"/>
        <v>0</v>
      </c>
      <c r="R32" s="16">
        <f t="shared" si="17"/>
        <v>0</v>
      </c>
      <c r="S32" s="16">
        <f t="shared" si="17"/>
        <v>0</v>
      </c>
      <c r="T32" s="16">
        <f t="shared" si="17"/>
        <v>0</v>
      </c>
      <c r="U32" s="16">
        <f t="shared" si="17"/>
        <v>0</v>
      </c>
      <c r="V32" s="16">
        <f t="shared" si="17"/>
        <v>0</v>
      </c>
      <c r="W32" s="16">
        <f t="shared" si="17"/>
        <v>0</v>
      </c>
      <c r="X32" s="16">
        <f t="shared" si="17"/>
        <v>0</v>
      </c>
      <c r="Y32" s="16">
        <f t="shared" si="17"/>
        <v>0</v>
      </c>
      <c r="Z32" s="16">
        <f t="shared" si="17"/>
        <v>0</v>
      </c>
      <c r="AA32" s="16">
        <f t="shared" si="17"/>
        <v>0</v>
      </c>
      <c r="AB32" s="16">
        <f t="shared" si="17"/>
        <v>0</v>
      </c>
      <c r="AC32" s="16">
        <f t="shared" si="17"/>
        <v>0</v>
      </c>
      <c r="AD32" s="16">
        <f t="shared" si="17"/>
        <v>0</v>
      </c>
      <c r="AE32" s="16">
        <f t="shared" si="17"/>
        <v>0</v>
      </c>
      <c r="AF32" s="16">
        <f t="shared" si="17"/>
        <v>0</v>
      </c>
      <c r="AG32" s="16">
        <f t="shared" si="17"/>
        <v>0</v>
      </c>
      <c r="AH32" s="16">
        <f t="shared" si="17"/>
        <v>0</v>
      </c>
      <c r="AI32" s="16">
        <f t="shared" si="17"/>
        <v>0</v>
      </c>
      <c r="AJ32" s="16">
        <f t="shared" si="17"/>
        <v>0</v>
      </c>
      <c r="AK32" s="16">
        <f t="shared" si="17"/>
        <v>0</v>
      </c>
      <c r="AL32" s="16">
        <f t="shared" si="17"/>
        <v>0</v>
      </c>
      <c r="AM32" s="16">
        <f t="shared" si="17"/>
        <v>0</v>
      </c>
      <c r="AN32" s="16">
        <f t="shared" si="17"/>
        <v>0</v>
      </c>
      <c r="AO32" s="16">
        <f t="shared" si="17"/>
        <v>0</v>
      </c>
      <c r="AP32" s="16">
        <f t="shared" si="17"/>
        <v>0</v>
      </c>
      <c r="AQ32" s="16">
        <f t="shared" si="17"/>
        <v>0</v>
      </c>
      <c r="AR32" s="16">
        <f t="shared" si="17"/>
        <v>0</v>
      </c>
    </row>
    <row r="33" spans="1:44" x14ac:dyDescent="0.2">
      <c r="C33" s="76"/>
      <c r="D33" s="75"/>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ht="15" x14ac:dyDescent="0.25">
      <c r="A34" s="2" t="s">
        <v>210</v>
      </c>
      <c r="C34" s="76"/>
      <c r="D34" s="75"/>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x14ac:dyDescent="0.2">
      <c r="B35" s="58" t="s">
        <v>20</v>
      </c>
      <c r="C35" s="84" t="s">
        <v>72</v>
      </c>
      <c r="D35" s="85">
        <f>SUM(F35:AR35)</f>
        <v>3942884.1483426318</v>
      </c>
      <c r="E35" s="58"/>
      <c r="F35" s="86">
        <f>IFERROR(VLOOKUP(F$7,'REF Project Costs'!$A$4:$I$16,2,FALSE),0)</f>
        <v>0</v>
      </c>
      <c r="G35" s="86">
        <f>IFERROR(VLOOKUP(G$7,'REF Project Costs'!$A$4:$I$16,2,FALSE),0)</f>
        <v>0</v>
      </c>
      <c r="H35" s="86">
        <f>IFERROR(VLOOKUP(H$7,'REF Project Costs'!$A$4:$I$16,2,FALSE),0)</f>
        <v>0</v>
      </c>
      <c r="I35" s="86">
        <f>IFERROR(VLOOKUP(I$7,'REF Project Costs'!$A$4:$I$16,2,FALSE),0)</f>
        <v>0</v>
      </c>
      <c r="J35" s="86">
        <f>IFERROR(VLOOKUP(J$7,'REF Project Costs'!$A$4:$I$16,2,FALSE),0)</f>
        <v>0</v>
      </c>
      <c r="K35" s="86">
        <f>IFERROR(VLOOKUP(K$7,'REF Project Costs'!$A$4:$I$16,2,FALSE),0)</f>
        <v>0</v>
      </c>
      <c r="L35" s="86">
        <f>IFERROR(VLOOKUP(L$7,'REF Project Costs'!$A$4:$I$16,2,FALSE),0)</f>
        <v>0</v>
      </c>
      <c r="M35" s="86">
        <f>IFERROR(VLOOKUP(M$7,'REF Project Costs'!$A$4:$I$16,2,FALSE),0)</f>
        <v>0</v>
      </c>
      <c r="N35" s="86">
        <f>IFERROR(VLOOKUP(N$7,'REF Project Costs'!$A$4:$I$16,2,FALSE),0)</f>
        <v>0</v>
      </c>
      <c r="O35" s="86">
        <f>IFERROR(VLOOKUP(O$7,'REF Project Costs'!$A$4:$I$16,2,FALSE),0)</f>
        <v>0</v>
      </c>
      <c r="P35" s="86">
        <f>IFERROR(VLOOKUP(P$7,'REF Project Costs'!$A$4:$I$16,2,FALSE),0)</f>
        <v>0</v>
      </c>
      <c r="Q35" s="86">
        <f>IFERROR(VLOOKUP(Q$7,'REF Project Costs'!$A$4:$I$16,2,FALSE),0)</f>
        <v>0</v>
      </c>
      <c r="R35" s="86">
        <f>IFERROR(VLOOKUP(R$7,'REF Project Costs'!$A$4:$I$16,2,FALSE),0)</f>
        <v>1504718.0982784855</v>
      </c>
      <c r="S35" s="86">
        <f>IFERROR(VLOOKUP(S$7,'REF Project Costs'!$A$4:$I$16,2,FALSE),0)</f>
        <v>0</v>
      </c>
      <c r="T35" s="86">
        <f>IFERROR(VLOOKUP(T$7,'REF Project Costs'!$A$4:$I$16,2,FALSE),0)</f>
        <v>0</v>
      </c>
      <c r="U35" s="86">
        <f>IFERROR(VLOOKUP(U$7,'REF Project Costs'!$A$4:$I$16,2,FALSE),0)</f>
        <v>0</v>
      </c>
      <c r="V35" s="86">
        <f>IFERROR(VLOOKUP(V$7,'REF Project Costs'!$A$4:$I$16,2,FALSE),0)</f>
        <v>0</v>
      </c>
      <c r="W35" s="86">
        <f>IFERROR(VLOOKUP(W$7,'REF Project Costs'!$A$4:$I$16,2,FALSE),0)</f>
        <v>933447.95178566093</v>
      </c>
      <c r="X35" s="86">
        <f>IFERROR(VLOOKUP(X$7,'REF Project Costs'!$A$4:$I$16,2,FALSE),0)</f>
        <v>0</v>
      </c>
      <c r="Y35" s="86">
        <f>IFERROR(VLOOKUP(Y$7,'REF Project Costs'!$A$4:$I$16,2,FALSE),0)</f>
        <v>0</v>
      </c>
      <c r="Z35" s="86">
        <f>IFERROR(VLOOKUP(Z$7,'REF Project Costs'!$A$4:$I$16,2,FALSE),0)</f>
        <v>0</v>
      </c>
      <c r="AA35" s="86">
        <f>IFERROR(VLOOKUP(AA$7,'REF Project Costs'!$A$4:$I$16,2,FALSE),0)</f>
        <v>0</v>
      </c>
      <c r="AB35" s="86">
        <f>IFERROR(VLOOKUP(AB$7,'REF Project Costs'!$A$4:$I$16,2,FALSE),0)</f>
        <v>0</v>
      </c>
      <c r="AC35" s="86">
        <f>IFERROR(VLOOKUP(AC$7,'REF Project Costs'!$A$4:$I$16,2,FALSE),0)</f>
        <v>0</v>
      </c>
      <c r="AD35" s="86">
        <f>IFERROR(VLOOKUP(AD$7,'REF Project Costs'!$A$4:$I$16,2,FALSE),0)</f>
        <v>0</v>
      </c>
      <c r="AE35" s="86">
        <f>IFERROR(VLOOKUP(AE$7,'REF Project Costs'!$A$4:$I$16,2,FALSE),0)</f>
        <v>0</v>
      </c>
      <c r="AF35" s="86">
        <f>IFERROR(VLOOKUP(AF$7,'REF Project Costs'!$A$4:$I$16,2,FALSE),0)</f>
        <v>0</v>
      </c>
      <c r="AG35" s="86">
        <f>IFERROR(VLOOKUP(AG$7,'REF Project Costs'!$A$4:$I$16,2,FALSE),0)</f>
        <v>1504718.0982784855</v>
      </c>
      <c r="AH35" s="86">
        <f>IFERROR(VLOOKUP(AH$7,'REF Project Costs'!$A$4:$I$16,2,FALSE),0)</f>
        <v>0</v>
      </c>
      <c r="AI35" s="86">
        <f>IFERROR(VLOOKUP(AI$7,'REF Project Costs'!$A$4:$I$16,2,FALSE),0)</f>
        <v>0</v>
      </c>
      <c r="AJ35" s="86">
        <f>IFERROR(VLOOKUP(AJ$7,'REF Project Costs'!$A$4:$I$16,2,FALSE),0)</f>
        <v>0</v>
      </c>
      <c r="AK35" s="86">
        <f>IFERROR(VLOOKUP(AK$7,'REF Project Costs'!$A$4:$I$16,2,FALSE),0)</f>
        <v>0</v>
      </c>
      <c r="AL35" s="86">
        <f>IFERROR(VLOOKUP(AL$7,'REF Project Costs'!$A$4:$I$16,2,FALSE),0)</f>
        <v>0</v>
      </c>
      <c r="AM35" s="86">
        <f>IFERROR(VLOOKUP(AM$7,'REF Project Costs'!$A$4:$I$16,2,FALSE),0)</f>
        <v>0</v>
      </c>
      <c r="AN35" s="86">
        <f>IFERROR(VLOOKUP(AN$7,'REF Project Costs'!$A$4:$I$16,2,FALSE),0)</f>
        <v>0</v>
      </c>
      <c r="AO35" s="86">
        <f>IFERROR(VLOOKUP(AO$7,'REF Project Costs'!$A$4:$I$16,2,FALSE),0)</f>
        <v>0</v>
      </c>
      <c r="AP35" s="86">
        <f>IFERROR(VLOOKUP(AP$7,'REF Project Costs'!$A$4:$I$16,2,FALSE),0)</f>
        <v>0</v>
      </c>
      <c r="AQ35" s="86">
        <f>IFERROR(VLOOKUP(AQ$7,'REF Project Costs'!$A$4:$I$16,2,FALSE),0)</f>
        <v>0</v>
      </c>
      <c r="AR35" s="86">
        <f>IFERROR(VLOOKUP(AR$7,'REF Project Costs'!$A$4:$I$16,2,FALSE),0)</f>
        <v>0</v>
      </c>
    </row>
    <row r="36" spans="1:44" x14ac:dyDescent="0.2">
      <c r="B36" s="1" t="s">
        <v>207</v>
      </c>
      <c r="C36" s="76" t="s">
        <v>72</v>
      </c>
      <c r="D36" s="75">
        <f>SUM(F36:AR36)</f>
        <v>3942884.1483426318</v>
      </c>
      <c r="F36" s="16">
        <f t="shared" ref="F36:AR36" si="18">SUM(F32:F35)</f>
        <v>0</v>
      </c>
      <c r="G36" s="16">
        <f t="shared" si="18"/>
        <v>0</v>
      </c>
      <c r="H36" s="16">
        <f t="shared" si="18"/>
        <v>0</v>
      </c>
      <c r="I36" s="16">
        <f t="shared" si="18"/>
        <v>0</v>
      </c>
      <c r="J36" s="16">
        <f t="shared" si="18"/>
        <v>0</v>
      </c>
      <c r="K36" s="16">
        <f t="shared" si="18"/>
        <v>0</v>
      </c>
      <c r="L36" s="16">
        <f t="shared" si="18"/>
        <v>0</v>
      </c>
      <c r="M36" s="16">
        <f t="shared" si="18"/>
        <v>0</v>
      </c>
      <c r="N36" s="16">
        <f t="shared" si="18"/>
        <v>0</v>
      </c>
      <c r="O36" s="16">
        <f t="shared" si="18"/>
        <v>0</v>
      </c>
      <c r="P36" s="16">
        <f t="shared" si="18"/>
        <v>0</v>
      </c>
      <c r="Q36" s="16">
        <f t="shared" si="18"/>
        <v>0</v>
      </c>
      <c r="R36" s="16">
        <f t="shared" si="18"/>
        <v>1504718.0982784855</v>
      </c>
      <c r="S36" s="16">
        <f t="shared" si="18"/>
        <v>0</v>
      </c>
      <c r="T36" s="16">
        <f t="shared" si="18"/>
        <v>0</v>
      </c>
      <c r="U36" s="16">
        <f t="shared" si="18"/>
        <v>0</v>
      </c>
      <c r="V36" s="16">
        <f t="shared" si="18"/>
        <v>0</v>
      </c>
      <c r="W36" s="16">
        <f t="shared" si="18"/>
        <v>933447.95178566093</v>
      </c>
      <c r="X36" s="16">
        <f t="shared" si="18"/>
        <v>0</v>
      </c>
      <c r="Y36" s="16">
        <f t="shared" si="18"/>
        <v>0</v>
      </c>
      <c r="Z36" s="16">
        <f t="shared" si="18"/>
        <v>0</v>
      </c>
      <c r="AA36" s="16">
        <f t="shared" si="18"/>
        <v>0</v>
      </c>
      <c r="AB36" s="16">
        <f t="shared" si="18"/>
        <v>0</v>
      </c>
      <c r="AC36" s="16">
        <f t="shared" si="18"/>
        <v>0</v>
      </c>
      <c r="AD36" s="16">
        <f t="shared" si="18"/>
        <v>0</v>
      </c>
      <c r="AE36" s="16">
        <f t="shared" si="18"/>
        <v>0</v>
      </c>
      <c r="AF36" s="16">
        <f t="shared" si="18"/>
        <v>0</v>
      </c>
      <c r="AG36" s="16">
        <f t="shared" si="18"/>
        <v>1504718.0982784855</v>
      </c>
      <c r="AH36" s="16">
        <f t="shared" si="18"/>
        <v>0</v>
      </c>
      <c r="AI36" s="16">
        <f t="shared" si="18"/>
        <v>0</v>
      </c>
      <c r="AJ36" s="16">
        <f t="shared" si="18"/>
        <v>0</v>
      </c>
      <c r="AK36" s="16">
        <f t="shared" si="18"/>
        <v>0</v>
      </c>
      <c r="AL36" s="16">
        <f t="shared" si="18"/>
        <v>0</v>
      </c>
      <c r="AM36" s="16">
        <f t="shared" si="18"/>
        <v>0</v>
      </c>
      <c r="AN36" s="16">
        <f t="shared" si="18"/>
        <v>0</v>
      </c>
      <c r="AO36" s="16">
        <f t="shared" si="18"/>
        <v>0</v>
      </c>
      <c r="AP36" s="16">
        <f t="shared" si="18"/>
        <v>0</v>
      </c>
      <c r="AQ36" s="16">
        <f t="shared" si="18"/>
        <v>0</v>
      </c>
      <c r="AR36" s="16">
        <f t="shared" si="18"/>
        <v>0</v>
      </c>
    </row>
    <row r="37" spans="1:44" x14ac:dyDescent="0.2">
      <c r="C37" s="76"/>
      <c r="D37" s="7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ht="15" x14ac:dyDescent="0.25">
      <c r="B38" s="2" t="s">
        <v>208</v>
      </c>
      <c r="C38" s="12"/>
    </row>
    <row r="39" spans="1:44" x14ac:dyDescent="0.2">
      <c r="B39" s="1" t="s">
        <v>209</v>
      </c>
      <c r="C39" s="76" t="s">
        <v>72</v>
      </c>
      <c r="D39" s="75">
        <f>SUM(F39:AR39)</f>
        <v>3942884.1483426318</v>
      </c>
      <c r="E39" s="16"/>
      <c r="F39" s="16">
        <f>F$36*F15</f>
        <v>0</v>
      </c>
      <c r="G39" s="16">
        <f t="shared" ref="G39:AR39" si="19">G$36*G15</f>
        <v>0</v>
      </c>
      <c r="H39" s="16">
        <f t="shared" si="19"/>
        <v>0</v>
      </c>
      <c r="I39" s="16">
        <f t="shared" si="19"/>
        <v>0</v>
      </c>
      <c r="J39" s="16">
        <f t="shared" si="19"/>
        <v>0</v>
      </c>
      <c r="K39" s="16">
        <f t="shared" si="19"/>
        <v>0</v>
      </c>
      <c r="L39" s="16">
        <f t="shared" si="19"/>
        <v>0</v>
      </c>
      <c r="M39" s="16">
        <f t="shared" si="19"/>
        <v>0</v>
      </c>
      <c r="N39" s="16">
        <f t="shared" si="19"/>
        <v>0</v>
      </c>
      <c r="O39" s="16">
        <f t="shared" si="19"/>
        <v>0</v>
      </c>
      <c r="P39" s="16">
        <f t="shared" si="19"/>
        <v>0</v>
      </c>
      <c r="Q39" s="16">
        <f t="shared" si="19"/>
        <v>0</v>
      </c>
      <c r="R39" s="16">
        <f t="shared" si="19"/>
        <v>1504718.0982784855</v>
      </c>
      <c r="S39" s="16">
        <f t="shared" si="19"/>
        <v>0</v>
      </c>
      <c r="T39" s="16">
        <f t="shared" si="19"/>
        <v>0</v>
      </c>
      <c r="U39" s="16">
        <f t="shared" si="19"/>
        <v>0</v>
      </c>
      <c r="V39" s="16">
        <f t="shared" si="19"/>
        <v>0</v>
      </c>
      <c r="W39" s="16">
        <f t="shared" si="19"/>
        <v>933447.95178566093</v>
      </c>
      <c r="X39" s="16">
        <f t="shared" si="19"/>
        <v>0</v>
      </c>
      <c r="Y39" s="16">
        <f t="shared" si="19"/>
        <v>0</v>
      </c>
      <c r="Z39" s="16">
        <f t="shared" si="19"/>
        <v>0</v>
      </c>
      <c r="AA39" s="16">
        <f t="shared" si="19"/>
        <v>0</v>
      </c>
      <c r="AB39" s="16">
        <f t="shared" si="19"/>
        <v>0</v>
      </c>
      <c r="AC39" s="16">
        <f t="shared" si="19"/>
        <v>0</v>
      </c>
      <c r="AD39" s="16">
        <f t="shared" si="19"/>
        <v>0</v>
      </c>
      <c r="AE39" s="16">
        <f t="shared" si="19"/>
        <v>0</v>
      </c>
      <c r="AF39" s="16">
        <f t="shared" si="19"/>
        <v>0</v>
      </c>
      <c r="AG39" s="16">
        <f t="shared" si="19"/>
        <v>1504718.0982784855</v>
      </c>
      <c r="AH39" s="16">
        <f t="shared" si="19"/>
        <v>0</v>
      </c>
      <c r="AI39" s="16">
        <f t="shared" si="19"/>
        <v>0</v>
      </c>
      <c r="AJ39" s="16">
        <f t="shared" si="19"/>
        <v>0</v>
      </c>
      <c r="AK39" s="16">
        <f t="shared" si="19"/>
        <v>0</v>
      </c>
      <c r="AL39" s="16">
        <f t="shared" si="19"/>
        <v>0</v>
      </c>
      <c r="AM39" s="16">
        <f t="shared" si="19"/>
        <v>0</v>
      </c>
      <c r="AN39" s="16">
        <f t="shared" si="19"/>
        <v>0</v>
      </c>
      <c r="AO39" s="16">
        <f t="shared" si="19"/>
        <v>0</v>
      </c>
      <c r="AP39" s="16">
        <f t="shared" si="19"/>
        <v>0</v>
      </c>
      <c r="AQ39" s="16">
        <f t="shared" si="19"/>
        <v>0</v>
      </c>
      <c r="AR39" s="16">
        <f t="shared" si="19"/>
        <v>0</v>
      </c>
    </row>
    <row r="40" spans="1:44" x14ac:dyDescent="0.2">
      <c r="B40" s="1" t="str">
        <f>Inputs!$C$30</f>
        <v>2% Discount Factor</v>
      </c>
      <c r="C40" s="76" t="s">
        <v>72</v>
      </c>
      <c r="D40" s="75">
        <f>SUM(F40:AR40)</f>
        <v>2902033.2567900708</v>
      </c>
      <c r="E40" s="16"/>
      <c r="F40" s="16">
        <f t="shared" ref="F40:AR40" si="20">F$36*F16</f>
        <v>0</v>
      </c>
      <c r="G40" s="16">
        <f t="shared" si="20"/>
        <v>0</v>
      </c>
      <c r="H40" s="16">
        <f t="shared" si="20"/>
        <v>0</v>
      </c>
      <c r="I40" s="16">
        <f t="shared" si="20"/>
        <v>0</v>
      </c>
      <c r="J40" s="16">
        <f t="shared" si="20"/>
        <v>0</v>
      </c>
      <c r="K40" s="16">
        <f t="shared" si="20"/>
        <v>0</v>
      </c>
      <c r="L40" s="16">
        <f t="shared" si="20"/>
        <v>0</v>
      </c>
      <c r="M40" s="16">
        <f t="shared" si="20"/>
        <v>0</v>
      </c>
      <c r="N40" s="16">
        <f t="shared" si="20"/>
        <v>0</v>
      </c>
      <c r="O40" s="16">
        <f t="shared" si="20"/>
        <v>0</v>
      </c>
      <c r="P40" s="16">
        <f t="shared" si="20"/>
        <v>0</v>
      </c>
      <c r="Q40" s="16">
        <f t="shared" si="20"/>
        <v>0</v>
      </c>
      <c r="R40" s="16">
        <f t="shared" si="20"/>
        <v>1259080.7923884152</v>
      </c>
      <c r="S40" s="16">
        <f t="shared" si="20"/>
        <v>0</v>
      </c>
      <c r="T40" s="16">
        <f t="shared" si="20"/>
        <v>0</v>
      </c>
      <c r="U40" s="16">
        <f t="shared" si="20"/>
        <v>0</v>
      </c>
      <c r="V40" s="16">
        <f t="shared" si="20"/>
        <v>0</v>
      </c>
      <c r="W40" s="16">
        <f t="shared" si="20"/>
        <v>707436.88941144629</v>
      </c>
      <c r="X40" s="16">
        <f t="shared" si="20"/>
        <v>0</v>
      </c>
      <c r="Y40" s="16">
        <f t="shared" si="20"/>
        <v>0</v>
      </c>
      <c r="Z40" s="16">
        <f t="shared" si="20"/>
        <v>0</v>
      </c>
      <c r="AA40" s="16">
        <f t="shared" si="20"/>
        <v>0</v>
      </c>
      <c r="AB40" s="16">
        <f t="shared" si="20"/>
        <v>0</v>
      </c>
      <c r="AC40" s="16">
        <f t="shared" si="20"/>
        <v>0</v>
      </c>
      <c r="AD40" s="16">
        <f t="shared" si="20"/>
        <v>0</v>
      </c>
      <c r="AE40" s="16">
        <f t="shared" si="20"/>
        <v>0</v>
      </c>
      <c r="AF40" s="16">
        <f t="shared" si="20"/>
        <v>0</v>
      </c>
      <c r="AG40" s="16">
        <f t="shared" si="20"/>
        <v>935515.57499020896</v>
      </c>
      <c r="AH40" s="16">
        <f t="shared" si="20"/>
        <v>0</v>
      </c>
      <c r="AI40" s="16">
        <f t="shared" si="20"/>
        <v>0</v>
      </c>
      <c r="AJ40" s="16">
        <f t="shared" si="20"/>
        <v>0</v>
      </c>
      <c r="AK40" s="16">
        <f t="shared" si="20"/>
        <v>0</v>
      </c>
      <c r="AL40" s="16">
        <f t="shared" si="20"/>
        <v>0</v>
      </c>
      <c r="AM40" s="16">
        <f t="shared" si="20"/>
        <v>0</v>
      </c>
      <c r="AN40" s="16">
        <f t="shared" si="20"/>
        <v>0</v>
      </c>
      <c r="AO40" s="16">
        <f t="shared" si="20"/>
        <v>0</v>
      </c>
      <c r="AP40" s="16">
        <f t="shared" si="20"/>
        <v>0</v>
      </c>
      <c r="AQ40" s="16">
        <f t="shared" si="20"/>
        <v>0</v>
      </c>
      <c r="AR40" s="16">
        <f t="shared" si="20"/>
        <v>0</v>
      </c>
    </row>
    <row r="41" spans="1:44" x14ac:dyDescent="0.2">
      <c r="B41" s="1" t="str">
        <f>Inputs!$C$31</f>
        <v>3.1% Discount Factor</v>
      </c>
      <c r="C41" s="76" t="s">
        <v>72</v>
      </c>
      <c r="D41" s="75">
        <f>SUM(F41:AR41)</f>
        <v>2475186.089033524</v>
      </c>
      <c r="E41" s="16"/>
      <c r="F41" s="16">
        <f t="shared" ref="F41:AR41" si="21">F$36*F17</f>
        <v>0</v>
      </c>
      <c r="G41" s="16">
        <f t="shared" si="21"/>
        <v>0</v>
      </c>
      <c r="H41" s="16">
        <f t="shared" si="21"/>
        <v>0</v>
      </c>
      <c r="I41" s="16">
        <f t="shared" si="21"/>
        <v>0</v>
      </c>
      <c r="J41" s="16">
        <f t="shared" si="21"/>
        <v>0</v>
      </c>
      <c r="K41" s="16">
        <f t="shared" si="21"/>
        <v>0</v>
      </c>
      <c r="L41" s="16">
        <f t="shared" si="21"/>
        <v>0</v>
      </c>
      <c r="M41" s="16">
        <f t="shared" si="21"/>
        <v>0</v>
      </c>
      <c r="N41" s="16">
        <f t="shared" si="21"/>
        <v>0</v>
      </c>
      <c r="O41" s="16">
        <f t="shared" si="21"/>
        <v>0</v>
      </c>
      <c r="P41" s="16">
        <f t="shared" si="21"/>
        <v>0</v>
      </c>
      <c r="Q41" s="16">
        <f t="shared" si="21"/>
        <v>0</v>
      </c>
      <c r="R41" s="16">
        <f t="shared" si="21"/>
        <v>1143213.0069408489</v>
      </c>
      <c r="S41" s="16">
        <f t="shared" si="21"/>
        <v>0</v>
      </c>
      <c r="T41" s="16">
        <f t="shared" si="21"/>
        <v>0</v>
      </c>
      <c r="U41" s="16">
        <f t="shared" si="21"/>
        <v>0</v>
      </c>
      <c r="V41" s="16">
        <f t="shared" si="21"/>
        <v>0</v>
      </c>
      <c r="W41" s="16">
        <f t="shared" si="21"/>
        <v>608791.79854811658</v>
      </c>
      <c r="X41" s="16">
        <f t="shared" si="21"/>
        <v>0</v>
      </c>
      <c r="Y41" s="16">
        <f t="shared" si="21"/>
        <v>0</v>
      </c>
      <c r="Z41" s="16">
        <f t="shared" si="21"/>
        <v>0</v>
      </c>
      <c r="AA41" s="16">
        <f t="shared" si="21"/>
        <v>0</v>
      </c>
      <c r="AB41" s="16">
        <f t="shared" si="21"/>
        <v>0</v>
      </c>
      <c r="AC41" s="16">
        <f t="shared" si="21"/>
        <v>0</v>
      </c>
      <c r="AD41" s="16">
        <f t="shared" si="21"/>
        <v>0</v>
      </c>
      <c r="AE41" s="16">
        <f t="shared" si="21"/>
        <v>0</v>
      </c>
      <c r="AF41" s="16">
        <f t="shared" si="21"/>
        <v>0</v>
      </c>
      <c r="AG41" s="16">
        <f t="shared" si="21"/>
        <v>723181.28354455868</v>
      </c>
      <c r="AH41" s="16">
        <f t="shared" si="21"/>
        <v>0</v>
      </c>
      <c r="AI41" s="16">
        <f t="shared" si="21"/>
        <v>0</v>
      </c>
      <c r="AJ41" s="16">
        <f t="shared" si="21"/>
        <v>0</v>
      </c>
      <c r="AK41" s="16">
        <f t="shared" si="21"/>
        <v>0</v>
      </c>
      <c r="AL41" s="16">
        <f t="shared" si="21"/>
        <v>0</v>
      </c>
      <c r="AM41" s="16">
        <f t="shared" si="21"/>
        <v>0</v>
      </c>
      <c r="AN41" s="16">
        <f t="shared" si="21"/>
        <v>0</v>
      </c>
      <c r="AO41" s="16">
        <f t="shared" si="21"/>
        <v>0</v>
      </c>
      <c r="AP41" s="16">
        <f t="shared" si="21"/>
        <v>0</v>
      </c>
      <c r="AQ41" s="16">
        <f t="shared" si="21"/>
        <v>0</v>
      </c>
      <c r="AR41" s="16">
        <f t="shared" si="21"/>
        <v>0</v>
      </c>
    </row>
    <row r="42" spans="1:44" x14ac:dyDescent="0.2">
      <c r="C42" s="12"/>
    </row>
    <row r="43" spans="1:44" s="266" customFormat="1" x14ac:dyDescent="0.2">
      <c r="A43" s="267" t="s">
        <v>211</v>
      </c>
    </row>
    <row r="44" spans="1:44" ht="15" x14ac:dyDescent="0.25">
      <c r="A44" s="2" t="s">
        <v>202</v>
      </c>
    </row>
    <row r="45" spans="1:44" x14ac:dyDescent="0.2">
      <c r="B45" s="1" t="s">
        <v>19</v>
      </c>
      <c r="C45" s="76" t="s">
        <v>72</v>
      </c>
      <c r="D45" s="75">
        <f t="shared" ref="D45:D49" si="22">SUM(F45:AR45)</f>
        <v>24788928.509245306</v>
      </c>
      <c r="F45" s="16">
        <f>IFERROR(VLOOKUP(F$7,'REF Project Costs'!$A$4:$I$16,4,FALSE),0)</f>
        <v>0</v>
      </c>
      <c r="G45" s="16">
        <f>IFERROR(VLOOKUP(G$7,'REF Project Costs'!$A$4:$I$16,4,FALSE),0)</f>
        <v>0</v>
      </c>
      <c r="H45" s="16">
        <f>IFERROR(VLOOKUP(H$7,'REF Project Costs'!$A$4:$I$16,4,FALSE),0)</f>
        <v>0</v>
      </c>
      <c r="I45" s="16">
        <f>IFERROR(VLOOKUP(I$7,'REF Project Costs'!$A$4:$I$16,4,FALSE),0)</f>
        <v>0</v>
      </c>
      <c r="J45" s="16">
        <f>IFERROR(VLOOKUP(J$7,'REF Project Costs'!$A$4:$I$16,4,FALSE),0)</f>
        <v>0</v>
      </c>
      <c r="K45" s="16">
        <f>IFERROR(VLOOKUP(K$7,'REF Project Costs'!$A$4:$I$16,4,FALSE),0)</f>
        <v>0</v>
      </c>
      <c r="L45" s="16">
        <f>IFERROR(VLOOKUP(L$7,'REF Project Costs'!$A$4:$I$16,4,FALSE),0)</f>
        <v>0</v>
      </c>
      <c r="M45" s="16">
        <f>IFERROR(VLOOKUP(M$7,'REF Project Costs'!$A$4:$I$16,4,FALSE),0)</f>
        <v>12394464.254622653</v>
      </c>
      <c r="N45" s="16">
        <f>IFERROR(VLOOKUP(N$7,'REF Project Costs'!$A$4:$I$16,4,FALSE),0)</f>
        <v>12394464.254622653</v>
      </c>
      <c r="O45" s="16">
        <f>IFERROR(VLOOKUP(O$7,'REF Project Costs'!$A$4:$I$16,4,FALSE),0)</f>
        <v>0</v>
      </c>
      <c r="P45" s="16">
        <f>IFERROR(VLOOKUP(P$7,'REF Project Costs'!$A$4:$I$16,4,FALSE),0)</f>
        <v>0</v>
      </c>
      <c r="Q45" s="16">
        <f>IFERROR(VLOOKUP(Q$7,'REF Project Costs'!$A$4:$I$16,4,FALSE),0)</f>
        <v>0</v>
      </c>
      <c r="R45" s="16">
        <f>IFERROR(VLOOKUP(R$7,'REF Project Costs'!$A$4:$I$16,4,FALSE),0)</f>
        <v>0</v>
      </c>
      <c r="S45" s="16">
        <f>IFERROR(VLOOKUP(S$7,'REF Project Costs'!$A$4:$I$16,4,FALSE),0)</f>
        <v>0</v>
      </c>
      <c r="T45" s="16">
        <f>IFERROR(VLOOKUP(T$7,'REF Project Costs'!$A$4:$I$16,4,FALSE),0)</f>
        <v>0</v>
      </c>
      <c r="U45" s="16">
        <f>IFERROR(VLOOKUP(U$7,'REF Project Costs'!$A$4:$I$16,4,FALSE),0)</f>
        <v>0</v>
      </c>
      <c r="V45" s="16">
        <f>IFERROR(VLOOKUP(V$7,'REF Project Costs'!$A$4:$I$16,4,FALSE),0)</f>
        <v>0</v>
      </c>
      <c r="W45" s="16">
        <f>IFERROR(VLOOKUP(W$7,'REF Project Costs'!$A$4:$I$16,4,FALSE),0)</f>
        <v>0</v>
      </c>
      <c r="X45" s="16">
        <f>IFERROR(VLOOKUP(X$7,'REF Project Costs'!$A$4:$I$16,4,FALSE),0)</f>
        <v>0</v>
      </c>
      <c r="Y45" s="16">
        <f>IFERROR(VLOOKUP(Y$7,'REF Project Costs'!$A$4:$I$16,4,FALSE),0)</f>
        <v>0</v>
      </c>
      <c r="Z45" s="16">
        <f>IFERROR(VLOOKUP(Z$7,'REF Project Costs'!$A$4:$I$16,4,FALSE),0)</f>
        <v>0</v>
      </c>
      <c r="AA45" s="16">
        <f>IFERROR(VLOOKUP(AA$7,'REF Project Costs'!$A$4:$I$16,4,FALSE),0)</f>
        <v>0</v>
      </c>
      <c r="AB45" s="16">
        <f>IFERROR(VLOOKUP(AB$7,'REF Project Costs'!$A$4:$I$16,4,FALSE),0)</f>
        <v>0</v>
      </c>
      <c r="AC45" s="16">
        <f>IFERROR(VLOOKUP(AC$7,'REF Project Costs'!$A$4:$I$16,4,FALSE),0)</f>
        <v>0</v>
      </c>
      <c r="AD45" s="16">
        <f>IFERROR(VLOOKUP(AD$7,'REF Project Costs'!$A$4:$I$16,4,FALSE),0)</f>
        <v>0</v>
      </c>
      <c r="AE45" s="16">
        <f>IFERROR(VLOOKUP(AE$7,'REF Project Costs'!$A$4:$I$16,4,FALSE),0)</f>
        <v>0</v>
      </c>
      <c r="AF45" s="16">
        <f>IFERROR(VLOOKUP(AF$7,'REF Project Costs'!$A$4:$I$16,4,FALSE),0)</f>
        <v>0</v>
      </c>
      <c r="AG45" s="16">
        <f>IFERROR(VLOOKUP(AG$7,'REF Project Costs'!$A$4:$I$16,4,FALSE),0)</f>
        <v>0</v>
      </c>
      <c r="AH45" s="16">
        <f>IFERROR(VLOOKUP(AH$7,'REF Project Costs'!$A$4:$I$16,4,FALSE),0)</f>
        <v>0</v>
      </c>
      <c r="AI45" s="16">
        <f>IFERROR(VLOOKUP(AI$7,'REF Project Costs'!$A$4:$I$16,4,FALSE),0)</f>
        <v>0</v>
      </c>
      <c r="AJ45" s="16">
        <f>IFERROR(VLOOKUP(AJ$7,'REF Project Costs'!$A$4:$I$16,4,FALSE),0)</f>
        <v>0</v>
      </c>
      <c r="AK45" s="16">
        <f>IFERROR(VLOOKUP(AK$7,'REF Project Costs'!$A$4:$I$16,4,FALSE),0)</f>
        <v>0</v>
      </c>
      <c r="AL45" s="16">
        <f>IFERROR(VLOOKUP(AL$7,'REF Project Costs'!$A$4:$I$16,4,FALSE),0)</f>
        <v>0</v>
      </c>
      <c r="AM45" s="16">
        <f>IFERROR(VLOOKUP(AM$7,'REF Project Costs'!$A$4:$I$16,4,FALSE),0)</f>
        <v>0</v>
      </c>
      <c r="AN45" s="16">
        <f>IFERROR(VLOOKUP(AN$7,'REF Project Costs'!$A$4:$I$16,4,FALSE),0)</f>
        <v>0</v>
      </c>
      <c r="AO45" s="16">
        <f>IFERROR(VLOOKUP(AO$7,'REF Project Costs'!$A$4:$I$16,4,FALSE),0)</f>
        <v>0</v>
      </c>
      <c r="AP45" s="16">
        <f>IFERROR(VLOOKUP(AP$7,'REF Project Costs'!$A$4:$I$16,4,FALSE),0)</f>
        <v>0</v>
      </c>
      <c r="AQ45" s="16">
        <f>IFERROR(VLOOKUP(AQ$7,'REF Project Costs'!$A$4:$I$16,4,FALSE),0)</f>
        <v>0</v>
      </c>
      <c r="AR45" s="16">
        <f>IFERROR(VLOOKUP(AR$7,'REF Project Costs'!$A$4:$I$16,4,FALSE),0)</f>
        <v>0</v>
      </c>
    </row>
    <row r="46" spans="1:44" x14ac:dyDescent="0.2">
      <c r="B46" s="1" t="s">
        <v>206</v>
      </c>
      <c r="C46" s="76" t="s">
        <v>72</v>
      </c>
      <c r="D46" s="75">
        <f t="shared" si="22"/>
        <v>240113.61698168094</v>
      </c>
      <c r="F46" s="16">
        <f>IFERROR(VLOOKUP(F$7,'REF Project Costs'!$A$4:$I$16,6,FALSE),0)</f>
        <v>0</v>
      </c>
      <c r="G46" s="16">
        <f>IFERROR(VLOOKUP(G$7,'REF Project Costs'!$A$4:$I$16,6,FALSE),0)</f>
        <v>0</v>
      </c>
      <c r="H46" s="16">
        <f>IFERROR(VLOOKUP(H$7,'REF Project Costs'!$A$4:$I$16,6,FALSE),0)</f>
        <v>0</v>
      </c>
      <c r="I46" s="16">
        <f>IFERROR(VLOOKUP(I$7,'REF Project Costs'!$A$4:$I$16,6,FALSE),0)</f>
        <v>0</v>
      </c>
      <c r="J46" s="16">
        <f>IFERROR(VLOOKUP(J$7,'REF Project Costs'!$A$4:$I$16,6,FALSE),0)</f>
        <v>0</v>
      </c>
      <c r="K46" s="16">
        <f>IFERROR(VLOOKUP(K$7,'REF Project Costs'!$A$4:$I$16,6,FALSE),0)</f>
        <v>0</v>
      </c>
      <c r="L46" s="16">
        <f>IFERROR(VLOOKUP(L$7,'REF Project Costs'!$A$4:$I$16,6,FALSE),0)</f>
        <v>240113.61698168094</v>
      </c>
      <c r="M46" s="16">
        <f>IFERROR(VLOOKUP(M$7,'REF Project Costs'!$A$4:$I$16,6,FALSE),0)</f>
        <v>0</v>
      </c>
      <c r="N46" s="16">
        <f>IFERROR(VLOOKUP(N$7,'REF Project Costs'!$A$4:$I$16,6,FALSE),0)</f>
        <v>0</v>
      </c>
      <c r="O46" s="16">
        <f>IFERROR(VLOOKUP(O$7,'REF Project Costs'!$A$4:$I$16,6,FALSE),0)</f>
        <v>0</v>
      </c>
      <c r="P46" s="16">
        <f>IFERROR(VLOOKUP(P$7,'REF Project Costs'!$A$4:$I$16,6,FALSE),0)</f>
        <v>0</v>
      </c>
      <c r="Q46" s="16">
        <f>IFERROR(VLOOKUP(Q$7,'REF Project Costs'!$A$4:$I$16,6,FALSE),0)</f>
        <v>0</v>
      </c>
      <c r="R46" s="16">
        <f>IFERROR(VLOOKUP(R$7,'REF Project Costs'!$A$4:$I$16,6,FALSE),0)</f>
        <v>0</v>
      </c>
      <c r="S46" s="16">
        <f>IFERROR(VLOOKUP(S$7,'REF Project Costs'!$A$4:$I$16,6,FALSE),0)</f>
        <v>0</v>
      </c>
      <c r="T46" s="16">
        <f>IFERROR(VLOOKUP(T$7,'REF Project Costs'!$A$4:$I$16,6,FALSE),0)</f>
        <v>0</v>
      </c>
      <c r="U46" s="16">
        <f>IFERROR(VLOOKUP(U$7,'REF Project Costs'!$A$4:$I$16,6,FALSE),0)</f>
        <v>0</v>
      </c>
      <c r="V46" s="16">
        <f>IFERROR(VLOOKUP(V$7,'REF Project Costs'!$A$4:$I$16,6,FALSE),0)</f>
        <v>0</v>
      </c>
      <c r="W46" s="16">
        <f>IFERROR(VLOOKUP(W$7,'REF Project Costs'!$A$4:$I$16,6,FALSE),0)</f>
        <v>0</v>
      </c>
      <c r="X46" s="16">
        <f>IFERROR(VLOOKUP(X$7,'REF Project Costs'!$A$4:$I$16,6,FALSE),0)</f>
        <v>0</v>
      </c>
      <c r="Y46" s="16">
        <f>IFERROR(VLOOKUP(Y$7,'REF Project Costs'!$A$4:$I$16,6,FALSE),0)</f>
        <v>0</v>
      </c>
      <c r="Z46" s="16">
        <f>IFERROR(VLOOKUP(Z$7,'REF Project Costs'!$A$4:$I$16,6,FALSE),0)</f>
        <v>0</v>
      </c>
      <c r="AA46" s="16">
        <f>IFERROR(VLOOKUP(AA$7,'REF Project Costs'!$A$4:$I$16,6,FALSE),0)</f>
        <v>0</v>
      </c>
      <c r="AB46" s="16">
        <f>IFERROR(VLOOKUP(AB$7,'REF Project Costs'!$A$4:$I$16,6,FALSE),0)</f>
        <v>0</v>
      </c>
      <c r="AC46" s="16">
        <f>IFERROR(VLOOKUP(AC$7,'REF Project Costs'!$A$4:$I$16,6,FALSE),0)</f>
        <v>0</v>
      </c>
      <c r="AD46" s="16">
        <f>IFERROR(VLOOKUP(AD$7,'REF Project Costs'!$A$4:$I$16,6,FALSE),0)</f>
        <v>0</v>
      </c>
      <c r="AE46" s="16">
        <f>IFERROR(VLOOKUP(AE$7,'REF Project Costs'!$A$4:$I$16,6,FALSE),0)</f>
        <v>0</v>
      </c>
      <c r="AF46" s="16">
        <f>IFERROR(VLOOKUP(AF$7,'REF Project Costs'!$A$4:$I$16,6,FALSE),0)</f>
        <v>0</v>
      </c>
      <c r="AG46" s="16">
        <f>IFERROR(VLOOKUP(AG$7,'REF Project Costs'!$A$4:$I$16,6,FALSE),0)</f>
        <v>0</v>
      </c>
      <c r="AH46" s="16">
        <f>IFERROR(VLOOKUP(AH$7,'REF Project Costs'!$A$4:$I$16,6,FALSE),0)</f>
        <v>0</v>
      </c>
      <c r="AI46" s="16">
        <f>IFERROR(VLOOKUP(AI$7,'REF Project Costs'!$A$4:$I$16,6,FALSE),0)</f>
        <v>0</v>
      </c>
      <c r="AJ46" s="16">
        <f>IFERROR(VLOOKUP(AJ$7,'REF Project Costs'!$A$4:$I$16,6,FALSE),0)</f>
        <v>0</v>
      </c>
      <c r="AK46" s="16">
        <f>IFERROR(VLOOKUP(AK$7,'REF Project Costs'!$A$4:$I$16,6,FALSE),0)</f>
        <v>0</v>
      </c>
      <c r="AL46" s="16">
        <f>IFERROR(VLOOKUP(AL$7,'REF Project Costs'!$A$4:$I$16,6,FALSE),0)</f>
        <v>0</v>
      </c>
      <c r="AM46" s="16">
        <f>IFERROR(VLOOKUP(AM$7,'REF Project Costs'!$A$4:$I$16,6,FALSE),0)</f>
        <v>0</v>
      </c>
      <c r="AN46" s="16">
        <f>IFERROR(VLOOKUP(AN$7,'REF Project Costs'!$A$4:$I$16,6,FALSE),0)</f>
        <v>0</v>
      </c>
      <c r="AO46" s="16">
        <f>IFERROR(VLOOKUP(AO$7,'REF Project Costs'!$A$4:$I$16,6,FALSE),0)</f>
        <v>0</v>
      </c>
      <c r="AP46" s="16">
        <f>IFERROR(VLOOKUP(AP$7,'REF Project Costs'!$A$4:$I$16,6,FALSE),0)</f>
        <v>0</v>
      </c>
      <c r="AQ46" s="16">
        <f>IFERROR(VLOOKUP(AQ$7,'REF Project Costs'!$A$4:$I$16,6,FALSE),0)</f>
        <v>0</v>
      </c>
      <c r="AR46" s="16">
        <f>IFERROR(VLOOKUP(AR$7,'REF Project Costs'!$A$4:$I$16,6,FALSE),0)</f>
        <v>0</v>
      </c>
    </row>
    <row r="47" spans="1:44" x14ac:dyDescent="0.2">
      <c r="B47" s="1" t="s">
        <v>205</v>
      </c>
      <c r="C47" s="76" t="s">
        <v>72</v>
      </c>
      <c r="D47" s="75">
        <f t="shared" si="22"/>
        <v>473760</v>
      </c>
      <c r="F47" s="16">
        <f>IFERROR(VLOOKUP(F$7,'REF Project Costs'!$A$4:$I$16,7,FALSE),0)</f>
        <v>0</v>
      </c>
      <c r="G47" s="16">
        <f>IFERROR(VLOOKUP(G$7,'REF Project Costs'!$A$4:$I$16,7,FALSE),0)</f>
        <v>0</v>
      </c>
      <c r="H47" s="16">
        <f>IFERROR(VLOOKUP(H$7,'REF Project Costs'!$A$4:$I$16,7,FALSE),0)</f>
        <v>0</v>
      </c>
      <c r="I47" s="16">
        <f>IFERROR(VLOOKUP(I$7,'REF Project Costs'!$A$4:$I$16,7,FALSE),0)</f>
        <v>0</v>
      </c>
      <c r="J47" s="16">
        <f>IFERROR(VLOOKUP(J$7,'REF Project Costs'!$A$4:$I$16,7,FALSE),0)</f>
        <v>0</v>
      </c>
      <c r="K47" s="16">
        <f>IFERROR(VLOOKUP(K$7,'REF Project Costs'!$A$4:$I$16,7,FALSE),0)</f>
        <v>0</v>
      </c>
      <c r="L47" s="16">
        <f>IFERROR(VLOOKUP(L$7,'REF Project Costs'!$A$4:$I$16,7,FALSE),0)</f>
        <v>473760</v>
      </c>
      <c r="M47" s="16">
        <f>IFERROR(VLOOKUP(M$7,'REF Project Costs'!$A$4:$I$16,7,FALSE),0)</f>
        <v>0</v>
      </c>
      <c r="N47" s="16">
        <f>IFERROR(VLOOKUP(N$7,'REF Project Costs'!$A$4:$I$16,7,FALSE),0)</f>
        <v>0</v>
      </c>
      <c r="O47" s="16">
        <f>IFERROR(VLOOKUP(O$7,'REF Project Costs'!$A$4:$I$16,7,FALSE),0)</f>
        <v>0</v>
      </c>
      <c r="P47" s="16">
        <f>IFERROR(VLOOKUP(P$7,'REF Project Costs'!$A$4:$I$16,7,FALSE),0)</f>
        <v>0</v>
      </c>
      <c r="Q47" s="16">
        <f>IFERROR(VLOOKUP(Q$7,'REF Project Costs'!$A$4:$I$16,7,FALSE),0)</f>
        <v>0</v>
      </c>
      <c r="R47" s="16">
        <f>IFERROR(VLOOKUP(R$7,'REF Project Costs'!$A$4:$I$16,7,FALSE),0)</f>
        <v>0</v>
      </c>
      <c r="S47" s="16">
        <f>IFERROR(VLOOKUP(S$7,'REF Project Costs'!$A$4:$I$16,7,FALSE),0)</f>
        <v>0</v>
      </c>
      <c r="T47" s="16">
        <f>IFERROR(VLOOKUP(T$7,'REF Project Costs'!$A$4:$I$16,7,FALSE),0)</f>
        <v>0</v>
      </c>
      <c r="U47" s="16">
        <f>IFERROR(VLOOKUP(U$7,'REF Project Costs'!$A$4:$I$16,7,FALSE),0)</f>
        <v>0</v>
      </c>
      <c r="V47" s="16">
        <f>IFERROR(VLOOKUP(V$7,'REF Project Costs'!$A$4:$I$16,7,FALSE),0)</f>
        <v>0</v>
      </c>
      <c r="W47" s="16">
        <f>IFERROR(VLOOKUP(W$7,'REF Project Costs'!$A$4:$I$16,7,FALSE),0)</f>
        <v>0</v>
      </c>
      <c r="X47" s="16">
        <f>IFERROR(VLOOKUP(X$7,'REF Project Costs'!$A$4:$I$16,7,FALSE),0)</f>
        <v>0</v>
      </c>
      <c r="Y47" s="16">
        <f>IFERROR(VLOOKUP(Y$7,'REF Project Costs'!$A$4:$I$16,7,FALSE),0)</f>
        <v>0</v>
      </c>
      <c r="Z47" s="16">
        <f>IFERROR(VLOOKUP(Z$7,'REF Project Costs'!$A$4:$I$16,7,FALSE),0)</f>
        <v>0</v>
      </c>
      <c r="AA47" s="16">
        <f>IFERROR(VLOOKUP(AA$7,'REF Project Costs'!$A$4:$I$16,7,FALSE),0)</f>
        <v>0</v>
      </c>
      <c r="AB47" s="16">
        <f>IFERROR(VLOOKUP(AB$7,'REF Project Costs'!$A$4:$I$16,7,FALSE),0)</f>
        <v>0</v>
      </c>
      <c r="AC47" s="16">
        <f>IFERROR(VLOOKUP(AC$7,'REF Project Costs'!$A$4:$I$16,7,FALSE),0)</f>
        <v>0</v>
      </c>
      <c r="AD47" s="16">
        <f>IFERROR(VLOOKUP(AD$7,'REF Project Costs'!$A$4:$I$16,7,FALSE),0)</f>
        <v>0</v>
      </c>
      <c r="AE47" s="16">
        <f>IFERROR(VLOOKUP(AE$7,'REF Project Costs'!$A$4:$I$16,7,FALSE),0)</f>
        <v>0</v>
      </c>
      <c r="AF47" s="16">
        <f>IFERROR(VLOOKUP(AF$7,'REF Project Costs'!$A$4:$I$16,7,FALSE),0)</f>
        <v>0</v>
      </c>
      <c r="AG47" s="16">
        <f>IFERROR(VLOOKUP(AG$7,'REF Project Costs'!$A$4:$I$16,7,FALSE),0)</f>
        <v>0</v>
      </c>
      <c r="AH47" s="16">
        <f>IFERROR(VLOOKUP(AH$7,'REF Project Costs'!$A$4:$I$16,7,FALSE),0)</f>
        <v>0</v>
      </c>
      <c r="AI47" s="16">
        <f>IFERROR(VLOOKUP(AI$7,'REF Project Costs'!$A$4:$I$16,7,FALSE),0)</f>
        <v>0</v>
      </c>
      <c r="AJ47" s="16">
        <f>IFERROR(VLOOKUP(AJ$7,'REF Project Costs'!$A$4:$I$16,7,FALSE),0)</f>
        <v>0</v>
      </c>
      <c r="AK47" s="16">
        <f>IFERROR(VLOOKUP(AK$7,'REF Project Costs'!$A$4:$I$16,7,FALSE),0)</f>
        <v>0</v>
      </c>
      <c r="AL47" s="16">
        <f>IFERROR(VLOOKUP(AL$7,'REF Project Costs'!$A$4:$I$16,7,FALSE),0)</f>
        <v>0</v>
      </c>
      <c r="AM47" s="16">
        <f>IFERROR(VLOOKUP(AM$7,'REF Project Costs'!$A$4:$I$16,7,FALSE),0)</f>
        <v>0</v>
      </c>
      <c r="AN47" s="16">
        <f>IFERROR(VLOOKUP(AN$7,'REF Project Costs'!$A$4:$I$16,7,FALSE),0)</f>
        <v>0</v>
      </c>
      <c r="AO47" s="16">
        <f>IFERROR(VLOOKUP(AO$7,'REF Project Costs'!$A$4:$I$16,7,FALSE),0)</f>
        <v>0</v>
      </c>
      <c r="AP47" s="16">
        <f>IFERROR(VLOOKUP(AP$7,'REF Project Costs'!$A$4:$I$16,7,FALSE),0)</f>
        <v>0</v>
      </c>
      <c r="AQ47" s="16">
        <f>IFERROR(VLOOKUP(AQ$7,'REF Project Costs'!$A$4:$I$16,7,FALSE),0)</f>
        <v>0</v>
      </c>
      <c r="AR47" s="16">
        <f>IFERROR(VLOOKUP(AR$7,'REF Project Costs'!$A$4:$I$16,7,FALSE),0)</f>
        <v>0</v>
      </c>
    </row>
    <row r="48" spans="1:44" x14ac:dyDescent="0.2">
      <c r="B48" s="58" t="s">
        <v>204</v>
      </c>
      <c r="C48" s="84" t="s">
        <v>72</v>
      </c>
      <c r="D48" s="85">
        <f t="shared" si="22"/>
        <v>1832708.372337172</v>
      </c>
      <c r="E48" s="58"/>
      <c r="F48" s="86">
        <f>IFERROR(VLOOKUP(F$7,'REF Project Costs'!$A$4:$I$16,8,FALSE),0)</f>
        <v>0</v>
      </c>
      <c r="G48" s="86">
        <f>IFERROR(VLOOKUP(G$7,'REF Project Costs'!$A$4:$I$16,8,FALSE),0)</f>
        <v>0</v>
      </c>
      <c r="H48" s="86">
        <f>IFERROR(VLOOKUP(H$7,'REF Project Costs'!$A$4:$I$16,8,FALSE),0)</f>
        <v>0</v>
      </c>
      <c r="I48" s="86">
        <f>IFERROR(VLOOKUP(I$7,'REF Project Costs'!$A$4:$I$16,8,FALSE),0)</f>
        <v>0</v>
      </c>
      <c r="J48" s="86">
        <f>IFERROR(VLOOKUP(J$7,'REF Project Costs'!$A$4:$I$16,8,FALSE),0)</f>
        <v>0</v>
      </c>
      <c r="K48" s="86">
        <f>IFERROR(VLOOKUP(K$7,'REF Project Costs'!$A$4:$I$16,8,FALSE),0)</f>
        <v>0</v>
      </c>
      <c r="L48" s="86">
        <f>IFERROR(VLOOKUP(L$7,'REF Project Costs'!$A$4:$I$16,8,FALSE),0)</f>
        <v>1832708.372337172</v>
      </c>
      <c r="M48" s="86">
        <f>IFERROR(VLOOKUP(M$7,'REF Project Costs'!$A$4:$I$16,8,FALSE),0)</f>
        <v>0</v>
      </c>
      <c r="N48" s="86">
        <f>IFERROR(VLOOKUP(N$7,'REF Project Costs'!$A$4:$I$16,8,FALSE),0)</f>
        <v>0</v>
      </c>
      <c r="O48" s="86">
        <f>IFERROR(VLOOKUP(O$7,'REF Project Costs'!$A$4:$I$16,8,FALSE),0)</f>
        <v>0</v>
      </c>
      <c r="P48" s="86">
        <f>IFERROR(VLOOKUP(P$7,'REF Project Costs'!$A$4:$I$16,8,FALSE),0)</f>
        <v>0</v>
      </c>
      <c r="Q48" s="86">
        <f>IFERROR(VLOOKUP(Q$7,'REF Project Costs'!$A$4:$I$16,8,FALSE),0)</f>
        <v>0</v>
      </c>
      <c r="R48" s="86">
        <f>IFERROR(VLOOKUP(R$7,'REF Project Costs'!$A$4:$I$16,8,FALSE),0)</f>
        <v>0</v>
      </c>
      <c r="S48" s="86">
        <f>IFERROR(VLOOKUP(S$7,'REF Project Costs'!$A$4:$I$16,8,FALSE),0)</f>
        <v>0</v>
      </c>
      <c r="T48" s="86">
        <f>IFERROR(VLOOKUP(T$7,'REF Project Costs'!$A$4:$I$16,8,FALSE),0)</f>
        <v>0</v>
      </c>
      <c r="U48" s="86">
        <f>IFERROR(VLOOKUP(U$7,'REF Project Costs'!$A$4:$I$16,8,FALSE),0)</f>
        <v>0</v>
      </c>
      <c r="V48" s="86">
        <f>IFERROR(VLOOKUP(V$7,'REF Project Costs'!$A$4:$I$16,8,FALSE),0)</f>
        <v>0</v>
      </c>
      <c r="W48" s="86">
        <f>IFERROR(VLOOKUP(W$7,'REF Project Costs'!$A$4:$I$16,8,FALSE),0)</f>
        <v>0</v>
      </c>
      <c r="X48" s="86">
        <f>IFERROR(VLOOKUP(X$7,'REF Project Costs'!$A$4:$I$16,8,FALSE),0)</f>
        <v>0</v>
      </c>
      <c r="Y48" s="86">
        <f>IFERROR(VLOOKUP(Y$7,'REF Project Costs'!$A$4:$I$16,8,FALSE),0)</f>
        <v>0</v>
      </c>
      <c r="Z48" s="86">
        <f>IFERROR(VLOOKUP(Z$7,'REF Project Costs'!$A$4:$I$16,8,FALSE),0)</f>
        <v>0</v>
      </c>
      <c r="AA48" s="86">
        <f>IFERROR(VLOOKUP(AA$7,'REF Project Costs'!$A$4:$I$16,8,FALSE),0)</f>
        <v>0</v>
      </c>
      <c r="AB48" s="86">
        <f>IFERROR(VLOOKUP(AB$7,'REF Project Costs'!$A$4:$I$16,8,FALSE),0)</f>
        <v>0</v>
      </c>
      <c r="AC48" s="86">
        <f>IFERROR(VLOOKUP(AC$7,'REF Project Costs'!$A$4:$I$16,8,FALSE),0)</f>
        <v>0</v>
      </c>
      <c r="AD48" s="86">
        <f>IFERROR(VLOOKUP(AD$7,'REF Project Costs'!$A$4:$I$16,8,FALSE),0)</f>
        <v>0</v>
      </c>
      <c r="AE48" s="86">
        <f>IFERROR(VLOOKUP(AE$7,'REF Project Costs'!$A$4:$I$16,8,FALSE),0)</f>
        <v>0</v>
      </c>
      <c r="AF48" s="86">
        <f>IFERROR(VLOOKUP(AF$7,'REF Project Costs'!$A$4:$I$16,8,FALSE),0)</f>
        <v>0</v>
      </c>
      <c r="AG48" s="86">
        <f>IFERROR(VLOOKUP(AG$7,'REF Project Costs'!$A$4:$I$16,8,FALSE),0)</f>
        <v>0</v>
      </c>
      <c r="AH48" s="86">
        <f>IFERROR(VLOOKUP(AH$7,'REF Project Costs'!$A$4:$I$16,8,FALSE),0)</f>
        <v>0</v>
      </c>
      <c r="AI48" s="86">
        <f>IFERROR(VLOOKUP(AI$7,'REF Project Costs'!$A$4:$I$16,8,FALSE),0)</f>
        <v>0</v>
      </c>
      <c r="AJ48" s="86">
        <f>IFERROR(VLOOKUP(AJ$7,'REF Project Costs'!$A$4:$I$16,8,FALSE),0)</f>
        <v>0</v>
      </c>
      <c r="AK48" s="86">
        <f>IFERROR(VLOOKUP(AK$7,'REF Project Costs'!$A$4:$I$16,8,FALSE),0)</f>
        <v>0</v>
      </c>
      <c r="AL48" s="86">
        <f>IFERROR(VLOOKUP(AL$7,'REF Project Costs'!$A$4:$I$16,8,FALSE),0)</f>
        <v>0</v>
      </c>
      <c r="AM48" s="86">
        <f>IFERROR(VLOOKUP(AM$7,'REF Project Costs'!$A$4:$I$16,8,FALSE),0)</f>
        <v>0</v>
      </c>
      <c r="AN48" s="86">
        <f>IFERROR(VLOOKUP(AN$7,'REF Project Costs'!$A$4:$I$16,8,FALSE),0)</f>
        <v>0</v>
      </c>
      <c r="AO48" s="86">
        <f>IFERROR(VLOOKUP(AO$7,'REF Project Costs'!$A$4:$I$16,8,FALSE),0)</f>
        <v>0</v>
      </c>
      <c r="AP48" s="86">
        <f>IFERROR(VLOOKUP(AP$7,'REF Project Costs'!$A$4:$I$16,8,FALSE),0)</f>
        <v>0</v>
      </c>
      <c r="AQ48" s="86">
        <f>IFERROR(VLOOKUP(AQ$7,'REF Project Costs'!$A$4:$I$16,8,FALSE),0)</f>
        <v>0</v>
      </c>
      <c r="AR48" s="86">
        <f>IFERROR(VLOOKUP(AR$7,'REF Project Costs'!$A$4:$I$16,8,FALSE),0)</f>
        <v>0</v>
      </c>
    </row>
    <row r="49" spans="1:44" x14ac:dyDescent="0.2">
      <c r="B49" s="1" t="s">
        <v>207</v>
      </c>
      <c r="C49" s="76" t="s">
        <v>72</v>
      </c>
      <c r="D49" s="75">
        <f t="shared" si="22"/>
        <v>27335510.498564161</v>
      </c>
      <c r="F49" s="16">
        <f t="shared" ref="F49:AR49" si="23">SUM(F45:F48)</f>
        <v>0</v>
      </c>
      <c r="G49" s="16">
        <f t="shared" si="23"/>
        <v>0</v>
      </c>
      <c r="H49" s="16">
        <f t="shared" si="23"/>
        <v>0</v>
      </c>
      <c r="I49" s="16">
        <f t="shared" si="23"/>
        <v>0</v>
      </c>
      <c r="J49" s="16">
        <f t="shared" si="23"/>
        <v>0</v>
      </c>
      <c r="K49" s="16">
        <f t="shared" si="23"/>
        <v>0</v>
      </c>
      <c r="L49" s="16">
        <f t="shared" si="23"/>
        <v>2546581.9893188532</v>
      </c>
      <c r="M49" s="16">
        <f t="shared" si="23"/>
        <v>12394464.254622653</v>
      </c>
      <c r="N49" s="16">
        <f t="shared" si="23"/>
        <v>12394464.254622653</v>
      </c>
      <c r="O49" s="16">
        <f t="shared" si="23"/>
        <v>0</v>
      </c>
      <c r="P49" s="16">
        <f t="shared" si="23"/>
        <v>0</v>
      </c>
      <c r="Q49" s="16">
        <f t="shared" si="23"/>
        <v>0</v>
      </c>
      <c r="R49" s="16">
        <f t="shared" si="23"/>
        <v>0</v>
      </c>
      <c r="S49" s="16">
        <f t="shared" si="23"/>
        <v>0</v>
      </c>
      <c r="T49" s="16">
        <f t="shared" si="23"/>
        <v>0</v>
      </c>
      <c r="U49" s="16">
        <f t="shared" si="23"/>
        <v>0</v>
      </c>
      <c r="V49" s="16">
        <f t="shared" si="23"/>
        <v>0</v>
      </c>
      <c r="W49" s="16">
        <f t="shared" si="23"/>
        <v>0</v>
      </c>
      <c r="X49" s="16">
        <f t="shared" si="23"/>
        <v>0</v>
      </c>
      <c r="Y49" s="16">
        <f t="shared" si="23"/>
        <v>0</v>
      </c>
      <c r="Z49" s="16">
        <f t="shared" si="23"/>
        <v>0</v>
      </c>
      <c r="AA49" s="16">
        <f t="shared" si="23"/>
        <v>0</v>
      </c>
      <c r="AB49" s="16">
        <f t="shared" si="23"/>
        <v>0</v>
      </c>
      <c r="AC49" s="16">
        <f t="shared" si="23"/>
        <v>0</v>
      </c>
      <c r="AD49" s="16">
        <f t="shared" si="23"/>
        <v>0</v>
      </c>
      <c r="AE49" s="16">
        <f t="shared" si="23"/>
        <v>0</v>
      </c>
      <c r="AF49" s="16">
        <f t="shared" si="23"/>
        <v>0</v>
      </c>
      <c r="AG49" s="16">
        <f t="shared" si="23"/>
        <v>0</v>
      </c>
      <c r="AH49" s="16">
        <f t="shared" si="23"/>
        <v>0</v>
      </c>
      <c r="AI49" s="16">
        <f t="shared" si="23"/>
        <v>0</v>
      </c>
      <c r="AJ49" s="16">
        <f t="shared" si="23"/>
        <v>0</v>
      </c>
      <c r="AK49" s="16">
        <f t="shared" si="23"/>
        <v>0</v>
      </c>
      <c r="AL49" s="16">
        <f t="shared" si="23"/>
        <v>0</v>
      </c>
      <c r="AM49" s="16">
        <f t="shared" si="23"/>
        <v>0</v>
      </c>
      <c r="AN49" s="16">
        <f t="shared" si="23"/>
        <v>0</v>
      </c>
      <c r="AO49" s="16">
        <f t="shared" si="23"/>
        <v>0</v>
      </c>
      <c r="AP49" s="16">
        <f t="shared" si="23"/>
        <v>0</v>
      </c>
      <c r="AQ49" s="16">
        <f t="shared" si="23"/>
        <v>0</v>
      </c>
      <c r="AR49" s="16">
        <f t="shared" si="23"/>
        <v>0</v>
      </c>
    </row>
    <row r="50" spans="1:44" x14ac:dyDescent="0.2">
      <c r="C50" s="76"/>
      <c r="D50" s="75"/>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1:44" ht="15" x14ac:dyDescent="0.25">
      <c r="B51" s="2" t="s">
        <v>208</v>
      </c>
      <c r="C51" s="12"/>
    </row>
    <row r="52" spans="1:44" x14ac:dyDescent="0.2">
      <c r="B52" s="1" t="s">
        <v>209</v>
      </c>
      <c r="C52" s="76" t="s">
        <v>72</v>
      </c>
      <c r="D52" s="75">
        <f>SUM(F52:AR52)</f>
        <v>27335510.498564161</v>
      </c>
      <c r="E52" s="16"/>
      <c r="F52" s="16">
        <f t="shared" ref="F52:AR52" si="24">F15*F$49</f>
        <v>0</v>
      </c>
      <c r="G52" s="16">
        <f t="shared" si="24"/>
        <v>0</v>
      </c>
      <c r="H52" s="16">
        <f t="shared" si="24"/>
        <v>0</v>
      </c>
      <c r="I52" s="16">
        <f t="shared" si="24"/>
        <v>0</v>
      </c>
      <c r="J52" s="16">
        <f t="shared" si="24"/>
        <v>0</v>
      </c>
      <c r="K52" s="16">
        <f t="shared" si="24"/>
        <v>0</v>
      </c>
      <c r="L52" s="16">
        <f t="shared" si="24"/>
        <v>2546581.9893188532</v>
      </c>
      <c r="M52" s="16">
        <f t="shared" si="24"/>
        <v>12394464.254622653</v>
      </c>
      <c r="N52" s="16">
        <f t="shared" si="24"/>
        <v>12394464.254622653</v>
      </c>
      <c r="O52" s="16">
        <f t="shared" si="24"/>
        <v>0</v>
      </c>
      <c r="P52" s="16">
        <f t="shared" si="24"/>
        <v>0</v>
      </c>
      <c r="Q52" s="16">
        <f t="shared" si="24"/>
        <v>0</v>
      </c>
      <c r="R52" s="16">
        <f t="shared" si="24"/>
        <v>0</v>
      </c>
      <c r="S52" s="16">
        <f t="shared" si="24"/>
        <v>0</v>
      </c>
      <c r="T52" s="16">
        <f t="shared" si="24"/>
        <v>0</v>
      </c>
      <c r="U52" s="16">
        <f t="shared" si="24"/>
        <v>0</v>
      </c>
      <c r="V52" s="16">
        <f t="shared" si="24"/>
        <v>0</v>
      </c>
      <c r="W52" s="16">
        <f t="shared" si="24"/>
        <v>0</v>
      </c>
      <c r="X52" s="16">
        <f t="shared" si="24"/>
        <v>0</v>
      </c>
      <c r="Y52" s="16">
        <f t="shared" si="24"/>
        <v>0</v>
      </c>
      <c r="Z52" s="16">
        <f t="shared" si="24"/>
        <v>0</v>
      </c>
      <c r="AA52" s="16">
        <f t="shared" si="24"/>
        <v>0</v>
      </c>
      <c r="AB52" s="16">
        <f t="shared" si="24"/>
        <v>0</v>
      </c>
      <c r="AC52" s="16">
        <f t="shared" si="24"/>
        <v>0</v>
      </c>
      <c r="AD52" s="16">
        <f t="shared" si="24"/>
        <v>0</v>
      </c>
      <c r="AE52" s="16">
        <f t="shared" si="24"/>
        <v>0</v>
      </c>
      <c r="AF52" s="16">
        <f t="shared" si="24"/>
        <v>0</v>
      </c>
      <c r="AG52" s="16">
        <f t="shared" si="24"/>
        <v>0</v>
      </c>
      <c r="AH52" s="16">
        <f t="shared" si="24"/>
        <v>0</v>
      </c>
      <c r="AI52" s="16">
        <f t="shared" si="24"/>
        <v>0</v>
      </c>
      <c r="AJ52" s="16">
        <f t="shared" si="24"/>
        <v>0</v>
      </c>
      <c r="AK52" s="16">
        <f t="shared" si="24"/>
        <v>0</v>
      </c>
      <c r="AL52" s="16">
        <f t="shared" si="24"/>
        <v>0</v>
      </c>
      <c r="AM52" s="16">
        <f t="shared" si="24"/>
        <v>0</v>
      </c>
      <c r="AN52" s="16">
        <f t="shared" si="24"/>
        <v>0</v>
      </c>
      <c r="AO52" s="16">
        <f t="shared" si="24"/>
        <v>0</v>
      </c>
      <c r="AP52" s="16">
        <f t="shared" si="24"/>
        <v>0</v>
      </c>
      <c r="AQ52" s="16">
        <f t="shared" si="24"/>
        <v>0</v>
      </c>
      <c r="AR52" s="16">
        <f t="shared" si="24"/>
        <v>0</v>
      </c>
    </row>
    <row r="53" spans="1:44" x14ac:dyDescent="0.2">
      <c r="B53" s="1" t="str">
        <f>Inputs!$C$30</f>
        <v>2% Discount Factor</v>
      </c>
      <c r="C53" s="76" t="s">
        <v>72</v>
      </c>
      <c r="D53" s="75">
        <f>SUM(F53:AR53)</f>
        <v>25076318.341719985</v>
      </c>
      <c r="E53" s="16"/>
      <c r="F53" s="16">
        <f t="shared" ref="F53:AR53" si="25">F16*F$49</f>
        <v>0</v>
      </c>
      <c r="G53" s="16">
        <f t="shared" si="25"/>
        <v>0</v>
      </c>
      <c r="H53" s="16">
        <f t="shared" si="25"/>
        <v>0</v>
      </c>
      <c r="I53" s="16">
        <f t="shared" si="25"/>
        <v>0</v>
      </c>
      <c r="J53" s="16">
        <f t="shared" si="25"/>
        <v>0</v>
      </c>
      <c r="K53" s="16">
        <f t="shared" si="25"/>
        <v>0</v>
      </c>
      <c r="L53" s="16">
        <f t="shared" si="25"/>
        <v>2399701.0852903989</v>
      </c>
      <c r="M53" s="16">
        <f t="shared" si="25"/>
        <v>11450569.109682268</v>
      </c>
      <c r="N53" s="16">
        <f t="shared" si="25"/>
        <v>11226048.146747321</v>
      </c>
      <c r="O53" s="16">
        <f t="shared" si="25"/>
        <v>0</v>
      </c>
      <c r="P53" s="16">
        <f t="shared" si="25"/>
        <v>0</v>
      </c>
      <c r="Q53" s="16">
        <f t="shared" si="25"/>
        <v>0</v>
      </c>
      <c r="R53" s="16">
        <f t="shared" si="25"/>
        <v>0</v>
      </c>
      <c r="S53" s="16">
        <f t="shared" si="25"/>
        <v>0</v>
      </c>
      <c r="T53" s="16">
        <f t="shared" si="25"/>
        <v>0</v>
      </c>
      <c r="U53" s="16">
        <f t="shared" si="25"/>
        <v>0</v>
      </c>
      <c r="V53" s="16">
        <f t="shared" si="25"/>
        <v>0</v>
      </c>
      <c r="W53" s="16">
        <f t="shared" si="25"/>
        <v>0</v>
      </c>
      <c r="X53" s="16">
        <f t="shared" si="25"/>
        <v>0</v>
      </c>
      <c r="Y53" s="16">
        <f t="shared" si="25"/>
        <v>0</v>
      </c>
      <c r="Z53" s="16">
        <f t="shared" si="25"/>
        <v>0</v>
      </c>
      <c r="AA53" s="16">
        <f t="shared" si="25"/>
        <v>0</v>
      </c>
      <c r="AB53" s="16">
        <f t="shared" si="25"/>
        <v>0</v>
      </c>
      <c r="AC53" s="16">
        <f t="shared" si="25"/>
        <v>0</v>
      </c>
      <c r="AD53" s="16">
        <f t="shared" si="25"/>
        <v>0</v>
      </c>
      <c r="AE53" s="16">
        <f t="shared" si="25"/>
        <v>0</v>
      </c>
      <c r="AF53" s="16">
        <f t="shared" si="25"/>
        <v>0</v>
      </c>
      <c r="AG53" s="16">
        <f t="shared" si="25"/>
        <v>0</v>
      </c>
      <c r="AH53" s="16">
        <f t="shared" si="25"/>
        <v>0</v>
      </c>
      <c r="AI53" s="16">
        <f t="shared" si="25"/>
        <v>0</v>
      </c>
      <c r="AJ53" s="16">
        <f t="shared" si="25"/>
        <v>0</v>
      </c>
      <c r="AK53" s="16">
        <f t="shared" si="25"/>
        <v>0</v>
      </c>
      <c r="AL53" s="16">
        <f t="shared" si="25"/>
        <v>0</v>
      </c>
      <c r="AM53" s="16">
        <f t="shared" si="25"/>
        <v>0</v>
      </c>
      <c r="AN53" s="16">
        <f t="shared" si="25"/>
        <v>0</v>
      </c>
      <c r="AO53" s="16">
        <f t="shared" si="25"/>
        <v>0</v>
      </c>
      <c r="AP53" s="16">
        <f t="shared" si="25"/>
        <v>0</v>
      </c>
      <c r="AQ53" s="16">
        <f t="shared" si="25"/>
        <v>0</v>
      </c>
      <c r="AR53" s="16">
        <f t="shared" si="25"/>
        <v>0</v>
      </c>
    </row>
    <row r="54" spans="1:44" x14ac:dyDescent="0.2">
      <c r="B54" s="1" t="str">
        <f>Inputs!$C$31</f>
        <v>3.1% Discount Factor</v>
      </c>
      <c r="C54" s="76" t="s">
        <v>72</v>
      </c>
      <c r="D54" s="75">
        <f>SUM(F54:AR54)</f>
        <v>23933190.598628066</v>
      </c>
      <c r="E54" s="16"/>
      <c r="F54" s="16">
        <f t="shared" ref="F54:AR54" si="26">F17*F$49</f>
        <v>0</v>
      </c>
      <c r="G54" s="16">
        <f t="shared" si="26"/>
        <v>0</v>
      </c>
      <c r="H54" s="16">
        <f t="shared" si="26"/>
        <v>0</v>
      </c>
      <c r="I54" s="16">
        <f t="shared" si="26"/>
        <v>0</v>
      </c>
      <c r="J54" s="16">
        <f t="shared" si="26"/>
        <v>0</v>
      </c>
      <c r="K54" s="16">
        <f t="shared" si="26"/>
        <v>0</v>
      </c>
      <c r="L54" s="16">
        <f t="shared" si="26"/>
        <v>2323708.6109699891</v>
      </c>
      <c r="M54" s="16">
        <f t="shared" si="26"/>
        <v>10969658.2615832</v>
      </c>
      <c r="N54" s="16">
        <f t="shared" si="26"/>
        <v>10639823.72607488</v>
      </c>
      <c r="O54" s="16">
        <f t="shared" si="26"/>
        <v>0</v>
      </c>
      <c r="P54" s="16">
        <f t="shared" si="26"/>
        <v>0</v>
      </c>
      <c r="Q54" s="16">
        <f t="shared" si="26"/>
        <v>0</v>
      </c>
      <c r="R54" s="16">
        <f t="shared" si="26"/>
        <v>0</v>
      </c>
      <c r="S54" s="16">
        <f t="shared" si="26"/>
        <v>0</v>
      </c>
      <c r="T54" s="16">
        <f t="shared" si="26"/>
        <v>0</v>
      </c>
      <c r="U54" s="16">
        <f t="shared" si="26"/>
        <v>0</v>
      </c>
      <c r="V54" s="16">
        <f t="shared" si="26"/>
        <v>0</v>
      </c>
      <c r="W54" s="16">
        <f t="shared" si="26"/>
        <v>0</v>
      </c>
      <c r="X54" s="16">
        <f t="shared" si="26"/>
        <v>0</v>
      </c>
      <c r="Y54" s="16">
        <f t="shared" si="26"/>
        <v>0</v>
      </c>
      <c r="Z54" s="16">
        <f t="shared" si="26"/>
        <v>0</v>
      </c>
      <c r="AA54" s="16">
        <f t="shared" si="26"/>
        <v>0</v>
      </c>
      <c r="AB54" s="16">
        <f t="shared" si="26"/>
        <v>0</v>
      </c>
      <c r="AC54" s="16">
        <f t="shared" si="26"/>
        <v>0</v>
      </c>
      <c r="AD54" s="16">
        <f t="shared" si="26"/>
        <v>0</v>
      </c>
      <c r="AE54" s="16">
        <f t="shared" si="26"/>
        <v>0</v>
      </c>
      <c r="AF54" s="16">
        <f t="shared" si="26"/>
        <v>0</v>
      </c>
      <c r="AG54" s="16">
        <f t="shared" si="26"/>
        <v>0</v>
      </c>
      <c r="AH54" s="16">
        <f t="shared" si="26"/>
        <v>0</v>
      </c>
      <c r="AI54" s="16">
        <f t="shared" si="26"/>
        <v>0</v>
      </c>
      <c r="AJ54" s="16">
        <f t="shared" si="26"/>
        <v>0</v>
      </c>
      <c r="AK54" s="16">
        <f t="shared" si="26"/>
        <v>0</v>
      </c>
      <c r="AL54" s="16">
        <f t="shared" si="26"/>
        <v>0</v>
      </c>
      <c r="AM54" s="16">
        <f t="shared" si="26"/>
        <v>0</v>
      </c>
      <c r="AN54" s="16">
        <f t="shared" si="26"/>
        <v>0</v>
      </c>
      <c r="AO54" s="16">
        <f t="shared" si="26"/>
        <v>0</v>
      </c>
      <c r="AP54" s="16">
        <f t="shared" si="26"/>
        <v>0</v>
      </c>
      <c r="AQ54" s="16">
        <f t="shared" si="26"/>
        <v>0</v>
      </c>
      <c r="AR54" s="16">
        <f t="shared" si="26"/>
        <v>0</v>
      </c>
    </row>
    <row r="55" spans="1:44" x14ac:dyDescent="0.2">
      <c r="C55" s="76"/>
      <c r="D55" s="75"/>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1:44" s="2" customFormat="1" ht="15" x14ac:dyDescent="0.25">
      <c r="A56" s="2" t="s">
        <v>210</v>
      </c>
      <c r="C56" s="88"/>
      <c r="D56" s="89"/>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row>
    <row r="57" spans="1:44" x14ac:dyDescent="0.2">
      <c r="B57" s="1" t="s">
        <v>20</v>
      </c>
      <c r="C57" s="76" t="s">
        <v>72</v>
      </c>
      <c r="D57" s="75">
        <f>SUM(F57:AR57)</f>
        <v>326706.78312498133</v>
      </c>
      <c r="F57" s="16">
        <f>IFERROR(VLOOKUP(F$7,'REF Project Costs'!$A$4:$I$16,5,FALSE),0)</f>
        <v>0</v>
      </c>
      <c r="G57" s="16">
        <f>IFERROR(VLOOKUP(G$7,'REF Project Costs'!$A$4:$I$16,5,FALSE),0)</f>
        <v>0</v>
      </c>
      <c r="H57" s="16">
        <f>IFERROR(VLOOKUP(H$7,'REF Project Costs'!$A$4:$I$16,5,FALSE),0)</f>
        <v>0</v>
      </c>
      <c r="I57" s="16">
        <f>IFERROR(VLOOKUP(I$7,'REF Project Costs'!$A$4:$I$16,5,FALSE),0)</f>
        <v>0</v>
      </c>
      <c r="J57" s="16">
        <f>IFERROR(VLOOKUP(J$7,'REF Project Costs'!$A$4:$I$16,5,FALSE),0)</f>
        <v>0</v>
      </c>
      <c r="K57" s="16">
        <f>IFERROR(VLOOKUP(K$7,'REF Project Costs'!$A$4:$I$16,5,FALSE),0)</f>
        <v>0</v>
      </c>
      <c r="L57" s="16">
        <f>IFERROR(VLOOKUP(L$7,'REF Project Costs'!$A$4:$I$16,5,FALSE),0)</f>
        <v>0</v>
      </c>
      <c r="M57" s="16">
        <f>IFERROR(VLOOKUP(M$7,'REF Project Costs'!$A$4:$I$16,5,FALSE),0)</f>
        <v>0</v>
      </c>
      <c r="N57" s="16">
        <f>IFERROR(VLOOKUP(N$7,'REF Project Costs'!$A$4:$I$16,5,FALSE),0)</f>
        <v>0</v>
      </c>
      <c r="O57" s="16">
        <f>IFERROR(VLOOKUP(O$7,'REF Project Costs'!$A$4:$I$16,5,FALSE),0)</f>
        <v>326706.78312498133</v>
      </c>
      <c r="P57" s="16">
        <f>IFERROR(VLOOKUP(P$7,'REF Project Costs'!$A$4:$I$16,5,FALSE),0)</f>
        <v>0</v>
      </c>
      <c r="Q57" s="16">
        <f>IFERROR(VLOOKUP(Q$7,'REF Project Costs'!$A$4:$I$16,5,FALSE),0)</f>
        <v>0</v>
      </c>
      <c r="R57" s="16">
        <f>IFERROR(VLOOKUP(R$7,'REF Project Costs'!$A$4:$I$16,5,FALSE),0)</f>
        <v>0</v>
      </c>
      <c r="S57" s="16">
        <f>IFERROR(VLOOKUP(S$7,'REF Project Costs'!$A$4:$I$16,5,FALSE),0)</f>
        <v>0</v>
      </c>
      <c r="T57" s="16">
        <f>IFERROR(VLOOKUP(T$7,'REF Project Costs'!$A$4:$I$16,5,FALSE),0)</f>
        <v>0</v>
      </c>
      <c r="U57" s="16">
        <f>IFERROR(VLOOKUP(U$7,'REF Project Costs'!$A$4:$I$16,5,FALSE),0)</f>
        <v>0</v>
      </c>
      <c r="V57" s="16">
        <f>IFERROR(VLOOKUP(V$7,'REF Project Costs'!$A$4:$I$16,5,FALSE),0)</f>
        <v>0</v>
      </c>
      <c r="W57" s="16">
        <f>IFERROR(VLOOKUP(W$7,'REF Project Costs'!$A$4:$I$16,5,FALSE),0)</f>
        <v>0</v>
      </c>
      <c r="X57" s="16">
        <f>IFERROR(VLOOKUP(X$7,'REF Project Costs'!$A$4:$I$16,5,FALSE),0)</f>
        <v>0</v>
      </c>
      <c r="Y57" s="16">
        <f>IFERROR(VLOOKUP(Y$7,'REF Project Costs'!$A$4:$I$16,5,FALSE),0)</f>
        <v>0</v>
      </c>
      <c r="Z57" s="16">
        <f>IFERROR(VLOOKUP(Z$7,'REF Project Costs'!$A$4:$I$16,5,FALSE),0)</f>
        <v>0</v>
      </c>
      <c r="AA57" s="16">
        <f>IFERROR(VLOOKUP(AA$7,'REF Project Costs'!$A$4:$I$16,5,FALSE),0)</f>
        <v>0</v>
      </c>
      <c r="AB57" s="16">
        <f>IFERROR(VLOOKUP(AB$7,'REF Project Costs'!$A$4:$I$16,5,FALSE),0)</f>
        <v>0</v>
      </c>
      <c r="AC57" s="16">
        <f>IFERROR(VLOOKUP(AC$7,'REF Project Costs'!$A$4:$I$16,5,FALSE),0)</f>
        <v>0</v>
      </c>
      <c r="AD57" s="16">
        <f>IFERROR(VLOOKUP(AD$7,'REF Project Costs'!$A$4:$I$16,5,FALSE),0)</f>
        <v>0</v>
      </c>
      <c r="AE57" s="16">
        <f>IFERROR(VLOOKUP(AE$7,'REF Project Costs'!$A$4:$I$16,5,FALSE),0)</f>
        <v>0</v>
      </c>
      <c r="AF57" s="16">
        <f>IFERROR(VLOOKUP(AF$7,'REF Project Costs'!$A$4:$I$16,5,FALSE),0)</f>
        <v>0</v>
      </c>
      <c r="AG57" s="16">
        <f>IFERROR(VLOOKUP(AG$7,'REF Project Costs'!$A$4:$I$16,5,FALSE),0)</f>
        <v>0</v>
      </c>
      <c r="AH57" s="16">
        <f>IFERROR(VLOOKUP(AH$7,'REF Project Costs'!$A$4:$I$16,5,FALSE),0)</f>
        <v>0</v>
      </c>
      <c r="AI57" s="16">
        <f>IFERROR(VLOOKUP(AI$7,'REF Project Costs'!$A$4:$I$16,5,FALSE),0)</f>
        <v>0</v>
      </c>
      <c r="AJ57" s="16">
        <f>IFERROR(VLOOKUP(AJ$7,'REF Project Costs'!$A$4:$I$16,5,FALSE),0)</f>
        <v>0</v>
      </c>
      <c r="AK57" s="16">
        <f>IFERROR(VLOOKUP(AK$7,'REF Project Costs'!$A$4:$I$16,5,FALSE),0)</f>
        <v>0</v>
      </c>
      <c r="AL57" s="16">
        <f>IFERROR(VLOOKUP(AL$7,'REF Project Costs'!$A$4:$I$16,5,FALSE),0)</f>
        <v>0</v>
      </c>
      <c r="AM57" s="16">
        <f>IFERROR(VLOOKUP(AM$7,'REF Project Costs'!$A$4:$I$16,5,FALSE),0)</f>
        <v>0</v>
      </c>
      <c r="AN57" s="16">
        <f>IFERROR(VLOOKUP(AN$7,'REF Project Costs'!$A$4:$I$16,5,FALSE),0)</f>
        <v>0</v>
      </c>
      <c r="AO57" s="16">
        <f>IFERROR(VLOOKUP(AO$7,'REF Project Costs'!$A$4:$I$16,5,FALSE),0)</f>
        <v>0</v>
      </c>
      <c r="AP57" s="16">
        <f>IFERROR(VLOOKUP(AP$7,'REF Project Costs'!$A$4:$I$16,5,FALSE),0)</f>
        <v>0</v>
      </c>
      <c r="AQ57" s="16">
        <f>IFERROR(VLOOKUP(AQ$7,'REF Project Costs'!$A$4:$I$16,5,FALSE),0)</f>
        <v>0</v>
      </c>
      <c r="AR57" s="16">
        <f>IFERROR(VLOOKUP(AR$7,'REF Project Costs'!$A$4:$I$16,5,FALSE),0)</f>
        <v>0</v>
      </c>
    </row>
    <row r="58" spans="1:44" x14ac:dyDescent="0.2">
      <c r="C58" s="76"/>
      <c r="D58" s="7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1:44" ht="15" x14ac:dyDescent="0.25">
      <c r="B59" s="2" t="s">
        <v>208</v>
      </c>
      <c r="C59" s="12"/>
    </row>
    <row r="60" spans="1:44" x14ac:dyDescent="0.2">
      <c r="B60" s="1" t="s">
        <v>209</v>
      </c>
      <c r="C60" s="76" t="s">
        <v>72</v>
      </c>
      <c r="D60" s="75">
        <f>SUM(F60:AR60)</f>
        <v>326706.78312498133</v>
      </c>
      <c r="E60" s="16"/>
      <c r="F60" s="16">
        <f t="shared" ref="F60:AR60" si="27">F$57*F15</f>
        <v>0</v>
      </c>
      <c r="G60" s="16">
        <f t="shared" si="27"/>
        <v>0</v>
      </c>
      <c r="H60" s="16">
        <f t="shared" si="27"/>
        <v>0</v>
      </c>
      <c r="I60" s="16">
        <f t="shared" si="27"/>
        <v>0</v>
      </c>
      <c r="J60" s="16">
        <f t="shared" si="27"/>
        <v>0</v>
      </c>
      <c r="K60" s="16">
        <f t="shared" si="27"/>
        <v>0</v>
      </c>
      <c r="L60" s="16">
        <f t="shared" si="27"/>
        <v>0</v>
      </c>
      <c r="M60" s="16">
        <f t="shared" si="27"/>
        <v>0</v>
      </c>
      <c r="N60" s="16">
        <f t="shared" si="27"/>
        <v>0</v>
      </c>
      <c r="O60" s="16">
        <f t="shared" si="27"/>
        <v>326706.78312498133</v>
      </c>
      <c r="P60" s="16">
        <f t="shared" si="27"/>
        <v>0</v>
      </c>
      <c r="Q60" s="16">
        <f t="shared" si="27"/>
        <v>0</v>
      </c>
      <c r="R60" s="16">
        <f t="shared" si="27"/>
        <v>0</v>
      </c>
      <c r="S60" s="16">
        <f t="shared" si="27"/>
        <v>0</v>
      </c>
      <c r="T60" s="16">
        <f t="shared" si="27"/>
        <v>0</v>
      </c>
      <c r="U60" s="16">
        <f t="shared" si="27"/>
        <v>0</v>
      </c>
      <c r="V60" s="16">
        <f t="shared" si="27"/>
        <v>0</v>
      </c>
      <c r="W60" s="16">
        <f t="shared" si="27"/>
        <v>0</v>
      </c>
      <c r="X60" s="16">
        <f t="shared" si="27"/>
        <v>0</v>
      </c>
      <c r="Y60" s="16">
        <f t="shared" si="27"/>
        <v>0</v>
      </c>
      <c r="Z60" s="16">
        <f t="shared" si="27"/>
        <v>0</v>
      </c>
      <c r="AA60" s="16">
        <f t="shared" si="27"/>
        <v>0</v>
      </c>
      <c r="AB60" s="16">
        <f t="shared" si="27"/>
        <v>0</v>
      </c>
      <c r="AC60" s="16">
        <f t="shared" si="27"/>
        <v>0</v>
      </c>
      <c r="AD60" s="16">
        <f t="shared" si="27"/>
        <v>0</v>
      </c>
      <c r="AE60" s="16">
        <f t="shared" si="27"/>
        <v>0</v>
      </c>
      <c r="AF60" s="16">
        <f t="shared" si="27"/>
        <v>0</v>
      </c>
      <c r="AG60" s="16">
        <f t="shared" si="27"/>
        <v>0</v>
      </c>
      <c r="AH60" s="16">
        <f t="shared" si="27"/>
        <v>0</v>
      </c>
      <c r="AI60" s="16">
        <f t="shared" si="27"/>
        <v>0</v>
      </c>
      <c r="AJ60" s="16">
        <f t="shared" si="27"/>
        <v>0</v>
      </c>
      <c r="AK60" s="16">
        <f t="shared" si="27"/>
        <v>0</v>
      </c>
      <c r="AL60" s="16">
        <f t="shared" si="27"/>
        <v>0</v>
      </c>
      <c r="AM60" s="16">
        <f t="shared" si="27"/>
        <v>0</v>
      </c>
      <c r="AN60" s="16">
        <f t="shared" si="27"/>
        <v>0</v>
      </c>
      <c r="AO60" s="16">
        <f t="shared" si="27"/>
        <v>0</v>
      </c>
      <c r="AP60" s="16">
        <f t="shared" si="27"/>
        <v>0</v>
      </c>
      <c r="AQ60" s="16">
        <f t="shared" si="27"/>
        <v>0</v>
      </c>
      <c r="AR60" s="16">
        <f t="shared" si="27"/>
        <v>0</v>
      </c>
    </row>
    <row r="61" spans="1:44" x14ac:dyDescent="0.2">
      <c r="B61" s="1" t="str">
        <f>Inputs!$C$30</f>
        <v>2% Discount Factor</v>
      </c>
      <c r="C61" s="76" t="s">
        <v>72</v>
      </c>
      <c r="D61" s="75">
        <f>SUM(F61:AR61)</f>
        <v>290106.27378109412</v>
      </c>
      <c r="E61" s="16"/>
      <c r="F61" s="16">
        <f t="shared" ref="F61:AR61" si="28">F$57*F16</f>
        <v>0</v>
      </c>
      <c r="G61" s="16">
        <f t="shared" si="28"/>
        <v>0</v>
      </c>
      <c r="H61" s="16">
        <f t="shared" si="28"/>
        <v>0</v>
      </c>
      <c r="I61" s="16">
        <f t="shared" si="28"/>
        <v>0</v>
      </c>
      <c r="J61" s="16">
        <f t="shared" si="28"/>
        <v>0</v>
      </c>
      <c r="K61" s="16">
        <f t="shared" si="28"/>
        <v>0</v>
      </c>
      <c r="L61" s="16">
        <f t="shared" si="28"/>
        <v>0</v>
      </c>
      <c r="M61" s="16">
        <f t="shared" si="28"/>
        <v>0</v>
      </c>
      <c r="N61" s="16">
        <f t="shared" si="28"/>
        <v>0</v>
      </c>
      <c r="O61" s="16">
        <f t="shared" si="28"/>
        <v>290106.27378109412</v>
      </c>
      <c r="P61" s="16">
        <f t="shared" si="28"/>
        <v>0</v>
      </c>
      <c r="Q61" s="16">
        <f t="shared" si="28"/>
        <v>0</v>
      </c>
      <c r="R61" s="16">
        <f t="shared" si="28"/>
        <v>0</v>
      </c>
      <c r="S61" s="16">
        <f t="shared" si="28"/>
        <v>0</v>
      </c>
      <c r="T61" s="16">
        <f t="shared" si="28"/>
        <v>0</v>
      </c>
      <c r="U61" s="16">
        <f t="shared" si="28"/>
        <v>0</v>
      </c>
      <c r="V61" s="16">
        <f t="shared" si="28"/>
        <v>0</v>
      </c>
      <c r="W61" s="16">
        <f t="shared" si="28"/>
        <v>0</v>
      </c>
      <c r="X61" s="16">
        <f t="shared" si="28"/>
        <v>0</v>
      </c>
      <c r="Y61" s="16">
        <f t="shared" si="28"/>
        <v>0</v>
      </c>
      <c r="Z61" s="16">
        <f t="shared" si="28"/>
        <v>0</v>
      </c>
      <c r="AA61" s="16">
        <f t="shared" si="28"/>
        <v>0</v>
      </c>
      <c r="AB61" s="16">
        <f t="shared" si="28"/>
        <v>0</v>
      </c>
      <c r="AC61" s="16">
        <f t="shared" si="28"/>
        <v>0</v>
      </c>
      <c r="AD61" s="16">
        <f t="shared" si="28"/>
        <v>0</v>
      </c>
      <c r="AE61" s="16">
        <f t="shared" si="28"/>
        <v>0</v>
      </c>
      <c r="AF61" s="16">
        <f t="shared" si="28"/>
        <v>0</v>
      </c>
      <c r="AG61" s="16">
        <f t="shared" si="28"/>
        <v>0</v>
      </c>
      <c r="AH61" s="16">
        <f t="shared" si="28"/>
        <v>0</v>
      </c>
      <c r="AI61" s="16">
        <f t="shared" si="28"/>
        <v>0</v>
      </c>
      <c r="AJ61" s="16">
        <f t="shared" si="28"/>
        <v>0</v>
      </c>
      <c r="AK61" s="16">
        <f t="shared" si="28"/>
        <v>0</v>
      </c>
      <c r="AL61" s="16">
        <f t="shared" si="28"/>
        <v>0</v>
      </c>
      <c r="AM61" s="16">
        <f t="shared" si="28"/>
        <v>0</v>
      </c>
      <c r="AN61" s="16">
        <f t="shared" si="28"/>
        <v>0</v>
      </c>
      <c r="AO61" s="16">
        <f t="shared" si="28"/>
        <v>0</v>
      </c>
      <c r="AP61" s="16">
        <f t="shared" si="28"/>
        <v>0</v>
      </c>
      <c r="AQ61" s="16">
        <f t="shared" si="28"/>
        <v>0</v>
      </c>
      <c r="AR61" s="16">
        <f t="shared" si="28"/>
        <v>0</v>
      </c>
    </row>
    <row r="62" spans="1:44" x14ac:dyDescent="0.2">
      <c r="B62" s="1" t="str">
        <f>Inputs!$C$31</f>
        <v>3.1% Discount Factor</v>
      </c>
      <c r="C62" s="76" t="s">
        <v>72</v>
      </c>
      <c r="D62" s="75">
        <f>SUM(F62:AR62)</f>
        <v>272023.33436750417</v>
      </c>
      <c r="E62" s="16"/>
      <c r="F62" s="16">
        <f t="shared" ref="F62:AR62" si="29">F$57*F17</f>
        <v>0</v>
      </c>
      <c r="G62" s="16">
        <f t="shared" si="29"/>
        <v>0</v>
      </c>
      <c r="H62" s="16">
        <f t="shared" si="29"/>
        <v>0</v>
      </c>
      <c r="I62" s="16">
        <f t="shared" si="29"/>
        <v>0</v>
      </c>
      <c r="J62" s="16">
        <f t="shared" si="29"/>
        <v>0</v>
      </c>
      <c r="K62" s="16">
        <f t="shared" si="29"/>
        <v>0</v>
      </c>
      <c r="L62" s="16">
        <f t="shared" si="29"/>
        <v>0</v>
      </c>
      <c r="M62" s="16">
        <f t="shared" si="29"/>
        <v>0</v>
      </c>
      <c r="N62" s="16">
        <f t="shared" si="29"/>
        <v>0</v>
      </c>
      <c r="O62" s="16">
        <f t="shared" si="29"/>
        <v>272023.33436750417</v>
      </c>
      <c r="P62" s="16">
        <f t="shared" si="29"/>
        <v>0</v>
      </c>
      <c r="Q62" s="16">
        <f t="shared" si="29"/>
        <v>0</v>
      </c>
      <c r="R62" s="16">
        <f t="shared" si="29"/>
        <v>0</v>
      </c>
      <c r="S62" s="16">
        <f t="shared" si="29"/>
        <v>0</v>
      </c>
      <c r="T62" s="16">
        <f t="shared" si="29"/>
        <v>0</v>
      </c>
      <c r="U62" s="16">
        <f t="shared" si="29"/>
        <v>0</v>
      </c>
      <c r="V62" s="16">
        <f t="shared" si="29"/>
        <v>0</v>
      </c>
      <c r="W62" s="16">
        <f t="shared" si="29"/>
        <v>0</v>
      </c>
      <c r="X62" s="16">
        <f t="shared" si="29"/>
        <v>0</v>
      </c>
      <c r="Y62" s="16">
        <f t="shared" si="29"/>
        <v>0</v>
      </c>
      <c r="Z62" s="16">
        <f t="shared" si="29"/>
        <v>0</v>
      </c>
      <c r="AA62" s="16">
        <f t="shared" si="29"/>
        <v>0</v>
      </c>
      <c r="AB62" s="16">
        <f t="shared" si="29"/>
        <v>0</v>
      </c>
      <c r="AC62" s="16">
        <f t="shared" si="29"/>
        <v>0</v>
      </c>
      <c r="AD62" s="16">
        <f t="shared" si="29"/>
        <v>0</v>
      </c>
      <c r="AE62" s="16">
        <f t="shared" si="29"/>
        <v>0</v>
      </c>
      <c r="AF62" s="16">
        <f t="shared" si="29"/>
        <v>0</v>
      </c>
      <c r="AG62" s="16">
        <f t="shared" si="29"/>
        <v>0</v>
      </c>
      <c r="AH62" s="16">
        <f t="shared" si="29"/>
        <v>0</v>
      </c>
      <c r="AI62" s="16">
        <f t="shared" si="29"/>
        <v>0</v>
      </c>
      <c r="AJ62" s="16">
        <f t="shared" si="29"/>
        <v>0</v>
      </c>
      <c r="AK62" s="16">
        <f t="shared" si="29"/>
        <v>0</v>
      </c>
      <c r="AL62" s="16">
        <f t="shared" si="29"/>
        <v>0</v>
      </c>
      <c r="AM62" s="16">
        <f t="shared" si="29"/>
        <v>0</v>
      </c>
      <c r="AN62" s="16">
        <f t="shared" si="29"/>
        <v>0</v>
      </c>
      <c r="AO62" s="16">
        <f t="shared" si="29"/>
        <v>0</v>
      </c>
      <c r="AP62" s="16">
        <f t="shared" si="29"/>
        <v>0</v>
      </c>
      <c r="AQ62" s="16">
        <f t="shared" si="29"/>
        <v>0</v>
      </c>
      <c r="AR62" s="16">
        <f t="shared" si="29"/>
        <v>0</v>
      </c>
    </row>
    <row r="63" spans="1:44" x14ac:dyDescent="0.2">
      <c r="C63" s="12"/>
    </row>
    <row r="64" spans="1:44" s="9" customFormat="1" x14ac:dyDescent="0.2">
      <c r="A64" s="8" t="s">
        <v>212</v>
      </c>
      <c r="B64" s="8"/>
      <c r="C64" s="13"/>
    </row>
    <row r="65" spans="1:44" ht="15" x14ac:dyDescent="0.25">
      <c r="A65" s="2" t="s">
        <v>202</v>
      </c>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row>
    <row r="66" spans="1:44" x14ac:dyDescent="0.2">
      <c r="B66" s="1" t="s">
        <v>209</v>
      </c>
      <c r="C66" s="76" t="s">
        <v>72</v>
      </c>
      <c r="D66" s="75">
        <f>SUM(F66:AR66)</f>
        <v>27335510.498564161</v>
      </c>
      <c r="F66" s="16">
        <f t="shared" ref="F66:AR66" si="30">F52-F30</f>
        <v>0</v>
      </c>
      <c r="G66" s="16">
        <f t="shared" si="30"/>
        <v>0</v>
      </c>
      <c r="H66" s="16">
        <f t="shared" si="30"/>
        <v>0</v>
      </c>
      <c r="I66" s="16">
        <f t="shared" si="30"/>
        <v>0</v>
      </c>
      <c r="J66" s="16">
        <f t="shared" si="30"/>
        <v>0</v>
      </c>
      <c r="K66" s="16">
        <f t="shared" si="30"/>
        <v>0</v>
      </c>
      <c r="L66" s="16">
        <f t="shared" si="30"/>
        <v>2546581.9893188532</v>
      </c>
      <c r="M66" s="16">
        <f t="shared" si="30"/>
        <v>12394464.254622653</v>
      </c>
      <c r="N66" s="16">
        <f t="shared" si="30"/>
        <v>12394464.254622653</v>
      </c>
      <c r="O66" s="16">
        <f t="shared" si="30"/>
        <v>0</v>
      </c>
      <c r="P66" s="16">
        <f t="shared" si="30"/>
        <v>0</v>
      </c>
      <c r="Q66" s="16">
        <f t="shared" si="30"/>
        <v>0</v>
      </c>
      <c r="R66" s="16">
        <f t="shared" si="30"/>
        <v>0</v>
      </c>
      <c r="S66" s="16">
        <f t="shared" si="30"/>
        <v>0</v>
      </c>
      <c r="T66" s="16">
        <f t="shared" si="30"/>
        <v>0</v>
      </c>
      <c r="U66" s="16">
        <f t="shared" si="30"/>
        <v>0</v>
      </c>
      <c r="V66" s="16">
        <f t="shared" si="30"/>
        <v>0</v>
      </c>
      <c r="W66" s="16">
        <f t="shared" si="30"/>
        <v>0</v>
      </c>
      <c r="X66" s="16">
        <f t="shared" si="30"/>
        <v>0</v>
      </c>
      <c r="Y66" s="16">
        <f t="shared" si="30"/>
        <v>0</v>
      </c>
      <c r="Z66" s="16">
        <f t="shared" si="30"/>
        <v>0</v>
      </c>
      <c r="AA66" s="16">
        <f t="shared" si="30"/>
        <v>0</v>
      </c>
      <c r="AB66" s="16">
        <f t="shared" si="30"/>
        <v>0</v>
      </c>
      <c r="AC66" s="16">
        <f t="shared" si="30"/>
        <v>0</v>
      </c>
      <c r="AD66" s="16">
        <f t="shared" si="30"/>
        <v>0</v>
      </c>
      <c r="AE66" s="16">
        <f t="shared" si="30"/>
        <v>0</v>
      </c>
      <c r="AF66" s="16">
        <f t="shared" si="30"/>
        <v>0</v>
      </c>
      <c r="AG66" s="16">
        <f t="shared" si="30"/>
        <v>0</v>
      </c>
      <c r="AH66" s="16">
        <f t="shared" si="30"/>
        <v>0</v>
      </c>
      <c r="AI66" s="16">
        <f t="shared" si="30"/>
        <v>0</v>
      </c>
      <c r="AJ66" s="16">
        <f t="shared" si="30"/>
        <v>0</v>
      </c>
      <c r="AK66" s="16">
        <f t="shared" si="30"/>
        <v>0</v>
      </c>
      <c r="AL66" s="16">
        <f t="shared" si="30"/>
        <v>0</v>
      </c>
      <c r="AM66" s="16">
        <f t="shared" si="30"/>
        <v>0</v>
      </c>
      <c r="AN66" s="16">
        <f t="shared" si="30"/>
        <v>0</v>
      </c>
      <c r="AO66" s="16">
        <f t="shared" si="30"/>
        <v>0</v>
      </c>
      <c r="AP66" s="16">
        <f t="shared" si="30"/>
        <v>0</v>
      </c>
      <c r="AQ66" s="16">
        <f t="shared" si="30"/>
        <v>0</v>
      </c>
      <c r="AR66" s="16">
        <f t="shared" si="30"/>
        <v>0</v>
      </c>
    </row>
    <row r="67" spans="1:44" x14ac:dyDescent="0.2">
      <c r="B67" s="1" t="str">
        <f>Inputs!$C$30</f>
        <v>2% Discount Factor</v>
      </c>
      <c r="C67" s="76" t="s">
        <v>72</v>
      </c>
      <c r="D67" s="75">
        <f>SUM(F67:AR67)</f>
        <v>25076318.341719985</v>
      </c>
      <c r="F67" s="16">
        <f t="shared" ref="F67:AR67" si="31">F53-F31</f>
        <v>0</v>
      </c>
      <c r="G67" s="16">
        <f t="shared" si="31"/>
        <v>0</v>
      </c>
      <c r="H67" s="16">
        <f t="shared" si="31"/>
        <v>0</v>
      </c>
      <c r="I67" s="16">
        <f t="shared" si="31"/>
        <v>0</v>
      </c>
      <c r="J67" s="16">
        <f t="shared" si="31"/>
        <v>0</v>
      </c>
      <c r="K67" s="16">
        <f t="shared" si="31"/>
        <v>0</v>
      </c>
      <c r="L67" s="16">
        <f t="shared" si="31"/>
        <v>2399701.0852903989</v>
      </c>
      <c r="M67" s="16">
        <f t="shared" si="31"/>
        <v>11450569.109682268</v>
      </c>
      <c r="N67" s="16">
        <f t="shared" si="31"/>
        <v>11226048.146747321</v>
      </c>
      <c r="O67" s="16">
        <f t="shared" si="31"/>
        <v>0</v>
      </c>
      <c r="P67" s="16">
        <f t="shared" si="31"/>
        <v>0</v>
      </c>
      <c r="Q67" s="16">
        <f t="shared" si="31"/>
        <v>0</v>
      </c>
      <c r="R67" s="16">
        <f t="shared" si="31"/>
        <v>0</v>
      </c>
      <c r="S67" s="16">
        <f t="shared" si="31"/>
        <v>0</v>
      </c>
      <c r="T67" s="16">
        <f t="shared" si="31"/>
        <v>0</v>
      </c>
      <c r="U67" s="16">
        <f t="shared" si="31"/>
        <v>0</v>
      </c>
      <c r="V67" s="16">
        <f t="shared" si="31"/>
        <v>0</v>
      </c>
      <c r="W67" s="16">
        <f t="shared" si="31"/>
        <v>0</v>
      </c>
      <c r="X67" s="16">
        <f t="shared" si="31"/>
        <v>0</v>
      </c>
      <c r="Y67" s="16">
        <f t="shared" si="31"/>
        <v>0</v>
      </c>
      <c r="Z67" s="16">
        <f t="shared" si="31"/>
        <v>0</v>
      </c>
      <c r="AA67" s="16">
        <f t="shared" si="31"/>
        <v>0</v>
      </c>
      <c r="AB67" s="16">
        <f t="shared" si="31"/>
        <v>0</v>
      </c>
      <c r="AC67" s="16">
        <f t="shared" si="31"/>
        <v>0</v>
      </c>
      <c r="AD67" s="16">
        <f t="shared" si="31"/>
        <v>0</v>
      </c>
      <c r="AE67" s="16">
        <f t="shared" si="31"/>
        <v>0</v>
      </c>
      <c r="AF67" s="16">
        <f t="shared" si="31"/>
        <v>0</v>
      </c>
      <c r="AG67" s="16">
        <f t="shared" si="31"/>
        <v>0</v>
      </c>
      <c r="AH67" s="16">
        <f t="shared" si="31"/>
        <v>0</v>
      </c>
      <c r="AI67" s="16">
        <f t="shared" si="31"/>
        <v>0</v>
      </c>
      <c r="AJ67" s="16">
        <f t="shared" si="31"/>
        <v>0</v>
      </c>
      <c r="AK67" s="16">
        <f t="shared" si="31"/>
        <v>0</v>
      </c>
      <c r="AL67" s="16">
        <f t="shared" si="31"/>
        <v>0</v>
      </c>
      <c r="AM67" s="16">
        <f t="shared" si="31"/>
        <v>0</v>
      </c>
      <c r="AN67" s="16">
        <f t="shared" si="31"/>
        <v>0</v>
      </c>
      <c r="AO67" s="16">
        <f t="shared" si="31"/>
        <v>0</v>
      </c>
      <c r="AP67" s="16">
        <f t="shared" si="31"/>
        <v>0</v>
      </c>
      <c r="AQ67" s="16">
        <f t="shared" si="31"/>
        <v>0</v>
      </c>
      <c r="AR67" s="16">
        <f t="shared" si="31"/>
        <v>0</v>
      </c>
    </row>
    <row r="68" spans="1:44" x14ac:dyDescent="0.2">
      <c r="B68" s="1" t="str">
        <f>Inputs!$C$31</f>
        <v>3.1% Discount Factor</v>
      </c>
      <c r="C68" s="76" t="s">
        <v>72</v>
      </c>
      <c r="D68" s="75">
        <f>SUM(F68:AR68)</f>
        <v>23933190.598628066</v>
      </c>
      <c r="F68" s="16">
        <f t="shared" ref="F68:AR68" si="32">F54-F32</f>
        <v>0</v>
      </c>
      <c r="G68" s="16">
        <f t="shared" si="32"/>
        <v>0</v>
      </c>
      <c r="H68" s="16">
        <f t="shared" si="32"/>
        <v>0</v>
      </c>
      <c r="I68" s="16">
        <f t="shared" si="32"/>
        <v>0</v>
      </c>
      <c r="J68" s="16">
        <f t="shared" si="32"/>
        <v>0</v>
      </c>
      <c r="K68" s="16">
        <f t="shared" si="32"/>
        <v>0</v>
      </c>
      <c r="L68" s="16">
        <f t="shared" si="32"/>
        <v>2323708.6109699891</v>
      </c>
      <c r="M68" s="16">
        <f t="shared" si="32"/>
        <v>10969658.2615832</v>
      </c>
      <c r="N68" s="16">
        <f t="shared" si="32"/>
        <v>10639823.72607488</v>
      </c>
      <c r="O68" s="16">
        <f t="shared" si="32"/>
        <v>0</v>
      </c>
      <c r="P68" s="16">
        <f t="shared" si="32"/>
        <v>0</v>
      </c>
      <c r="Q68" s="16">
        <f t="shared" si="32"/>
        <v>0</v>
      </c>
      <c r="R68" s="16">
        <f t="shared" si="32"/>
        <v>0</v>
      </c>
      <c r="S68" s="16">
        <f t="shared" si="32"/>
        <v>0</v>
      </c>
      <c r="T68" s="16">
        <f t="shared" si="32"/>
        <v>0</v>
      </c>
      <c r="U68" s="16">
        <f t="shared" si="32"/>
        <v>0</v>
      </c>
      <c r="V68" s="16">
        <f t="shared" si="32"/>
        <v>0</v>
      </c>
      <c r="W68" s="16">
        <f t="shared" si="32"/>
        <v>0</v>
      </c>
      <c r="X68" s="16">
        <f t="shared" si="32"/>
        <v>0</v>
      </c>
      <c r="Y68" s="16">
        <f t="shared" si="32"/>
        <v>0</v>
      </c>
      <c r="Z68" s="16">
        <f t="shared" si="32"/>
        <v>0</v>
      </c>
      <c r="AA68" s="16">
        <f t="shared" si="32"/>
        <v>0</v>
      </c>
      <c r="AB68" s="16">
        <f t="shared" si="32"/>
        <v>0</v>
      </c>
      <c r="AC68" s="16">
        <f t="shared" si="32"/>
        <v>0</v>
      </c>
      <c r="AD68" s="16">
        <f t="shared" si="32"/>
        <v>0</v>
      </c>
      <c r="AE68" s="16">
        <f t="shared" si="32"/>
        <v>0</v>
      </c>
      <c r="AF68" s="16">
        <f t="shared" si="32"/>
        <v>0</v>
      </c>
      <c r="AG68" s="16">
        <f t="shared" si="32"/>
        <v>0</v>
      </c>
      <c r="AH68" s="16">
        <f t="shared" si="32"/>
        <v>0</v>
      </c>
      <c r="AI68" s="16">
        <f t="shared" si="32"/>
        <v>0</v>
      </c>
      <c r="AJ68" s="16">
        <f t="shared" si="32"/>
        <v>0</v>
      </c>
      <c r="AK68" s="16">
        <f t="shared" si="32"/>
        <v>0</v>
      </c>
      <c r="AL68" s="16">
        <f t="shared" si="32"/>
        <v>0</v>
      </c>
      <c r="AM68" s="16">
        <f t="shared" si="32"/>
        <v>0</v>
      </c>
      <c r="AN68" s="16">
        <f t="shared" si="32"/>
        <v>0</v>
      </c>
      <c r="AO68" s="16">
        <f t="shared" si="32"/>
        <v>0</v>
      </c>
      <c r="AP68" s="16">
        <f t="shared" si="32"/>
        <v>0</v>
      </c>
      <c r="AQ68" s="16">
        <f t="shared" si="32"/>
        <v>0</v>
      </c>
      <c r="AR68" s="16">
        <f t="shared" si="32"/>
        <v>0</v>
      </c>
    </row>
    <row r="69" spans="1:44" x14ac:dyDescent="0.2">
      <c r="C69" s="76"/>
      <c r="D69" s="75"/>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row>
    <row r="70" spans="1:44" ht="15" x14ac:dyDescent="0.25">
      <c r="A70" s="2" t="s">
        <v>210</v>
      </c>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row>
    <row r="71" spans="1:44" x14ac:dyDescent="0.2">
      <c r="B71" s="1" t="s">
        <v>209</v>
      </c>
      <c r="C71" s="76" t="s">
        <v>72</v>
      </c>
      <c r="D71" s="75">
        <f>SUM(F71:AR71)</f>
        <v>-3616177.3652176503</v>
      </c>
      <c r="F71" s="16">
        <f t="shared" ref="F71:AR71" si="33">F60-F39</f>
        <v>0</v>
      </c>
      <c r="G71" s="16">
        <f t="shared" si="33"/>
        <v>0</v>
      </c>
      <c r="H71" s="16">
        <f t="shared" si="33"/>
        <v>0</v>
      </c>
      <c r="I71" s="16">
        <f t="shared" si="33"/>
        <v>0</v>
      </c>
      <c r="J71" s="16">
        <f t="shared" si="33"/>
        <v>0</v>
      </c>
      <c r="K71" s="16">
        <f t="shared" si="33"/>
        <v>0</v>
      </c>
      <c r="L71" s="16">
        <f t="shared" si="33"/>
        <v>0</v>
      </c>
      <c r="M71" s="16">
        <f t="shared" si="33"/>
        <v>0</v>
      </c>
      <c r="N71" s="16">
        <f t="shared" si="33"/>
        <v>0</v>
      </c>
      <c r="O71" s="16">
        <f t="shared" si="33"/>
        <v>326706.78312498133</v>
      </c>
      <c r="P71" s="16">
        <f t="shared" si="33"/>
        <v>0</v>
      </c>
      <c r="Q71" s="16">
        <f t="shared" si="33"/>
        <v>0</v>
      </c>
      <c r="R71" s="16">
        <f t="shared" si="33"/>
        <v>-1504718.0982784855</v>
      </c>
      <c r="S71" s="16">
        <f t="shared" si="33"/>
        <v>0</v>
      </c>
      <c r="T71" s="16">
        <f t="shared" si="33"/>
        <v>0</v>
      </c>
      <c r="U71" s="16">
        <f t="shared" si="33"/>
        <v>0</v>
      </c>
      <c r="V71" s="16">
        <f t="shared" si="33"/>
        <v>0</v>
      </c>
      <c r="W71" s="16">
        <f t="shared" si="33"/>
        <v>-933447.95178566093</v>
      </c>
      <c r="X71" s="16">
        <f t="shared" si="33"/>
        <v>0</v>
      </c>
      <c r="Y71" s="16">
        <f t="shared" si="33"/>
        <v>0</v>
      </c>
      <c r="Z71" s="16">
        <f t="shared" si="33"/>
        <v>0</v>
      </c>
      <c r="AA71" s="16">
        <f t="shared" si="33"/>
        <v>0</v>
      </c>
      <c r="AB71" s="16">
        <f t="shared" si="33"/>
        <v>0</v>
      </c>
      <c r="AC71" s="16">
        <f t="shared" si="33"/>
        <v>0</v>
      </c>
      <c r="AD71" s="16">
        <f t="shared" si="33"/>
        <v>0</v>
      </c>
      <c r="AE71" s="16">
        <f t="shared" si="33"/>
        <v>0</v>
      </c>
      <c r="AF71" s="16">
        <f t="shared" si="33"/>
        <v>0</v>
      </c>
      <c r="AG71" s="16">
        <f t="shared" si="33"/>
        <v>-1504718.0982784855</v>
      </c>
      <c r="AH71" s="16">
        <f t="shared" si="33"/>
        <v>0</v>
      </c>
      <c r="AI71" s="16">
        <f t="shared" si="33"/>
        <v>0</v>
      </c>
      <c r="AJ71" s="16">
        <f t="shared" si="33"/>
        <v>0</v>
      </c>
      <c r="AK71" s="16">
        <f t="shared" si="33"/>
        <v>0</v>
      </c>
      <c r="AL71" s="16">
        <f t="shared" si="33"/>
        <v>0</v>
      </c>
      <c r="AM71" s="16">
        <f t="shared" si="33"/>
        <v>0</v>
      </c>
      <c r="AN71" s="16">
        <f t="shared" si="33"/>
        <v>0</v>
      </c>
      <c r="AO71" s="16">
        <f t="shared" si="33"/>
        <v>0</v>
      </c>
      <c r="AP71" s="16">
        <f t="shared" si="33"/>
        <v>0</v>
      </c>
      <c r="AQ71" s="16">
        <f t="shared" si="33"/>
        <v>0</v>
      </c>
      <c r="AR71" s="16">
        <f t="shared" si="33"/>
        <v>0</v>
      </c>
    </row>
    <row r="72" spans="1:44" x14ac:dyDescent="0.2">
      <c r="B72" s="1" t="str">
        <f>Inputs!$C$30</f>
        <v>2% Discount Factor</v>
      </c>
      <c r="C72" s="76" t="s">
        <v>72</v>
      </c>
      <c r="D72" s="75">
        <f>SUM(F72:AR72)</f>
        <v>-2611926.9830089761</v>
      </c>
      <c r="F72" s="16">
        <f t="shared" ref="F72:AR72" si="34">F61-F40</f>
        <v>0</v>
      </c>
      <c r="G72" s="16">
        <f t="shared" si="34"/>
        <v>0</v>
      </c>
      <c r="H72" s="16">
        <f t="shared" si="34"/>
        <v>0</v>
      </c>
      <c r="I72" s="16">
        <f t="shared" si="34"/>
        <v>0</v>
      </c>
      <c r="J72" s="16">
        <f t="shared" si="34"/>
        <v>0</v>
      </c>
      <c r="K72" s="16">
        <f t="shared" si="34"/>
        <v>0</v>
      </c>
      <c r="L72" s="16">
        <f t="shared" si="34"/>
        <v>0</v>
      </c>
      <c r="M72" s="16">
        <f t="shared" si="34"/>
        <v>0</v>
      </c>
      <c r="N72" s="16">
        <f t="shared" si="34"/>
        <v>0</v>
      </c>
      <c r="O72" s="16">
        <f t="shared" si="34"/>
        <v>290106.27378109412</v>
      </c>
      <c r="P72" s="16">
        <f t="shared" si="34"/>
        <v>0</v>
      </c>
      <c r="Q72" s="16">
        <f t="shared" si="34"/>
        <v>0</v>
      </c>
      <c r="R72" s="16">
        <f t="shared" si="34"/>
        <v>-1259080.7923884152</v>
      </c>
      <c r="S72" s="16">
        <f t="shared" si="34"/>
        <v>0</v>
      </c>
      <c r="T72" s="16">
        <f t="shared" si="34"/>
        <v>0</v>
      </c>
      <c r="U72" s="16">
        <f t="shared" si="34"/>
        <v>0</v>
      </c>
      <c r="V72" s="16">
        <f t="shared" si="34"/>
        <v>0</v>
      </c>
      <c r="W72" s="16">
        <f t="shared" si="34"/>
        <v>-707436.88941144629</v>
      </c>
      <c r="X72" s="16">
        <f t="shared" si="34"/>
        <v>0</v>
      </c>
      <c r="Y72" s="16">
        <f t="shared" si="34"/>
        <v>0</v>
      </c>
      <c r="Z72" s="16">
        <f t="shared" si="34"/>
        <v>0</v>
      </c>
      <c r="AA72" s="16">
        <f t="shared" si="34"/>
        <v>0</v>
      </c>
      <c r="AB72" s="16">
        <f t="shared" si="34"/>
        <v>0</v>
      </c>
      <c r="AC72" s="16">
        <f t="shared" si="34"/>
        <v>0</v>
      </c>
      <c r="AD72" s="16">
        <f t="shared" si="34"/>
        <v>0</v>
      </c>
      <c r="AE72" s="16">
        <f t="shared" si="34"/>
        <v>0</v>
      </c>
      <c r="AF72" s="16">
        <f t="shared" si="34"/>
        <v>0</v>
      </c>
      <c r="AG72" s="16">
        <f t="shared" si="34"/>
        <v>-935515.57499020896</v>
      </c>
      <c r="AH72" s="16">
        <f t="shared" si="34"/>
        <v>0</v>
      </c>
      <c r="AI72" s="16">
        <f t="shared" si="34"/>
        <v>0</v>
      </c>
      <c r="AJ72" s="16">
        <f t="shared" si="34"/>
        <v>0</v>
      </c>
      <c r="AK72" s="16">
        <f t="shared" si="34"/>
        <v>0</v>
      </c>
      <c r="AL72" s="16">
        <f t="shared" si="34"/>
        <v>0</v>
      </c>
      <c r="AM72" s="16">
        <f t="shared" si="34"/>
        <v>0</v>
      </c>
      <c r="AN72" s="16">
        <f t="shared" si="34"/>
        <v>0</v>
      </c>
      <c r="AO72" s="16">
        <f t="shared" si="34"/>
        <v>0</v>
      </c>
      <c r="AP72" s="16">
        <f t="shared" si="34"/>
        <v>0</v>
      </c>
      <c r="AQ72" s="16">
        <f t="shared" si="34"/>
        <v>0</v>
      </c>
      <c r="AR72" s="16">
        <f t="shared" si="34"/>
        <v>0</v>
      </c>
    </row>
    <row r="73" spans="1:44" x14ac:dyDescent="0.2">
      <c r="B73" s="1" t="str">
        <f>Inputs!$C$31</f>
        <v>3.1% Discount Factor</v>
      </c>
      <c r="C73" s="76" t="s">
        <v>72</v>
      </c>
      <c r="D73" s="75">
        <f>SUM(F73:AR73)</f>
        <v>-2203162.7546660202</v>
      </c>
      <c r="F73" s="16">
        <f t="shared" ref="F73:AR73" si="35">F62-F41</f>
        <v>0</v>
      </c>
      <c r="G73" s="16">
        <f t="shared" si="35"/>
        <v>0</v>
      </c>
      <c r="H73" s="16">
        <f t="shared" si="35"/>
        <v>0</v>
      </c>
      <c r="I73" s="16">
        <f t="shared" si="35"/>
        <v>0</v>
      </c>
      <c r="J73" s="16">
        <f t="shared" si="35"/>
        <v>0</v>
      </c>
      <c r="K73" s="16">
        <f t="shared" si="35"/>
        <v>0</v>
      </c>
      <c r="L73" s="16">
        <f t="shared" si="35"/>
        <v>0</v>
      </c>
      <c r="M73" s="16">
        <f t="shared" si="35"/>
        <v>0</v>
      </c>
      <c r="N73" s="16">
        <f t="shared" si="35"/>
        <v>0</v>
      </c>
      <c r="O73" s="16">
        <f t="shared" si="35"/>
        <v>272023.33436750417</v>
      </c>
      <c r="P73" s="16">
        <f t="shared" si="35"/>
        <v>0</v>
      </c>
      <c r="Q73" s="16">
        <f t="shared" si="35"/>
        <v>0</v>
      </c>
      <c r="R73" s="16">
        <f t="shared" si="35"/>
        <v>-1143213.0069408489</v>
      </c>
      <c r="S73" s="16">
        <f t="shared" si="35"/>
        <v>0</v>
      </c>
      <c r="T73" s="16">
        <f t="shared" si="35"/>
        <v>0</v>
      </c>
      <c r="U73" s="16">
        <f t="shared" si="35"/>
        <v>0</v>
      </c>
      <c r="V73" s="16">
        <f t="shared" si="35"/>
        <v>0</v>
      </c>
      <c r="W73" s="16">
        <f t="shared" si="35"/>
        <v>-608791.79854811658</v>
      </c>
      <c r="X73" s="16">
        <f t="shared" si="35"/>
        <v>0</v>
      </c>
      <c r="Y73" s="16">
        <f t="shared" si="35"/>
        <v>0</v>
      </c>
      <c r="Z73" s="16">
        <f t="shared" si="35"/>
        <v>0</v>
      </c>
      <c r="AA73" s="16">
        <f t="shared" si="35"/>
        <v>0</v>
      </c>
      <c r="AB73" s="16">
        <f t="shared" si="35"/>
        <v>0</v>
      </c>
      <c r="AC73" s="16">
        <f t="shared" si="35"/>
        <v>0</v>
      </c>
      <c r="AD73" s="16">
        <f t="shared" si="35"/>
        <v>0</v>
      </c>
      <c r="AE73" s="16">
        <f t="shared" si="35"/>
        <v>0</v>
      </c>
      <c r="AF73" s="16">
        <f t="shared" si="35"/>
        <v>0</v>
      </c>
      <c r="AG73" s="16">
        <f t="shared" si="35"/>
        <v>-723181.28354455868</v>
      </c>
      <c r="AH73" s="16">
        <f t="shared" si="35"/>
        <v>0</v>
      </c>
      <c r="AI73" s="16">
        <f t="shared" si="35"/>
        <v>0</v>
      </c>
      <c r="AJ73" s="16">
        <f t="shared" si="35"/>
        <v>0</v>
      </c>
      <c r="AK73" s="16">
        <f t="shared" si="35"/>
        <v>0</v>
      </c>
      <c r="AL73" s="16">
        <f t="shared" si="35"/>
        <v>0</v>
      </c>
      <c r="AM73" s="16">
        <f t="shared" si="35"/>
        <v>0</v>
      </c>
      <c r="AN73" s="16">
        <f t="shared" si="35"/>
        <v>0</v>
      </c>
      <c r="AO73" s="16">
        <f t="shared" si="35"/>
        <v>0</v>
      </c>
      <c r="AP73" s="16">
        <f t="shared" si="35"/>
        <v>0</v>
      </c>
      <c r="AQ73" s="16">
        <f t="shared" si="35"/>
        <v>0</v>
      </c>
      <c r="AR73" s="16">
        <f t="shared" si="35"/>
        <v>0</v>
      </c>
    </row>
    <row r="75" spans="1:44" ht="15" x14ac:dyDescent="0.25">
      <c r="A75" s="2" t="s">
        <v>213</v>
      </c>
    </row>
    <row r="76" spans="1:44" x14ac:dyDescent="0.2">
      <c r="B76" s="1" t="s">
        <v>209</v>
      </c>
      <c r="C76" s="76" t="s">
        <v>72</v>
      </c>
      <c r="D76" s="75">
        <f>SUM(F76:AR76)</f>
        <v>23719333.133346509</v>
      </c>
      <c r="F76" s="75">
        <f>F66+F71</f>
        <v>0</v>
      </c>
      <c r="G76" s="75">
        <f t="shared" ref="G76:AR76" si="36">G66+G71</f>
        <v>0</v>
      </c>
      <c r="H76" s="75">
        <f t="shared" si="36"/>
        <v>0</v>
      </c>
      <c r="I76" s="75">
        <f t="shared" si="36"/>
        <v>0</v>
      </c>
      <c r="J76" s="75">
        <f t="shared" si="36"/>
        <v>0</v>
      </c>
      <c r="K76" s="75">
        <f t="shared" si="36"/>
        <v>0</v>
      </c>
      <c r="L76" s="75">
        <f t="shared" si="36"/>
        <v>2546581.9893188532</v>
      </c>
      <c r="M76" s="75">
        <f t="shared" si="36"/>
        <v>12394464.254622653</v>
      </c>
      <c r="N76" s="75">
        <f t="shared" si="36"/>
        <v>12394464.254622653</v>
      </c>
      <c r="O76" s="75">
        <f t="shared" si="36"/>
        <v>326706.78312498133</v>
      </c>
      <c r="P76" s="75">
        <f t="shared" si="36"/>
        <v>0</v>
      </c>
      <c r="Q76" s="75">
        <f t="shared" si="36"/>
        <v>0</v>
      </c>
      <c r="R76" s="75">
        <f t="shared" si="36"/>
        <v>-1504718.0982784855</v>
      </c>
      <c r="S76" s="75">
        <f t="shared" si="36"/>
        <v>0</v>
      </c>
      <c r="T76" s="75">
        <f t="shared" si="36"/>
        <v>0</v>
      </c>
      <c r="U76" s="75">
        <f t="shared" si="36"/>
        <v>0</v>
      </c>
      <c r="V76" s="75">
        <f t="shared" si="36"/>
        <v>0</v>
      </c>
      <c r="W76" s="75">
        <f t="shared" si="36"/>
        <v>-933447.95178566093</v>
      </c>
      <c r="X76" s="75">
        <f t="shared" si="36"/>
        <v>0</v>
      </c>
      <c r="Y76" s="75">
        <f t="shared" si="36"/>
        <v>0</v>
      </c>
      <c r="Z76" s="75">
        <f t="shared" si="36"/>
        <v>0</v>
      </c>
      <c r="AA76" s="75">
        <f t="shared" si="36"/>
        <v>0</v>
      </c>
      <c r="AB76" s="75">
        <f t="shared" si="36"/>
        <v>0</v>
      </c>
      <c r="AC76" s="75">
        <f t="shared" si="36"/>
        <v>0</v>
      </c>
      <c r="AD76" s="75">
        <f t="shared" si="36"/>
        <v>0</v>
      </c>
      <c r="AE76" s="75">
        <f t="shared" si="36"/>
        <v>0</v>
      </c>
      <c r="AF76" s="75">
        <f t="shared" si="36"/>
        <v>0</v>
      </c>
      <c r="AG76" s="75">
        <f t="shared" si="36"/>
        <v>-1504718.0982784855</v>
      </c>
      <c r="AH76" s="75">
        <f t="shared" si="36"/>
        <v>0</v>
      </c>
      <c r="AI76" s="75">
        <f t="shared" si="36"/>
        <v>0</v>
      </c>
      <c r="AJ76" s="75">
        <f t="shared" si="36"/>
        <v>0</v>
      </c>
      <c r="AK76" s="75">
        <f t="shared" si="36"/>
        <v>0</v>
      </c>
      <c r="AL76" s="75">
        <f t="shared" si="36"/>
        <v>0</v>
      </c>
      <c r="AM76" s="75">
        <f t="shared" si="36"/>
        <v>0</v>
      </c>
      <c r="AN76" s="75">
        <f t="shared" si="36"/>
        <v>0</v>
      </c>
      <c r="AO76" s="75">
        <f t="shared" si="36"/>
        <v>0</v>
      </c>
      <c r="AP76" s="75">
        <f t="shared" si="36"/>
        <v>0</v>
      </c>
      <c r="AQ76" s="75">
        <f t="shared" si="36"/>
        <v>0</v>
      </c>
      <c r="AR76" s="75">
        <f t="shared" si="36"/>
        <v>0</v>
      </c>
    </row>
    <row r="77" spans="1:44" x14ac:dyDescent="0.2">
      <c r="B77" s="1" t="str">
        <f>Inputs!$C$30</f>
        <v>2% Discount Factor</v>
      </c>
      <c r="C77" s="76" t="s">
        <v>72</v>
      </c>
      <c r="D77" s="75">
        <f>SUM(F77:AR77)</f>
        <v>22464391.358711008</v>
      </c>
      <c r="F77" s="75">
        <f t="shared" ref="F77:AR77" si="37">F67+F72</f>
        <v>0</v>
      </c>
      <c r="G77" s="75">
        <f t="shared" si="37"/>
        <v>0</v>
      </c>
      <c r="H77" s="75">
        <f t="shared" si="37"/>
        <v>0</v>
      </c>
      <c r="I77" s="75">
        <f t="shared" si="37"/>
        <v>0</v>
      </c>
      <c r="J77" s="75">
        <f t="shared" si="37"/>
        <v>0</v>
      </c>
      <c r="K77" s="75">
        <f t="shared" si="37"/>
        <v>0</v>
      </c>
      <c r="L77" s="75">
        <f t="shared" si="37"/>
        <v>2399701.0852903989</v>
      </c>
      <c r="M77" s="75">
        <f t="shared" si="37"/>
        <v>11450569.109682268</v>
      </c>
      <c r="N77" s="75">
        <f t="shared" si="37"/>
        <v>11226048.146747321</v>
      </c>
      <c r="O77" s="75">
        <f t="shared" si="37"/>
        <v>290106.27378109412</v>
      </c>
      <c r="P77" s="75">
        <f t="shared" si="37"/>
        <v>0</v>
      </c>
      <c r="Q77" s="75">
        <f t="shared" si="37"/>
        <v>0</v>
      </c>
      <c r="R77" s="75">
        <f t="shared" si="37"/>
        <v>-1259080.7923884152</v>
      </c>
      <c r="S77" s="75">
        <f t="shared" si="37"/>
        <v>0</v>
      </c>
      <c r="T77" s="75">
        <f t="shared" si="37"/>
        <v>0</v>
      </c>
      <c r="U77" s="75">
        <f t="shared" si="37"/>
        <v>0</v>
      </c>
      <c r="V77" s="75">
        <f t="shared" si="37"/>
        <v>0</v>
      </c>
      <c r="W77" s="75">
        <f t="shared" si="37"/>
        <v>-707436.88941144629</v>
      </c>
      <c r="X77" s="75">
        <f t="shared" si="37"/>
        <v>0</v>
      </c>
      <c r="Y77" s="75">
        <f t="shared" si="37"/>
        <v>0</v>
      </c>
      <c r="Z77" s="75">
        <f t="shared" si="37"/>
        <v>0</v>
      </c>
      <c r="AA77" s="75">
        <f t="shared" si="37"/>
        <v>0</v>
      </c>
      <c r="AB77" s="75">
        <f t="shared" si="37"/>
        <v>0</v>
      </c>
      <c r="AC77" s="75">
        <f t="shared" si="37"/>
        <v>0</v>
      </c>
      <c r="AD77" s="75">
        <f t="shared" si="37"/>
        <v>0</v>
      </c>
      <c r="AE77" s="75">
        <f t="shared" si="37"/>
        <v>0</v>
      </c>
      <c r="AF77" s="75">
        <f t="shared" si="37"/>
        <v>0</v>
      </c>
      <c r="AG77" s="75">
        <f t="shared" si="37"/>
        <v>-935515.57499020896</v>
      </c>
      <c r="AH77" s="75">
        <f t="shared" si="37"/>
        <v>0</v>
      </c>
      <c r="AI77" s="75">
        <f t="shared" si="37"/>
        <v>0</v>
      </c>
      <c r="AJ77" s="75">
        <f t="shared" si="37"/>
        <v>0</v>
      </c>
      <c r="AK77" s="75">
        <f t="shared" si="37"/>
        <v>0</v>
      </c>
      <c r="AL77" s="75">
        <f t="shared" si="37"/>
        <v>0</v>
      </c>
      <c r="AM77" s="75">
        <f t="shared" si="37"/>
        <v>0</v>
      </c>
      <c r="AN77" s="75">
        <f t="shared" si="37"/>
        <v>0</v>
      </c>
      <c r="AO77" s="75">
        <f t="shared" si="37"/>
        <v>0</v>
      </c>
      <c r="AP77" s="75">
        <f t="shared" si="37"/>
        <v>0</v>
      </c>
      <c r="AQ77" s="75">
        <f t="shared" si="37"/>
        <v>0</v>
      </c>
      <c r="AR77" s="75">
        <f t="shared" si="37"/>
        <v>0</v>
      </c>
    </row>
    <row r="78" spans="1:44" x14ac:dyDescent="0.2">
      <c r="B78" s="1" t="str">
        <f>Inputs!$C$31</f>
        <v>3.1% Discount Factor</v>
      </c>
      <c r="C78" s="76" t="s">
        <v>72</v>
      </c>
      <c r="D78" s="75">
        <f>SUM(F78:AR78)</f>
        <v>21730027.843962044</v>
      </c>
      <c r="F78" s="75">
        <f t="shared" ref="F78:AR78" si="38">F68+F73</f>
        <v>0</v>
      </c>
      <c r="G78" s="75">
        <f t="shared" si="38"/>
        <v>0</v>
      </c>
      <c r="H78" s="75">
        <f t="shared" si="38"/>
        <v>0</v>
      </c>
      <c r="I78" s="75">
        <f t="shared" si="38"/>
        <v>0</v>
      </c>
      <c r="J78" s="75">
        <f t="shared" si="38"/>
        <v>0</v>
      </c>
      <c r="K78" s="75">
        <f t="shared" si="38"/>
        <v>0</v>
      </c>
      <c r="L78" s="75">
        <f t="shared" si="38"/>
        <v>2323708.6109699891</v>
      </c>
      <c r="M78" s="75">
        <f t="shared" si="38"/>
        <v>10969658.2615832</v>
      </c>
      <c r="N78" s="75">
        <f t="shared" si="38"/>
        <v>10639823.72607488</v>
      </c>
      <c r="O78" s="75">
        <f t="shared" si="38"/>
        <v>272023.33436750417</v>
      </c>
      <c r="P78" s="75">
        <f t="shared" si="38"/>
        <v>0</v>
      </c>
      <c r="Q78" s="75">
        <f t="shared" si="38"/>
        <v>0</v>
      </c>
      <c r="R78" s="75">
        <f t="shared" si="38"/>
        <v>-1143213.0069408489</v>
      </c>
      <c r="S78" s="75">
        <f t="shared" si="38"/>
        <v>0</v>
      </c>
      <c r="T78" s="75">
        <f t="shared" si="38"/>
        <v>0</v>
      </c>
      <c r="U78" s="75">
        <f t="shared" si="38"/>
        <v>0</v>
      </c>
      <c r="V78" s="75">
        <f t="shared" si="38"/>
        <v>0</v>
      </c>
      <c r="W78" s="75">
        <f t="shared" si="38"/>
        <v>-608791.79854811658</v>
      </c>
      <c r="X78" s="75">
        <f t="shared" si="38"/>
        <v>0</v>
      </c>
      <c r="Y78" s="75">
        <f t="shared" si="38"/>
        <v>0</v>
      </c>
      <c r="Z78" s="75">
        <f t="shared" si="38"/>
        <v>0</v>
      </c>
      <c r="AA78" s="75">
        <f t="shared" si="38"/>
        <v>0</v>
      </c>
      <c r="AB78" s="75">
        <f t="shared" si="38"/>
        <v>0</v>
      </c>
      <c r="AC78" s="75">
        <f t="shared" si="38"/>
        <v>0</v>
      </c>
      <c r="AD78" s="75">
        <f t="shared" si="38"/>
        <v>0</v>
      </c>
      <c r="AE78" s="75">
        <f t="shared" si="38"/>
        <v>0</v>
      </c>
      <c r="AF78" s="75">
        <f t="shared" si="38"/>
        <v>0</v>
      </c>
      <c r="AG78" s="75">
        <f t="shared" si="38"/>
        <v>-723181.28354455868</v>
      </c>
      <c r="AH78" s="75">
        <f t="shared" si="38"/>
        <v>0</v>
      </c>
      <c r="AI78" s="75">
        <f t="shared" si="38"/>
        <v>0</v>
      </c>
      <c r="AJ78" s="75">
        <f t="shared" si="38"/>
        <v>0</v>
      </c>
      <c r="AK78" s="75">
        <f t="shared" si="38"/>
        <v>0</v>
      </c>
      <c r="AL78" s="75">
        <f t="shared" si="38"/>
        <v>0</v>
      </c>
      <c r="AM78" s="75">
        <f t="shared" si="38"/>
        <v>0</v>
      </c>
      <c r="AN78" s="75">
        <f t="shared" si="38"/>
        <v>0</v>
      </c>
      <c r="AO78" s="75">
        <f t="shared" si="38"/>
        <v>0</v>
      </c>
      <c r="AP78" s="75">
        <f t="shared" si="38"/>
        <v>0</v>
      </c>
      <c r="AQ78" s="75">
        <f t="shared" si="38"/>
        <v>0</v>
      </c>
      <c r="AR78" s="75">
        <f t="shared" si="38"/>
        <v>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60B5-B023-4DA3-B720-D819238E8F88}">
  <sheetPr>
    <tabColor theme="9"/>
  </sheetPr>
  <dimension ref="A1:AS83"/>
  <sheetViews>
    <sheetView workbookViewId="0">
      <pane xSplit="4" ySplit="12" topLeftCell="E13" activePane="bottomRight" state="frozen"/>
      <selection pane="topRight" activeCell="E1" sqref="E1"/>
      <selection pane="bottomLeft" activeCell="A12" sqref="A12"/>
      <selection pane="bottomRight" activeCell="K20" sqref="K20"/>
    </sheetView>
  </sheetViews>
  <sheetFormatPr defaultColWidth="0" defaultRowHeight="14.25" x14ac:dyDescent="0.2"/>
  <cols>
    <col min="1" max="1" width="10.28515625" style="1" customWidth="1"/>
    <col min="2" max="2" width="46.7109375" style="1" bestFit="1" customWidth="1"/>
    <col min="3" max="3" width="15.42578125" style="1" bestFit="1" customWidth="1"/>
    <col min="4" max="4" width="17"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214</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x14ac:dyDescent="0.2">
      <c r="B12" s="1" t="s">
        <v>198</v>
      </c>
      <c r="C12" s="19" t="s">
        <v>44</v>
      </c>
      <c r="F12" s="1">
        <f t="shared" ref="F12:N12" si="6">E12+F11</f>
        <v>0</v>
      </c>
      <c r="G12" s="1">
        <f t="shared" si="6"/>
        <v>0</v>
      </c>
      <c r="H12" s="1">
        <f t="shared" si="6"/>
        <v>0</v>
      </c>
      <c r="I12" s="1">
        <f t="shared" si="6"/>
        <v>0</v>
      </c>
      <c r="J12" s="1">
        <f t="shared" si="6"/>
        <v>0</v>
      </c>
      <c r="K12" s="1">
        <f t="shared" si="6"/>
        <v>0</v>
      </c>
      <c r="L12" s="1">
        <f t="shared" si="6"/>
        <v>0</v>
      </c>
      <c r="M12" s="1">
        <f t="shared" si="6"/>
        <v>0</v>
      </c>
      <c r="N12" s="1">
        <f t="shared" si="6"/>
        <v>0</v>
      </c>
      <c r="O12" s="1">
        <f>N12+O11</f>
        <v>1</v>
      </c>
      <c r="P12" s="1">
        <f t="shared" ref="P12:AR12" si="7">O12+P11</f>
        <v>2</v>
      </c>
      <c r="Q12" s="1">
        <f t="shared" si="7"/>
        <v>3</v>
      </c>
      <c r="R12" s="1">
        <f t="shared" si="7"/>
        <v>4</v>
      </c>
      <c r="S12" s="1">
        <f t="shared" si="7"/>
        <v>5</v>
      </c>
      <c r="T12" s="1">
        <f t="shared" si="7"/>
        <v>6</v>
      </c>
      <c r="U12" s="1">
        <f t="shared" si="7"/>
        <v>7</v>
      </c>
      <c r="V12" s="1">
        <f t="shared" si="7"/>
        <v>8</v>
      </c>
      <c r="W12" s="1">
        <f t="shared" si="7"/>
        <v>9</v>
      </c>
      <c r="X12" s="1">
        <f t="shared" si="7"/>
        <v>10</v>
      </c>
      <c r="Y12" s="1">
        <f t="shared" si="7"/>
        <v>11</v>
      </c>
      <c r="Z12" s="1">
        <f t="shared" si="7"/>
        <v>12</v>
      </c>
      <c r="AA12" s="1">
        <f t="shared" si="7"/>
        <v>13</v>
      </c>
      <c r="AB12" s="1">
        <f t="shared" si="7"/>
        <v>14</v>
      </c>
      <c r="AC12" s="1">
        <f t="shared" si="7"/>
        <v>15</v>
      </c>
      <c r="AD12" s="1">
        <f t="shared" si="7"/>
        <v>16</v>
      </c>
      <c r="AE12" s="1">
        <f t="shared" si="7"/>
        <v>17</v>
      </c>
      <c r="AF12" s="1">
        <f t="shared" si="7"/>
        <v>18</v>
      </c>
      <c r="AG12" s="1">
        <f t="shared" si="7"/>
        <v>19</v>
      </c>
      <c r="AH12" s="1">
        <f t="shared" si="7"/>
        <v>20</v>
      </c>
      <c r="AI12" s="1">
        <f t="shared" si="7"/>
        <v>20</v>
      </c>
      <c r="AJ12" s="1">
        <f t="shared" si="7"/>
        <v>20</v>
      </c>
      <c r="AK12" s="1">
        <f t="shared" si="7"/>
        <v>20</v>
      </c>
      <c r="AL12" s="1">
        <f t="shared" si="7"/>
        <v>20</v>
      </c>
      <c r="AM12" s="1">
        <f t="shared" si="7"/>
        <v>20</v>
      </c>
      <c r="AN12" s="1">
        <f t="shared" si="7"/>
        <v>20</v>
      </c>
      <c r="AO12" s="1">
        <f t="shared" si="7"/>
        <v>20</v>
      </c>
      <c r="AP12" s="1">
        <f t="shared" si="7"/>
        <v>20</v>
      </c>
      <c r="AQ12" s="1">
        <f t="shared" si="7"/>
        <v>20</v>
      </c>
      <c r="AR12" s="1">
        <f t="shared" si="7"/>
        <v>20</v>
      </c>
    </row>
    <row r="13" spans="1:44" ht="15" x14ac:dyDescent="0.25">
      <c r="A13" s="2" t="s">
        <v>198</v>
      </c>
      <c r="C13" s="19"/>
    </row>
    <row r="14" spans="1:44" x14ac:dyDescent="0.2">
      <c r="B14" s="1" t="s">
        <v>199</v>
      </c>
      <c r="C14" s="19" t="s">
        <v>44</v>
      </c>
      <c r="F14" s="1">
        <f>(F11+D14)*F11</f>
        <v>0</v>
      </c>
      <c r="G14" s="1">
        <f t="shared" ref="G14:AR14" si="8">(G11+F14)*G11</f>
        <v>0</v>
      </c>
      <c r="H14" s="1">
        <f t="shared" si="8"/>
        <v>0</v>
      </c>
      <c r="I14" s="1">
        <f t="shared" si="8"/>
        <v>0</v>
      </c>
      <c r="J14" s="1">
        <f t="shared" si="8"/>
        <v>0</v>
      </c>
      <c r="K14" s="1">
        <f t="shared" si="8"/>
        <v>0</v>
      </c>
      <c r="L14" s="1">
        <f t="shared" si="8"/>
        <v>0</v>
      </c>
      <c r="M14" s="1">
        <f t="shared" si="8"/>
        <v>0</v>
      </c>
      <c r="N14" s="1">
        <f t="shared" si="8"/>
        <v>0</v>
      </c>
      <c r="O14" s="1">
        <f t="shared" si="8"/>
        <v>1</v>
      </c>
      <c r="P14" s="1">
        <f t="shared" si="8"/>
        <v>2</v>
      </c>
      <c r="Q14" s="1">
        <f t="shared" si="8"/>
        <v>3</v>
      </c>
      <c r="R14" s="1">
        <f t="shared" si="8"/>
        <v>4</v>
      </c>
      <c r="S14" s="1">
        <f t="shared" si="8"/>
        <v>5</v>
      </c>
      <c r="T14" s="1">
        <f t="shared" si="8"/>
        <v>6</v>
      </c>
      <c r="U14" s="1">
        <f t="shared" si="8"/>
        <v>7</v>
      </c>
      <c r="V14" s="1">
        <f t="shared" si="8"/>
        <v>8</v>
      </c>
      <c r="W14" s="1">
        <f t="shared" si="8"/>
        <v>9</v>
      </c>
      <c r="X14" s="1">
        <f t="shared" si="8"/>
        <v>10</v>
      </c>
      <c r="Y14" s="1">
        <f t="shared" si="8"/>
        <v>11</v>
      </c>
      <c r="Z14" s="1">
        <f t="shared" si="8"/>
        <v>12</v>
      </c>
      <c r="AA14" s="1">
        <f t="shared" si="8"/>
        <v>13</v>
      </c>
      <c r="AB14" s="1">
        <f t="shared" si="8"/>
        <v>14</v>
      </c>
      <c r="AC14" s="1">
        <f t="shared" si="8"/>
        <v>15</v>
      </c>
      <c r="AD14" s="1">
        <f t="shared" si="8"/>
        <v>16</v>
      </c>
      <c r="AE14" s="1">
        <f t="shared" si="8"/>
        <v>17</v>
      </c>
      <c r="AF14" s="1">
        <f t="shared" si="8"/>
        <v>18</v>
      </c>
      <c r="AG14" s="1">
        <f t="shared" si="8"/>
        <v>19</v>
      </c>
      <c r="AH14" s="1">
        <f t="shared" si="8"/>
        <v>20</v>
      </c>
      <c r="AI14" s="1">
        <f t="shared" si="8"/>
        <v>0</v>
      </c>
      <c r="AJ14" s="1">
        <f t="shared" si="8"/>
        <v>0</v>
      </c>
      <c r="AK14" s="1">
        <f t="shared" si="8"/>
        <v>0</v>
      </c>
      <c r="AL14" s="1">
        <f t="shared" si="8"/>
        <v>0</v>
      </c>
      <c r="AM14" s="1">
        <f t="shared" si="8"/>
        <v>0</v>
      </c>
      <c r="AN14" s="1">
        <f t="shared" si="8"/>
        <v>0</v>
      </c>
      <c r="AO14" s="1">
        <f t="shared" si="8"/>
        <v>0</v>
      </c>
      <c r="AP14" s="1">
        <f t="shared" si="8"/>
        <v>0</v>
      </c>
      <c r="AQ14" s="1">
        <f t="shared" si="8"/>
        <v>0</v>
      </c>
      <c r="AR14" s="1">
        <f t="shared" si="8"/>
        <v>0</v>
      </c>
    </row>
    <row r="15" spans="1:44" x14ac:dyDescent="0.2">
      <c r="C15" s="18"/>
    </row>
    <row r="16" spans="1:44" x14ac:dyDescent="0.2">
      <c r="B16" s="1" t="s">
        <v>200</v>
      </c>
      <c r="C16" s="1" t="s">
        <v>38</v>
      </c>
      <c r="D16" s="1" t="s">
        <v>39</v>
      </c>
    </row>
    <row r="17" spans="1:44" s="9" customFormat="1" x14ac:dyDescent="0.2">
      <c r="A17" s="8" t="s">
        <v>215</v>
      </c>
    </row>
    <row r="18" spans="1:44" ht="15" x14ac:dyDescent="0.25">
      <c r="A18" s="2" t="s">
        <v>1000</v>
      </c>
      <c r="C18" s="18"/>
    </row>
    <row r="19" spans="1:44" ht="15" x14ac:dyDescent="0.25">
      <c r="A19" s="2"/>
      <c r="B19" s="1" t="s">
        <v>89</v>
      </c>
      <c r="C19" s="19" t="s">
        <v>44</v>
      </c>
      <c r="D19" s="1">
        <f>Inputs!$E$49</f>
        <v>2023</v>
      </c>
    </row>
    <row r="20" spans="1:44" ht="15" x14ac:dyDescent="0.25">
      <c r="A20" s="2"/>
      <c r="B20" s="1" t="s">
        <v>90</v>
      </c>
      <c r="C20" s="19" t="s">
        <v>91</v>
      </c>
      <c r="D20" s="16">
        <f>Inputs!$E$50</f>
        <v>19720</v>
      </c>
      <c r="F20" s="16">
        <f t="shared" ref="F20:AR20" si="9">IF(F7=$D$19,$D$20,0)</f>
        <v>0</v>
      </c>
      <c r="G20" s="16">
        <f t="shared" si="9"/>
        <v>0</v>
      </c>
      <c r="H20" s="16">
        <f t="shared" si="9"/>
        <v>0</v>
      </c>
      <c r="I20" s="16">
        <f t="shared" si="9"/>
        <v>0</v>
      </c>
      <c r="J20" s="16">
        <f t="shared" si="9"/>
        <v>0</v>
      </c>
      <c r="K20" s="16">
        <f t="shared" si="9"/>
        <v>19720</v>
      </c>
      <c r="L20" s="16">
        <f t="shared" si="9"/>
        <v>0</v>
      </c>
      <c r="M20" s="16">
        <f t="shared" si="9"/>
        <v>0</v>
      </c>
      <c r="N20" s="16">
        <f t="shared" si="9"/>
        <v>0</v>
      </c>
      <c r="O20" s="16">
        <f t="shared" si="9"/>
        <v>0</v>
      </c>
      <c r="P20" s="16">
        <f t="shared" si="9"/>
        <v>0</v>
      </c>
      <c r="Q20" s="16">
        <f t="shared" si="9"/>
        <v>0</v>
      </c>
      <c r="R20" s="16">
        <f t="shared" si="9"/>
        <v>0</v>
      </c>
      <c r="S20" s="16">
        <f t="shared" si="9"/>
        <v>0</v>
      </c>
      <c r="T20" s="16">
        <f t="shared" si="9"/>
        <v>0</v>
      </c>
      <c r="U20" s="16">
        <f t="shared" si="9"/>
        <v>0</v>
      </c>
      <c r="V20" s="16">
        <f t="shared" si="9"/>
        <v>0</v>
      </c>
      <c r="W20" s="16">
        <f t="shared" si="9"/>
        <v>0</v>
      </c>
      <c r="X20" s="16">
        <f t="shared" si="9"/>
        <v>0</v>
      </c>
      <c r="Y20" s="16">
        <f t="shared" si="9"/>
        <v>0</v>
      </c>
      <c r="Z20" s="16">
        <f t="shared" si="9"/>
        <v>0</v>
      </c>
      <c r="AA20" s="16">
        <f t="shared" si="9"/>
        <v>0</v>
      </c>
      <c r="AB20" s="16">
        <f t="shared" si="9"/>
        <v>0</v>
      </c>
      <c r="AC20" s="16">
        <f t="shared" si="9"/>
        <v>0</v>
      </c>
      <c r="AD20" s="16">
        <f t="shared" si="9"/>
        <v>0</v>
      </c>
      <c r="AE20" s="16">
        <f t="shared" si="9"/>
        <v>0</v>
      </c>
      <c r="AF20" s="16">
        <f t="shared" si="9"/>
        <v>0</v>
      </c>
      <c r="AG20" s="16">
        <f t="shared" si="9"/>
        <v>0</v>
      </c>
      <c r="AH20" s="16">
        <f t="shared" si="9"/>
        <v>0</v>
      </c>
      <c r="AI20" s="16">
        <f t="shared" si="9"/>
        <v>0</v>
      </c>
      <c r="AJ20" s="16">
        <f t="shared" si="9"/>
        <v>0</v>
      </c>
      <c r="AK20" s="16">
        <f t="shared" si="9"/>
        <v>0</v>
      </c>
      <c r="AL20" s="16">
        <f t="shared" si="9"/>
        <v>0</v>
      </c>
      <c r="AM20" s="16">
        <f t="shared" si="9"/>
        <v>0</v>
      </c>
      <c r="AN20" s="16">
        <f t="shared" si="9"/>
        <v>0</v>
      </c>
      <c r="AO20" s="16">
        <f t="shared" si="9"/>
        <v>0</v>
      </c>
      <c r="AP20" s="16">
        <f t="shared" si="9"/>
        <v>0</v>
      </c>
      <c r="AQ20" s="16">
        <f t="shared" si="9"/>
        <v>0</v>
      </c>
      <c r="AR20" s="16">
        <f t="shared" si="9"/>
        <v>0</v>
      </c>
    </row>
    <row r="21" spans="1:44" ht="15" x14ac:dyDescent="0.25">
      <c r="A21" s="2"/>
      <c r="B21" s="1" t="s">
        <v>92</v>
      </c>
      <c r="C21" s="19" t="s">
        <v>44</v>
      </c>
      <c r="D21" s="1">
        <f>Inputs!$E$51</f>
        <v>2046</v>
      </c>
    </row>
    <row r="22" spans="1:44" ht="15" x14ac:dyDescent="0.25">
      <c r="A22" s="2"/>
      <c r="B22" s="1" t="s">
        <v>93</v>
      </c>
      <c r="C22" s="19" t="s">
        <v>91</v>
      </c>
      <c r="D22" s="16">
        <f>Inputs!$E$52</f>
        <v>28828</v>
      </c>
      <c r="F22" s="16">
        <f t="shared" ref="F22:AR22" si="10">IF(F7=$D$21,$D$22,0)</f>
        <v>0</v>
      </c>
      <c r="G22" s="16">
        <f t="shared" si="10"/>
        <v>0</v>
      </c>
      <c r="H22" s="16">
        <f t="shared" si="10"/>
        <v>0</v>
      </c>
      <c r="I22" s="16">
        <f t="shared" si="10"/>
        <v>0</v>
      </c>
      <c r="J22" s="16">
        <f t="shared" si="10"/>
        <v>0</v>
      </c>
      <c r="K22" s="16">
        <f t="shared" si="10"/>
        <v>0</v>
      </c>
      <c r="L22" s="16">
        <f t="shared" si="10"/>
        <v>0</v>
      </c>
      <c r="M22" s="16">
        <f t="shared" si="10"/>
        <v>0</v>
      </c>
      <c r="N22" s="16">
        <f t="shared" si="10"/>
        <v>0</v>
      </c>
      <c r="O22" s="16">
        <f t="shared" si="10"/>
        <v>0</v>
      </c>
      <c r="P22" s="16">
        <f t="shared" si="10"/>
        <v>0</v>
      </c>
      <c r="Q22" s="16">
        <f t="shared" si="10"/>
        <v>0</v>
      </c>
      <c r="R22" s="16">
        <f t="shared" si="10"/>
        <v>0</v>
      </c>
      <c r="S22" s="16">
        <f t="shared" si="10"/>
        <v>0</v>
      </c>
      <c r="T22" s="16">
        <f t="shared" si="10"/>
        <v>0</v>
      </c>
      <c r="U22" s="16">
        <f t="shared" si="10"/>
        <v>0</v>
      </c>
      <c r="V22" s="16">
        <f t="shared" si="10"/>
        <v>0</v>
      </c>
      <c r="W22" s="16">
        <f t="shared" si="10"/>
        <v>0</v>
      </c>
      <c r="X22" s="16">
        <f t="shared" si="10"/>
        <v>0</v>
      </c>
      <c r="Y22" s="16">
        <f t="shared" si="10"/>
        <v>0</v>
      </c>
      <c r="Z22" s="16">
        <f t="shared" si="10"/>
        <v>0</v>
      </c>
      <c r="AA22" s="16">
        <f t="shared" si="10"/>
        <v>0</v>
      </c>
      <c r="AB22" s="16">
        <f t="shared" si="10"/>
        <v>0</v>
      </c>
      <c r="AC22" s="16">
        <f t="shared" si="10"/>
        <v>0</v>
      </c>
      <c r="AD22" s="16">
        <f t="shared" si="10"/>
        <v>0</v>
      </c>
      <c r="AE22" s="16">
        <f t="shared" si="10"/>
        <v>0</v>
      </c>
      <c r="AF22" s="16">
        <f t="shared" si="10"/>
        <v>0</v>
      </c>
      <c r="AG22" s="16">
        <f t="shared" si="10"/>
        <v>0</v>
      </c>
      <c r="AH22" s="16">
        <f t="shared" si="10"/>
        <v>28828</v>
      </c>
      <c r="AI22" s="16">
        <f t="shared" si="10"/>
        <v>0</v>
      </c>
      <c r="AJ22" s="16">
        <f t="shared" si="10"/>
        <v>0</v>
      </c>
      <c r="AK22" s="16">
        <f t="shared" si="10"/>
        <v>0</v>
      </c>
      <c r="AL22" s="16">
        <f t="shared" si="10"/>
        <v>0</v>
      </c>
      <c r="AM22" s="16">
        <f t="shared" si="10"/>
        <v>0</v>
      </c>
      <c r="AN22" s="16">
        <f t="shared" si="10"/>
        <v>0</v>
      </c>
      <c r="AO22" s="16">
        <f t="shared" si="10"/>
        <v>0</v>
      </c>
      <c r="AP22" s="16">
        <f t="shared" si="10"/>
        <v>0</v>
      </c>
      <c r="AQ22" s="16">
        <f t="shared" si="10"/>
        <v>0</v>
      </c>
      <c r="AR22" s="16">
        <f t="shared" si="10"/>
        <v>0</v>
      </c>
    </row>
    <row r="23" spans="1:44" ht="15" x14ac:dyDescent="0.25">
      <c r="A23" s="2"/>
      <c r="B23" s="1" t="s">
        <v>217</v>
      </c>
      <c r="C23" s="19" t="s">
        <v>60</v>
      </c>
      <c r="D23" s="249">
        <f>(D22/D20)^(1/(D21-D19))-1</f>
        <v>1.6646326597385075E-2</v>
      </c>
    </row>
    <row r="24" spans="1:44" ht="15" x14ac:dyDescent="0.25">
      <c r="A24" s="2"/>
      <c r="B24" s="1" t="s">
        <v>218</v>
      </c>
      <c r="C24" s="19" t="s">
        <v>44</v>
      </c>
      <c r="D24" s="1">
        <f>F7</f>
        <v>2018</v>
      </c>
    </row>
    <row r="25" spans="1:44" ht="15" x14ac:dyDescent="0.25">
      <c r="A25" s="2"/>
      <c r="B25" s="1" t="s">
        <v>219</v>
      </c>
      <c r="C25" s="19" t="s">
        <v>91</v>
      </c>
      <c r="D25" s="75">
        <f>D20*1/(1+D23)^(D19-D24)</f>
        <v>18157.5576510354</v>
      </c>
      <c r="F25" s="16">
        <f t="shared" ref="F25:AR25" si="11">IF(F7=$D$24,$D$25,0)</f>
        <v>18157.5576510354</v>
      </c>
      <c r="G25" s="16">
        <f t="shared" si="11"/>
        <v>0</v>
      </c>
      <c r="H25" s="16">
        <f t="shared" si="11"/>
        <v>0</v>
      </c>
      <c r="I25" s="16">
        <f t="shared" si="11"/>
        <v>0</v>
      </c>
      <c r="J25" s="16">
        <f t="shared" si="11"/>
        <v>0</v>
      </c>
      <c r="K25" s="16">
        <f t="shared" si="11"/>
        <v>0</v>
      </c>
      <c r="L25" s="16">
        <f t="shared" si="11"/>
        <v>0</v>
      </c>
      <c r="M25" s="16">
        <f t="shared" si="11"/>
        <v>0</v>
      </c>
      <c r="N25" s="16">
        <f t="shared" si="11"/>
        <v>0</v>
      </c>
      <c r="O25" s="16">
        <f t="shared" si="11"/>
        <v>0</v>
      </c>
      <c r="P25" s="16">
        <f t="shared" si="11"/>
        <v>0</v>
      </c>
      <c r="Q25" s="16">
        <f t="shared" si="11"/>
        <v>0</v>
      </c>
      <c r="R25" s="16">
        <f t="shared" si="11"/>
        <v>0</v>
      </c>
      <c r="S25" s="16">
        <f t="shared" si="11"/>
        <v>0</v>
      </c>
      <c r="T25" s="16">
        <f t="shared" si="11"/>
        <v>0</v>
      </c>
      <c r="U25" s="16">
        <f t="shared" si="11"/>
        <v>0</v>
      </c>
      <c r="V25" s="16">
        <f t="shared" si="11"/>
        <v>0</v>
      </c>
      <c r="W25" s="16">
        <f t="shared" si="11"/>
        <v>0</v>
      </c>
      <c r="X25" s="16">
        <f t="shared" si="11"/>
        <v>0</v>
      </c>
      <c r="Y25" s="16">
        <f t="shared" si="11"/>
        <v>0</v>
      </c>
      <c r="Z25" s="16">
        <f t="shared" si="11"/>
        <v>0</v>
      </c>
      <c r="AA25" s="16">
        <f t="shared" si="11"/>
        <v>0</v>
      </c>
      <c r="AB25" s="16">
        <f t="shared" si="11"/>
        <v>0</v>
      </c>
      <c r="AC25" s="16">
        <f t="shared" si="11"/>
        <v>0</v>
      </c>
      <c r="AD25" s="16">
        <f t="shared" si="11"/>
        <v>0</v>
      </c>
      <c r="AE25" s="16">
        <f t="shared" si="11"/>
        <v>0</v>
      </c>
      <c r="AF25" s="16">
        <f t="shared" si="11"/>
        <v>0</v>
      </c>
      <c r="AG25" s="16">
        <f t="shared" si="11"/>
        <v>0</v>
      </c>
      <c r="AH25" s="16">
        <f t="shared" si="11"/>
        <v>0</v>
      </c>
      <c r="AI25" s="16">
        <f t="shared" si="11"/>
        <v>0</v>
      </c>
      <c r="AJ25" s="16">
        <f t="shared" si="11"/>
        <v>0</v>
      </c>
      <c r="AK25" s="16">
        <f t="shared" si="11"/>
        <v>0</v>
      </c>
      <c r="AL25" s="16">
        <f t="shared" si="11"/>
        <v>0</v>
      </c>
      <c r="AM25" s="16">
        <f t="shared" si="11"/>
        <v>0</v>
      </c>
      <c r="AN25" s="16">
        <f t="shared" si="11"/>
        <v>0</v>
      </c>
      <c r="AO25" s="16">
        <f t="shared" si="11"/>
        <v>0</v>
      </c>
      <c r="AP25" s="16">
        <f t="shared" si="11"/>
        <v>0</v>
      </c>
      <c r="AQ25" s="16">
        <f t="shared" si="11"/>
        <v>0</v>
      </c>
      <c r="AR25" s="16">
        <f t="shared" si="11"/>
        <v>0</v>
      </c>
    </row>
    <row r="26" spans="1:44" ht="15" x14ac:dyDescent="0.25">
      <c r="A26" s="2"/>
      <c r="B26" s="1" t="s">
        <v>87</v>
      </c>
      <c r="C26" s="235" t="s">
        <v>60</v>
      </c>
      <c r="D26" s="62">
        <f>Inputs!$E$47</f>
        <v>0.03</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1:44" ht="15" x14ac:dyDescent="0.25">
      <c r="A27" s="2"/>
      <c r="C27" s="235"/>
      <c r="D27" s="62"/>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x14ac:dyDescent="0.2">
      <c r="B28" s="1" t="s">
        <v>220</v>
      </c>
      <c r="C28" s="235" t="s">
        <v>91</v>
      </c>
      <c r="D28" s="75">
        <f>SUM(F28:AR28)</f>
        <v>985873.22936411866</v>
      </c>
      <c r="F28" s="75">
        <f t="shared" ref="F28:AR28" si="12">E28*(1+$D$23)+F25</f>
        <v>18157.5576510354</v>
      </c>
      <c r="G28" s="75">
        <f t="shared" si="12"/>
        <v>18459.814285905384</v>
      </c>
      <c r="H28" s="75">
        <f t="shared" si="12"/>
        <v>18767.102383435638</v>
      </c>
      <c r="I28" s="75">
        <f t="shared" si="12"/>
        <v>19079.505698996873</v>
      </c>
      <c r="J28" s="75">
        <f t="shared" si="12"/>
        <v>19397.109382179045</v>
      </c>
      <c r="K28" s="75">
        <f t="shared" si="12"/>
        <v>19720</v>
      </c>
      <c r="L28" s="75">
        <f t="shared" si="12"/>
        <v>20048.265560500433</v>
      </c>
      <c r="M28" s="75">
        <f t="shared" si="12"/>
        <v>20381.995536731629</v>
      </c>
      <c r="N28" s="75">
        <f t="shared" si="12"/>
        <v>20721.280891142509</v>
      </c>
      <c r="O28" s="75">
        <f t="shared" si="12"/>
        <v>21066.214100372621</v>
      </c>
      <c r="P28" s="75">
        <f t="shared" si="12"/>
        <v>21416.889180457863</v>
      </c>
      <c r="Q28" s="75">
        <f t="shared" si="12"/>
        <v>21773.401712455769</v>
      </c>
      <c r="R28" s="75">
        <f t="shared" si="12"/>
        <v>22135.848868497371</v>
      </c>
      <c r="S28" s="75">
        <f t="shared" si="12"/>
        <v>22504.329438272736</v>
      </c>
      <c r="T28" s="75">
        <f t="shared" si="12"/>
        <v>22878.943855957372</v>
      </c>
      <c r="U28" s="75">
        <f t="shared" si="12"/>
        <v>23259.794227586874</v>
      </c>
      <c r="V28" s="75">
        <f t="shared" si="12"/>
        <v>23646.984358887257</v>
      </c>
      <c r="W28" s="75">
        <f t="shared" si="12"/>
        <v>24040.619783568553</v>
      </c>
      <c r="X28" s="75">
        <f t="shared" si="12"/>
        <v>24440.807792089392</v>
      </c>
      <c r="Y28" s="75">
        <f t="shared" si="12"/>
        <v>24847.657460900427</v>
      </c>
      <c r="Z28" s="75">
        <f t="shared" si="12"/>
        <v>25261.279682174529</v>
      </c>
      <c r="AA28" s="75">
        <f t="shared" si="12"/>
        <v>25681.787194031895</v>
      </c>
      <c r="AB28" s="75">
        <f t="shared" si="12"/>
        <v>26109.294611268291</v>
      </c>
      <c r="AC28" s="75">
        <f t="shared" si="12"/>
        <v>26543.918456594809</v>
      </c>
      <c r="AD28" s="75">
        <f t="shared" si="12"/>
        <v>26985.777192397643</v>
      </c>
      <c r="AE28" s="75">
        <f t="shared" si="12"/>
        <v>27434.991253026561</v>
      </c>
      <c r="AF28" s="75">
        <f t="shared" si="12"/>
        <v>27891.683077620844</v>
      </c>
      <c r="AG28" s="75">
        <f t="shared" si="12"/>
        <v>28355.977143481679</v>
      </c>
      <c r="AH28" s="75">
        <f t="shared" si="12"/>
        <v>28828.000000000062</v>
      </c>
      <c r="AI28" s="75">
        <f t="shared" si="12"/>
        <v>29307.880303149479</v>
      </c>
      <c r="AJ28" s="75">
        <f t="shared" si="12"/>
        <v>29795.748850552773</v>
      </c>
      <c r="AK28" s="75">
        <f t="shared" si="12"/>
        <v>30291.738617132734</v>
      </c>
      <c r="AL28" s="75">
        <f t="shared" si="12"/>
        <v>30795.984791356146</v>
      </c>
      <c r="AM28" s="75">
        <f t="shared" si="12"/>
        <v>31308.624812081165</v>
      </c>
      <c r="AN28" s="75">
        <f t="shared" si="12"/>
        <v>31829.798406018061</v>
      </c>
      <c r="AO28" s="75">
        <f t="shared" si="12"/>
        <v>32359.647625813563</v>
      </c>
      <c r="AP28" s="75">
        <f t="shared" si="12"/>
        <v>32898.31688876915</v>
      </c>
      <c r="AQ28" s="75">
        <f t="shared" si="12"/>
        <v>33445.953016203872</v>
      </c>
      <c r="AR28" s="75">
        <f t="shared" si="12"/>
        <v>34002.705273472398</v>
      </c>
    </row>
    <row r="29" spans="1:44" x14ac:dyDescent="0.2">
      <c r="B29" s="1" t="s">
        <v>221</v>
      </c>
      <c r="C29" s="235" t="s">
        <v>91</v>
      </c>
      <c r="D29" s="75">
        <f>SUM(F29:AR29)</f>
        <v>956297.0324831953</v>
      </c>
      <c r="F29" s="75">
        <f t="shared" ref="F29:AR29" si="13">F28*(1-$D$26)</f>
        <v>17612.830921504337</v>
      </c>
      <c r="G29" s="75">
        <f t="shared" si="13"/>
        <v>17906.019857328221</v>
      </c>
      <c r="H29" s="75">
        <f t="shared" si="13"/>
        <v>18204.08931193257</v>
      </c>
      <c r="I29" s="75">
        <f t="shared" si="13"/>
        <v>18507.120528026964</v>
      </c>
      <c r="J29" s="75">
        <f t="shared" si="13"/>
        <v>18815.196100713674</v>
      </c>
      <c r="K29" s="75">
        <f t="shared" si="13"/>
        <v>19128.399999999998</v>
      </c>
      <c r="L29" s="75">
        <f t="shared" si="13"/>
        <v>19446.81759368542</v>
      </c>
      <c r="M29" s="75">
        <f t="shared" si="13"/>
        <v>19770.535670629681</v>
      </c>
      <c r="N29" s="75">
        <f t="shared" si="13"/>
        <v>20099.642464408233</v>
      </c>
      <c r="O29" s="75">
        <f t="shared" si="13"/>
        <v>20434.227677361443</v>
      </c>
      <c r="P29" s="75">
        <f t="shared" si="13"/>
        <v>20774.382505044126</v>
      </c>
      <c r="Q29" s="75">
        <f t="shared" si="13"/>
        <v>21120.199661082093</v>
      </c>
      <c r="R29" s="75">
        <f t="shared" si="13"/>
        <v>21471.77340244245</v>
      </c>
      <c r="S29" s="75">
        <f t="shared" si="13"/>
        <v>21829.199555124553</v>
      </c>
      <c r="T29" s="75">
        <f t="shared" si="13"/>
        <v>22192.575540278649</v>
      </c>
      <c r="U29" s="75">
        <f t="shared" si="13"/>
        <v>22562.000400759265</v>
      </c>
      <c r="V29" s="75">
        <f t="shared" si="13"/>
        <v>22937.57482812064</v>
      </c>
      <c r="W29" s="75">
        <f t="shared" si="13"/>
        <v>23319.401190061497</v>
      </c>
      <c r="X29" s="75">
        <f t="shared" si="13"/>
        <v>23707.583558326711</v>
      </c>
      <c r="Y29" s="75">
        <f t="shared" si="13"/>
        <v>24102.227737073415</v>
      </c>
      <c r="Z29" s="75">
        <f t="shared" si="13"/>
        <v>24503.441291709292</v>
      </c>
      <c r="AA29" s="75">
        <f t="shared" si="13"/>
        <v>24911.333578210939</v>
      </c>
      <c r="AB29" s="75">
        <f t="shared" si="13"/>
        <v>25326.015772930241</v>
      </c>
      <c r="AC29" s="75">
        <f t="shared" si="13"/>
        <v>25747.600902896964</v>
      </c>
      <c r="AD29" s="75">
        <f t="shared" si="13"/>
        <v>26176.203876625714</v>
      </c>
      <c r="AE29" s="75">
        <f t="shared" si="13"/>
        <v>26611.941515435763</v>
      </c>
      <c r="AF29" s="75">
        <f t="shared" si="13"/>
        <v>27054.932585292219</v>
      </c>
      <c r="AG29" s="75">
        <f t="shared" si="13"/>
        <v>27505.297829177227</v>
      </c>
      <c r="AH29" s="75">
        <f t="shared" si="13"/>
        <v>27963.160000000058</v>
      </c>
      <c r="AI29" s="75">
        <f t="shared" si="13"/>
        <v>28428.643894054992</v>
      </c>
      <c r="AJ29" s="75">
        <f t="shared" si="13"/>
        <v>28901.87638503619</v>
      </c>
      <c r="AK29" s="75">
        <f t="shared" si="13"/>
        <v>29382.98645861875</v>
      </c>
      <c r="AL29" s="75">
        <f t="shared" si="13"/>
        <v>29872.105247615462</v>
      </c>
      <c r="AM29" s="75">
        <f t="shared" si="13"/>
        <v>30369.366067718729</v>
      </c>
      <c r="AN29" s="75">
        <f t="shared" si="13"/>
        <v>30874.904453837516</v>
      </c>
      <c r="AO29" s="75">
        <f t="shared" si="13"/>
        <v>31388.858197039153</v>
      </c>
      <c r="AP29" s="75">
        <f t="shared" si="13"/>
        <v>31911.367382106073</v>
      </c>
      <c r="AQ29" s="75">
        <f t="shared" si="13"/>
        <v>32442.574425717754</v>
      </c>
      <c r="AR29" s="75">
        <f t="shared" si="13"/>
        <v>32982.624115268227</v>
      </c>
    </row>
    <row r="30" spans="1:44" x14ac:dyDescent="0.2">
      <c r="B30" s="1" t="s">
        <v>222</v>
      </c>
      <c r="C30" s="235" t="s">
        <v>91</v>
      </c>
      <c r="D30" s="75">
        <f>SUM(F30:AR30)</f>
        <v>29576.196880923555</v>
      </c>
      <c r="F30" s="75">
        <f t="shared" ref="F30:AR30" si="14">F28*$D$26</f>
        <v>544.72672953106201</v>
      </c>
      <c r="G30" s="75">
        <f t="shared" si="14"/>
        <v>553.79442857716151</v>
      </c>
      <c r="H30" s="75">
        <f t="shared" si="14"/>
        <v>563.01307150306911</v>
      </c>
      <c r="I30" s="75">
        <f t="shared" si="14"/>
        <v>572.3851709699062</v>
      </c>
      <c r="J30" s="75">
        <f t="shared" si="14"/>
        <v>581.91328146537137</v>
      </c>
      <c r="K30" s="75">
        <f t="shared" si="14"/>
        <v>591.6</v>
      </c>
      <c r="L30" s="75">
        <f t="shared" si="14"/>
        <v>601.44796681501293</v>
      </c>
      <c r="M30" s="75">
        <f t="shared" si="14"/>
        <v>611.45986610194882</v>
      </c>
      <c r="N30" s="75">
        <f t="shared" si="14"/>
        <v>621.6384267342753</v>
      </c>
      <c r="O30" s="75">
        <f t="shared" si="14"/>
        <v>631.98642301117866</v>
      </c>
      <c r="P30" s="75">
        <f t="shared" si="14"/>
        <v>642.50667541373593</v>
      </c>
      <c r="Q30" s="75">
        <f t="shared" si="14"/>
        <v>653.20205137367304</v>
      </c>
      <c r="R30" s="75">
        <f t="shared" si="14"/>
        <v>664.07546605492109</v>
      </c>
      <c r="S30" s="75">
        <f t="shared" si="14"/>
        <v>675.1298831481821</v>
      </c>
      <c r="T30" s="75">
        <f t="shared" si="14"/>
        <v>686.36831567872116</v>
      </c>
      <c r="U30" s="75">
        <f t="shared" si="14"/>
        <v>697.79382682760615</v>
      </c>
      <c r="V30" s="75">
        <f t="shared" si="14"/>
        <v>709.40953076661765</v>
      </c>
      <c r="W30" s="75">
        <f t="shared" si="14"/>
        <v>721.21859350705654</v>
      </c>
      <c r="X30" s="75">
        <f t="shared" si="14"/>
        <v>733.22423376268171</v>
      </c>
      <c r="Y30" s="75">
        <f t="shared" si="14"/>
        <v>745.42972382701282</v>
      </c>
      <c r="Z30" s="75">
        <f t="shared" si="14"/>
        <v>757.83839046523588</v>
      </c>
      <c r="AA30" s="75">
        <f t="shared" si="14"/>
        <v>770.45361582095677</v>
      </c>
      <c r="AB30" s="75">
        <f t="shared" si="14"/>
        <v>783.27883833804867</v>
      </c>
      <c r="AC30" s="75">
        <f t="shared" si="14"/>
        <v>796.31755369784423</v>
      </c>
      <c r="AD30" s="75">
        <f t="shared" si="14"/>
        <v>809.57331577192929</v>
      </c>
      <c r="AE30" s="75">
        <f t="shared" si="14"/>
        <v>823.04973759079678</v>
      </c>
      <c r="AF30" s="75">
        <f t="shared" si="14"/>
        <v>836.75049232862534</v>
      </c>
      <c r="AG30" s="75">
        <f t="shared" si="14"/>
        <v>850.67931430445037</v>
      </c>
      <c r="AH30" s="75">
        <f t="shared" si="14"/>
        <v>864.84000000000185</v>
      </c>
      <c r="AI30" s="75">
        <f t="shared" si="14"/>
        <v>879.23640909448432</v>
      </c>
      <c r="AJ30" s="75">
        <f t="shared" si="14"/>
        <v>893.87246551658313</v>
      </c>
      <c r="AK30" s="75">
        <f t="shared" si="14"/>
        <v>908.75215851398195</v>
      </c>
      <c r="AL30" s="75">
        <f t="shared" si="14"/>
        <v>923.87954374068431</v>
      </c>
      <c r="AM30" s="75">
        <f t="shared" si="14"/>
        <v>939.25874436243487</v>
      </c>
      <c r="AN30" s="75">
        <f t="shared" si="14"/>
        <v>954.89395218054176</v>
      </c>
      <c r="AO30" s="75">
        <f t="shared" si="14"/>
        <v>970.78942877440682</v>
      </c>
      <c r="AP30" s="75">
        <f t="shared" si="14"/>
        <v>986.94950666307443</v>
      </c>
      <c r="AQ30" s="75">
        <f t="shared" si="14"/>
        <v>1003.3785904861161</v>
      </c>
      <c r="AR30" s="75">
        <f t="shared" si="14"/>
        <v>1020.081158204172</v>
      </c>
    </row>
    <row r="31" spans="1:44" x14ac:dyDescent="0.2">
      <c r="C31" s="235"/>
      <c r="D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row>
    <row r="32" spans="1:44" ht="15" x14ac:dyDescent="0.25">
      <c r="A32" s="2" t="s">
        <v>1001</v>
      </c>
      <c r="C32" s="18"/>
    </row>
    <row r="33" spans="1:44" ht="15" x14ac:dyDescent="0.25">
      <c r="A33" s="2"/>
      <c r="B33" s="1" t="s">
        <v>89</v>
      </c>
      <c r="C33" s="19" t="s">
        <v>44</v>
      </c>
      <c r="D33" s="20">
        <f>Inputs!E54</f>
        <v>2023</v>
      </c>
    </row>
    <row r="34" spans="1:44" ht="15" x14ac:dyDescent="0.25">
      <c r="A34" s="2"/>
      <c r="B34" s="1" t="s">
        <v>90</v>
      </c>
      <c r="C34" s="19" t="s">
        <v>91</v>
      </c>
      <c r="D34" s="16">
        <f>Inputs!E55</f>
        <v>7702</v>
      </c>
      <c r="F34" s="16">
        <f t="shared" ref="F34:AR34" si="15">IF(F7=$D$33,$D$34,0)</f>
        <v>0</v>
      </c>
      <c r="G34" s="16">
        <f t="shared" si="15"/>
        <v>0</v>
      </c>
      <c r="H34" s="16">
        <f t="shared" si="15"/>
        <v>0</v>
      </c>
      <c r="I34" s="16">
        <f t="shared" si="15"/>
        <v>0</v>
      </c>
      <c r="J34" s="16">
        <f t="shared" si="15"/>
        <v>0</v>
      </c>
      <c r="K34" s="16">
        <f t="shared" si="15"/>
        <v>7702</v>
      </c>
      <c r="L34" s="16">
        <f t="shared" si="15"/>
        <v>0</v>
      </c>
      <c r="M34" s="16">
        <f t="shared" si="15"/>
        <v>0</v>
      </c>
      <c r="N34" s="16">
        <f t="shared" si="15"/>
        <v>0</v>
      </c>
      <c r="O34" s="16">
        <f t="shared" si="15"/>
        <v>0</v>
      </c>
      <c r="P34" s="16">
        <f t="shared" si="15"/>
        <v>0</v>
      </c>
      <c r="Q34" s="16">
        <f t="shared" si="15"/>
        <v>0</v>
      </c>
      <c r="R34" s="16">
        <f t="shared" si="15"/>
        <v>0</v>
      </c>
      <c r="S34" s="16">
        <f t="shared" si="15"/>
        <v>0</v>
      </c>
      <c r="T34" s="16">
        <f t="shared" si="15"/>
        <v>0</v>
      </c>
      <c r="U34" s="16">
        <f t="shared" si="15"/>
        <v>0</v>
      </c>
      <c r="V34" s="16">
        <f t="shared" si="15"/>
        <v>0</v>
      </c>
      <c r="W34" s="16">
        <f t="shared" si="15"/>
        <v>0</v>
      </c>
      <c r="X34" s="16">
        <f t="shared" si="15"/>
        <v>0</v>
      </c>
      <c r="Y34" s="16">
        <f t="shared" si="15"/>
        <v>0</v>
      </c>
      <c r="Z34" s="16">
        <f t="shared" si="15"/>
        <v>0</v>
      </c>
      <c r="AA34" s="16">
        <f t="shared" si="15"/>
        <v>0</v>
      </c>
      <c r="AB34" s="16">
        <f t="shared" si="15"/>
        <v>0</v>
      </c>
      <c r="AC34" s="16">
        <f t="shared" si="15"/>
        <v>0</v>
      </c>
      <c r="AD34" s="16">
        <f t="shared" si="15"/>
        <v>0</v>
      </c>
      <c r="AE34" s="16">
        <f t="shared" si="15"/>
        <v>0</v>
      </c>
      <c r="AF34" s="16">
        <f t="shared" si="15"/>
        <v>0</v>
      </c>
      <c r="AG34" s="16">
        <f t="shared" si="15"/>
        <v>0</v>
      </c>
      <c r="AH34" s="16">
        <f t="shared" si="15"/>
        <v>0</v>
      </c>
      <c r="AI34" s="16">
        <f t="shared" si="15"/>
        <v>0</v>
      </c>
      <c r="AJ34" s="16">
        <f t="shared" si="15"/>
        <v>0</v>
      </c>
      <c r="AK34" s="16">
        <f t="shared" si="15"/>
        <v>0</v>
      </c>
      <c r="AL34" s="16">
        <f t="shared" si="15"/>
        <v>0</v>
      </c>
      <c r="AM34" s="16">
        <f t="shared" si="15"/>
        <v>0</v>
      </c>
      <c r="AN34" s="16">
        <f t="shared" si="15"/>
        <v>0</v>
      </c>
      <c r="AO34" s="16">
        <f t="shared" si="15"/>
        <v>0</v>
      </c>
      <c r="AP34" s="16">
        <f t="shared" si="15"/>
        <v>0</v>
      </c>
      <c r="AQ34" s="16">
        <f t="shared" si="15"/>
        <v>0</v>
      </c>
      <c r="AR34" s="16">
        <f t="shared" si="15"/>
        <v>0</v>
      </c>
    </row>
    <row r="35" spans="1:44" ht="15" x14ac:dyDescent="0.25">
      <c r="A35" s="2"/>
      <c r="B35" s="1" t="s">
        <v>92</v>
      </c>
      <c r="C35" s="19" t="s">
        <v>44</v>
      </c>
      <c r="D35" s="20">
        <f>Inputs!E56</f>
        <v>2046</v>
      </c>
    </row>
    <row r="36" spans="1:44" ht="15" x14ac:dyDescent="0.25">
      <c r="A36" s="2"/>
      <c r="B36" s="1" t="s">
        <v>93</v>
      </c>
      <c r="C36" s="19" t="s">
        <v>91</v>
      </c>
      <c r="D36" s="16">
        <f>Inputs!E57</f>
        <v>11262</v>
      </c>
      <c r="F36" s="16">
        <f t="shared" ref="F36" si="16">IF(F22=$D$21,$D$22,0)</f>
        <v>0</v>
      </c>
      <c r="G36" s="16">
        <f t="shared" ref="G36:AR36" si="17">IF(G7=$D$35,$D$36,0)</f>
        <v>0</v>
      </c>
      <c r="H36" s="16">
        <f t="shared" si="17"/>
        <v>0</v>
      </c>
      <c r="I36" s="16">
        <f t="shared" si="17"/>
        <v>0</v>
      </c>
      <c r="J36" s="16">
        <f t="shared" si="17"/>
        <v>0</v>
      </c>
      <c r="K36" s="16">
        <f t="shared" si="17"/>
        <v>0</v>
      </c>
      <c r="L36" s="16">
        <f t="shared" si="17"/>
        <v>0</v>
      </c>
      <c r="M36" s="16">
        <f t="shared" si="17"/>
        <v>0</v>
      </c>
      <c r="N36" s="16">
        <f t="shared" si="17"/>
        <v>0</v>
      </c>
      <c r="O36" s="16">
        <f t="shared" si="17"/>
        <v>0</v>
      </c>
      <c r="P36" s="16">
        <f t="shared" si="17"/>
        <v>0</v>
      </c>
      <c r="Q36" s="16">
        <f t="shared" si="17"/>
        <v>0</v>
      </c>
      <c r="R36" s="16">
        <f t="shared" si="17"/>
        <v>0</v>
      </c>
      <c r="S36" s="16">
        <f t="shared" si="17"/>
        <v>0</v>
      </c>
      <c r="T36" s="16">
        <f t="shared" si="17"/>
        <v>0</v>
      </c>
      <c r="U36" s="16">
        <f t="shared" si="17"/>
        <v>0</v>
      </c>
      <c r="V36" s="16">
        <f t="shared" si="17"/>
        <v>0</v>
      </c>
      <c r="W36" s="16">
        <f t="shared" si="17"/>
        <v>0</v>
      </c>
      <c r="X36" s="16">
        <f t="shared" si="17"/>
        <v>0</v>
      </c>
      <c r="Y36" s="16">
        <f t="shared" si="17"/>
        <v>0</v>
      </c>
      <c r="Z36" s="16">
        <f t="shared" si="17"/>
        <v>0</v>
      </c>
      <c r="AA36" s="16">
        <f t="shared" si="17"/>
        <v>0</v>
      </c>
      <c r="AB36" s="16">
        <f t="shared" si="17"/>
        <v>0</v>
      </c>
      <c r="AC36" s="16">
        <f t="shared" si="17"/>
        <v>0</v>
      </c>
      <c r="AD36" s="16">
        <f t="shared" si="17"/>
        <v>0</v>
      </c>
      <c r="AE36" s="16">
        <f t="shared" si="17"/>
        <v>0</v>
      </c>
      <c r="AF36" s="16">
        <f t="shared" si="17"/>
        <v>0</v>
      </c>
      <c r="AG36" s="16">
        <f t="shared" si="17"/>
        <v>0</v>
      </c>
      <c r="AH36" s="16">
        <f t="shared" si="17"/>
        <v>11262</v>
      </c>
      <c r="AI36" s="16">
        <f t="shared" si="17"/>
        <v>0</v>
      </c>
      <c r="AJ36" s="16">
        <f t="shared" si="17"/>
        <v>0</v>
      </c>
      <c r="AK36" s="16">
        <f t="shared" si="17"/>
        <v>0</v>
      </c>
      <c r="AL36" s="16">
        <f t="shared" si="17"/>
        <v>0</v>
      </c>
      <c r="AM36" s="16">
        <f t="shared" si="17"/>
        <v>0</v>
      </c>
      <c r="AN36" s="16">
        <f t="shared" si="17"/>
        <v>0</v>
      </c>
      <c r="AO36" s="16">
        <f t="shared" si="17"/>
        <v>0</v>
      </c>
      <c r="AP36" s="16">
        <f t="shared" si="17"/>
        <v>0</v>
      </c>
      <c r="AQ36" s="16">
        <f t="shared" si="17"/>
        <v>0</v>
      </c>
      <c r="AR36" s="16">
        <f t="shared" si="17"/>
        <v>0</v>
      </c>
    </row>
    <row r="37" spans="1:44" ht="15" x14ac:dyDescent="0.25">
      <c r="A37" s="2"/>
      <c r="B37" s="1" t="s">
        <v>217</v>
      </c>
      <c r="C37" s="19" t="s">
        <v>60</v>
      </c>
      <c r="D37" s="249">
        <f>(D36/D34)^(1/(D35-D33))-1</f>
        <v>1.6656952974139383E-2</v>
      </c>
    </row>
    <row r="38" spans="1:44" ht="15" x14ac:dyDescent="0.25">
      <c r="A38" s="2"/>
      <c r="B38" s="1" t="s">
        <v>218</v>
      </c>
      <c r="C38" s="19" t="s">
        <v>44</v>
      </c>
      <c r="D38" s="1">
        <f>F7</f>
        <v>2018</v>
      </c>
    </row>
    <row r="39" spans="1:44" ht="15" x14ac:dyDescent="0.25">
      <c r="A39" s="2"/>
      <c r="B39" s="1" t="s">
        <v>219</v>
      </c>
      <c r="C39" s="19" t="s">
        <v>91</v>
      </c>
      <c r="D39" s="75">
        <f>D34*1/(1+D37)^(D33-D38)</f>
        <v>7091.389475371051</v>
      </c>
      <c r="F39" s="16">
        <f t="shared" ref="F39:AR39" si="18">IF(F7=$D$38,$D$39,0)</f>
        <v>7091.389475371051</v>
      </c>
      <c r="G39" s="16">
        <f t="shared" si="18"/>
        <v>0</v>
      </c>
      <c r="H39" s="16">
        <f t="shared" si="18"/>
        <v>0</v>
      </c>
      <c r="I39" s="16">
        <f t="shared" si="18"/>
        <v>0</v>
      </c>
      <c r="J39" s="16">
        <f t="shared" si="18"/>
        <v>0</v>
      </c>
      <c r="K39" s="16">
        <f t="shared" si="18"/>
        <v>0</v>
      </c>
      <c r="L39" s="16">
        <f t="shared" si="18"/>
        <v>0</v>
      </c>
      <c r="M39" s="16">
        <f t="shared" si="18"/>
        <v>0</v>
      </c>
      <c r="N39" s="16">
        <f t="shared" si="18"/>
        <v>0</v>
      </c>
      <c r="O39" s="16">
        <f t="shared" si="18"/>
        <v>0</v>
      </c>
      <c r="P39" s="16">
        <f t="shared" si="18"/>
        <v>0</v>
      </c>
      <c r="Q39" s="16">
        <f t="shared" si="18"/>
        <v>0</v>
      </c>
      <c r="R39" s="16">
        <f t="shared" si="18"/>
        <v>0</v>
      </c>
      <c r="S39" s="16">
        <f t="shared" si="18"/>
        <v>0</v>
      </c>
      <c r="T39" s="16">
        <f t="shared" si="18"/>
        <v>0</v>
      </c>
      <c r="U39" s="16">
        <f t="shared" si="18"/>
        <v>0</v>
      </c>
      <c r="V39" s="16">
        <f t="shared" si="18"/>
        <v>0</v>
      </c>
      <c r="W39" s="16">
        <f t="shared" si="18"/>
        <v>0</v>
      </c>
      <c r="X39" s="16">
        <f t="shared" si="18"/>
        <v>0</v>
      </c>
      <c r="Y39" s="16">
        <f t="shared" si="18"/>
        <v>0</v>
      </c>
      <c r="Z39" s="16">
        <f t="shared" si="18"/>
        <v>0</v>
      </c>
      <c r="AA39" s="16">
        <f t="shared" si="18"/>
        <v>0</v>
      </c>
      <c r="AB39" s="16">
        <f t="shared" si="18"/>
        <v>0</v>
      </c>
      <c r="AC39" s="16">
        <f t="shared" si="18"/>
        <v>0</v>
      </c>
      <c r="AD39" s="16">
        <f t="shared" si="18"/>
        <v>0</v>
      </c>
      <c r="AE39" s="16">
        <f t="shared" si="18"/>
        <v>0</v>
      </c>
      <c r="AF39" s="16">
        <f t="shared" si="18"/>
        <v>0</v>
      </c>
      <c r="AG39" s="16">
        <f t="shared" si="18"/>
        <v>0</v>
      </c>
      <c r="AH39" s="16">
        <f t="shared" si="18"/>
        <v>0</v>
      </c>
      <c r="AI39" s="16">
        <f t="shared" si="18"/>
        <v>0</v>
      </c>
      <c r="AJ39" s="16">
        <f t="shared" si="18"/>
        <v>0</v>
      </c>
      <c r="AK39" s="16">
        <f t="shared" si="18"/>
        <v>0</v>
      </c>
      <c r="AL39" s="16">
        <f t="shared" si="18"/>
        <v>0</v>
      </c>
      <c r="AM39" s="16">
        <f t="shared" si="18"/>
        <v>0</v>
      </c>
      <c r="AN39" s="16">
        <f t="shared" si="18"/>
        <v>0</v>
      </c>
      <c r="AO39" s="16">
        <f t="shared" si="18"/>
        <v>0</v>
      </c>
      <c r="AP39" s="16">
        <f t="shared" si="18"/>
        <v>0</v>
      </c>
      <c r="AQ39" s="16">
        <f t="shared" si="18"/>
        <v>0</v>
      </c>
      <c r="AR39" s="16">
        <f t="shared" si="18"/>
        <v>0</v>
      </c>
    </row>
    <row r="40" spans="1:44" ht="15" x14ac:dyDescent="0.25">
      <c r="A40" s="2"/>
      <c r="B40" s="1" t="s">
        <v>87</v>
      </c>
      <c r="C40" s="235" t="s">
        <v>60</v>
      </c>
      <c r="D40" s="62">
        <f>Inputs!$E$47</f>
        <v>0.03</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1:44" ht="15" x14ac:dyDescent="0.25">
      <c r="A41" s="2"/>
      <c r="C41" s="235"/>
      <c r="D41" s="6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1:44" x14ac:dyDescent="0.2">
      <c r="B42" s="1" t="s">
        <v>220</v>
      </c>
      <c r="C42" s="235" t="s">
        <v>91</v>
      </c>
      <c r="D42" s="75">
        <f>SUM(F42:AR42)</f>
        <v>385030.36460766086</v>
      </c>
      <c r="F42" s="75">
        <f t="shared" ref="F42" si="19">E42*(1+$D$23)+F39</f>
        <v>7091.389475371051</v>
      </c>
      <c r="G42" s="75">
        <f t="shared" ref="G42" si="20">F42*(1+$D$23)+G39</f>
        <v>7209.4350606073367</v>
      </c>
      <c r="H42" s="75">
        <f t="shared" ref="H42" si="21">G42*(1+$D$23)+H39</f>
        <v>7329.4456712088449</v>
      </c>
      <c r="I42" s="75">
        <f t="shared" ref="I42" si="22">H42*(1+$D$23)+I39</f>
        <v>7451.4540176295777</v>
      </c>
      <c r="J42" s="75">
        <f t="shared" ref="J42" si="23">I42*(1+$D$23)+J39</f>
        <v>7575.493354832437</v>
      </c>
      <c r="K42" s="75">
        <f t="shared" ref="K42" si="24">J42*(1+$D$23)+K39</f>
        <v>7701.5974913532982</v>
      </c>
      <c r="L42" s="75">
        <f t="shared" ref="L42" si="25">K42*(1+$D$23)+L39</f>
        <v>7829.8007985159666</v>
      </c>
      <c r="M42" s="75">
        <f t="shared" ref="M42" si="26">L42*(1+$D$23)+M39</f>
        <v>7960.1382198005294</v>
      </c>
      <c r="N42" s="75">
        <f t="shared" ref="N42" si="27">M42*(1+$D$23)+N39</f>
        <v>8092.6452803676566</v>
      </c>
      <c r="O42" s="75">
        <f t="shared" ref="O42" si="28">N42*(1+$D$23)+O39</f>
        <v>8227.3580967414437</v>
      </c>
      <c r="P42" s="75">
        <f t="shared" ref="P42" si="29">O42*(1+$D$23)+P39</f>
        <v>8364.3133866534426</v>
      </c>
      <c r="Q42" s="75">
        <f t="shared" ref="Q42" si="30">P42*(1+$D$23)+Q39</f>
        <v>8503.5484790505561</v>
      </c>
      <c r="R42" s="75">
        <f t="shared" ref="R42" si="31">Q42*(1+$D$23)+R39</f>
        <v>8645.101324269528</v>
      </c>
      <c r="S42" s="75">
        <f t="shared" ref="S42" si="32">R42*(1+$D$23)+S39</f>
        <v>8789.0105043808053</v>
      </c>
      <c r="T42" s="75">
        <f t="shared" ref="T42" si="33">S42*(1+$D$23)+T39</f>
        <v>8935.3152437045756</v>
      </c>
      <c r="U42" s="75">
        <f t="shared" ref="U42" si="34">T42*(1+$D$23)+U39</f>
        <v>9084.0554195018758</v>
      </c>
      <c r="V42" s="75">
        <f t="shared" ref="V42" si="35">U42*(1+$D$23)+V39</f>
        <v>9235.2715728436506</v>
      </c>
      <c r="W42" s="75">
        <f t="shared" ref="W42" si="36">V42*(1+$D$23)+W39</f>
        <v>9389.0049196607524</v>
      </c>
      <c r="X42" s="75">
        <f t="shared" ref="X42" si="37">W42*(1+$D$23)+X39</f>
        <v>9545.2973619778804</v>
      </c>
      <c r="Y42" s="75">
        <f t="shared" ref="Y42" si="38">X42*(1+$D$23)+Y39</f>
        <v>9704.1914993345217</v>
      </c>
      <c r="Z42" s="75">
        <f t="shared" ref="Z42" si="39">Y42*(1+$D$23)+Z39</f>
        <v>9865.7306403960119</v>
      </c>
      <c r="AA42" s="75">
        <f t="shared" ref="AA42" si="40">Z42*(1+$D$23)+AA39</f>
        <v>10029.958814757872</v>
      </c>
      <c r="AB42" s="75">
        <f t="shared" ref="AB42" si="41">AA42*(1+$D$23)+AB39</f>
        <v>10196.920784946653</v>
      </c>
      <c r="AC42" s="75">
        <f t="shared" ref="AC42" si="42">AB42*(1+$D$23)+AC39</f>
        <v>10366.662058620539</v>
      </c>
      <c r="AD42" s="75">
        <f t="shared" ref="AD42" si="43">AC42*(1+$D$23)+AD39</f>
        <v>10539.228900973058</v>
      </c>
      <c r="AE42" s="75">
        <f t="shared" ref="AE42" si="44">AD42*(1+$D$23)+AE39</f>
        <v>10714.668347343255</v>
      </c>
      <c r="AF42" s="75">
        <f t="shared" ref="AF42" si="45">AE42*(1+$D$23)+AF39</f>
        <v>10893.028216035795</v>
      </c>
      <c r="AG42" s="75">
        <f t="shared" ref="AG42" si="46">AF42*(1+$D$23)+AG39</f>
        <v>11074.357121354458</v>
      </c>
      <c r="AH42" s="75">
        <f t="shared" ref="AH42" si="47">AG42*(1+$D$23)+AH39</f>
        <v>11258.704486852603</v>
      </c>
      <c r="AI42" s="75">
        <f t="shared" ref="AI42" si="48">AH42*(1+$D$23)+AI39</f>
        <v>11446.120558804196</v>
      </c>
      <c r="AJ42" s="75">
        <f t="shared" ref="AJ42" si="49">AI42*(1+$D$23)+AJ39</f>
        <v>11636.656419899095</v>
      </c>
      <c r="AK42" s="75">
        <f t="shared" ref="AK42" si="50">AJ42*(1+$D$23)+AK39</f>
        <v>11830.364003166293</v>
      </c>
      <c r="AL42" s="75">
        <f t="shared" ref="AL42" si="51">AK42*(1+$D$23)+AL39</f>
        <v>12027.296106128946</v>
      </c>
      <c r="AM42" s="75">
        <f t="shared" ref="AM42" si="52">AL42*(1+$D$23)+AM39</f>
        <v>12227.506405195027</v>
      </c>
      <c r="AN42" s="75">
        <f t="shared" ref="AN42" si="53">AM42*(1+$D$23)+AN39</f>
        <v>12431.04947028752</v>
      </c>
      <c r="AO42" s="75">
        <f t="shared" ref="AO42" si="54">AN42*(1+$D$23)+AO39</f>
        <v>12637.980779718177</v>
      </c>
      <c r="AP42" s="75">
        <f t="shared" ref="AP42" si="55">AO42*(1+$D$23)+AP39</f>
        <v>12848.35673530884</v>
      </c>
      <c r="AQ42" s="75">
        <f t="shared" ref="AQ42" si="56">AP42*(1+$D$23)+AQ39</f>
        <v>13062.234677764503</v>
      </c>
      <c r="AR42" s="75">
        <f t="shared" ref="AR42" si="57">AQ42*(1+$D$23)+AR39</f>
        <v>13279.67290230226</v>
      </c>
    </row>
    <row r="43" spans="1:44" x14ac:dyDescent="0.2">
      <c r="B43" s="1" t="s">
        <v>221</v>
      </c>
      <c r="C43" s="235" t="s">
        <v>91</v>
      </c>
      <c r="D43" s="75">
        <f>SUM(F43:AR43)</f>
        <v>373479.4536694311</v>
      </c>
      <c r="F43" s="75">
        <f t="shared" ref="F43:AR43" si="58">F42*(1-$D$26)</f>
        <v>6878.6477911099191</v>
      </c>
      <c r="G43" s="75">
        <f t="shared" si="58"/>
        <v>6993.1520087891167</v>
      </c>
      <c r="H43" s="75">
        <f t="shared" si="58"/>
        <v>7109.5623010725794</v>
      </c>
      <c r="I43" s="75">
        <f t="shared" si="58"/>
        <v>7227.9103971006898</v>
      </c>
      <c r="J43" s="75">
        <f t="shared" si="58"/>
        <v>7348.2285541874635</v>
      </c>
      <c r="K43" s="75">
        <f t="shared" si="58"/>
        <v>7470.549566612699</v>
      </c>
      <c r="L43" s="75">
        <f t="shared" si="58"/>
        <v>7594.9067745604871</v>
      </c>
      <c r="M43" s="75">
        <f t="shared" si="58"/>
        <v>7721.3340732065135</v>
      </c>
      <c r="N43" s="75">
        <f t="shared" si="58"/>
        <v>7849.8659219566271</v>
      </c>
      <c r="O43" s="75">
        <f t="shared" si="58"/>
        <v>7980.5373538392005</v>
      </c>
      <c r="P43" s="75">
        <f t="shared" si="58"/>
        <v>8113.3839850538388</v>
      </c>
      <c r="Q43" s="75">
        <f t="shared" si="58"/>
        <v>8248.4420246790396</v>
      </c>
      <c r="R43" s="75">
        <f t="shared" si="58"/>
        <v>8385.7482845414415</v>
      </c>
      <c r="S43" s="75">
        <f t="shared" si="58"/>
        <v>8525.3401892493803</v>
      </c>
      <c r="T43" s="75">
        <f t="shared" si="58"/>
        <v>8667.255786393438</v>
      </c>
      <c r="U43" s="75">
        <f t="shared" si="58"/>
        <v>8811.5337569168187</v>
      </c>
      <c r="V43" s="75">
        <f t="shared" si="58"/>
        <v>8958.2134256583413</v>
      </c>
      <c r="W43" s="75">
        <f t="shared" si="58"/>
        <v>9107.3347720709298</v>
      </c>
      <c r="X43" s="75">
        <f t="shared" si="58"/>
        <v>9258.9384411185438</v>
      </c>
      <c r="Y43" s="75">
        <f t="shared" si="58"/>
        <v>9413.0657543544858</v>
      </c>
      <c r="Z43" s="75">
        <f t="shared" si="58"/>
        <v>9569.758721184131</v>
      </c>
      <c r="AA43" s="75">
        <f t="shared" si="58"/>
        <v>9729.0600503151363</v>
      </c>
      <c r="AB43" s="75">
        <f t="shared" si="58"/>
        <v>9891.0131613982539</v>
      </c>
      <c r="AC43" s="75">
        <f t="shared" si="58"/>
        <v>10055.662196861922</v>
      </c>
      <c r="AD43" s="75">
        <f t="shared" si="58"/>
        <v>10223.052033943866</v>
      </c>
      <c r="AE43" s="75">
        <f t="shared" si="58"/>
        <v>10393.228296922956</v>
      </c>
      <c r="AF43" s="75">
        <f t="shared" si="58"/>
        <v>10566.237369554721</v>
      </c>
      <c r="AG43" s="75">
        <f t="shared" si="58"/>
        <v>10742.126407713824</v>
      </c>
      <c r="AH43" s="75">
        <f t="shared" si="58"/>
        <v>10920.943352247024</v>
      </c>
      <c r="AI43" s="75">
        <f t="shared" si="58"/>
        <v>11102.73694204007</v>
      </c>
      <c r="AJ43" s="75">
        <f t="shared" si="58"/>
        <v>11287.556727302121</v>
      </c>
      <c r="AK43" s="75">
        <f t="shared" si="58"/>
        <v>11475.453083071303</v>
      </c>
      <c r="AL43" s="75">
        <f t="shared" si="58"/>
        <v>11666.477222945077</v>
      </c>
      <c r="AM43" s="75">
        <f t="shared" si="58"/>
        <v>11860.681213039175</v>
      </c>
      <c r="AN43" s="75">
        <f t="shared" si="58"/>
        <v>12058.117986178895</v>
      </c>
      <c r="AO43" s="75">
        <f t="shared" si="58"/>
        <v>12258.841356326631</v>
      </c>
      <c r="AP43" s="75">
        <f t="shared" si="58"/>
        <v>12462.906033249574</v>
      </c>
      <c r="AQ43" s="75">
        <f t="shared" si="58"/>
        <v>12670.367637431567</v>
      </c>
      <c r="AR43" s="75">
        <f t="shared" si="58"/>
        <v>12881.282715233192</v>
      </c>
    </row>
    <row r="44" spans="1:44" x14ac:dyDescent="0.2">
      <c r="B44" s="1" t="s">
        <v>222</v>
      </c>
      <c r="C44" s="235" t="s">
        <v>91</v>
      </c>
      <c r="D44" s="75">
        <f>SUM(F44:AR44)</f>
        <v>11550.910938229823</v>
      </c>
      <c r="F44" s="75">
        <f t="shared" ref="F44:AR44" si="59">F42*$D$26</f>
        <v>212.74168426113152</v>
      </c>
      <c r="G44" s="75">
        <f t="shared" si="59"/>
        <v>216.28305181822009</v>
      </c>
      <c r="H44" s="75">
        <f t="shared" si="59"/>
        <v>219.88337013626534</v>
      </c>
      <c r="I44" s="75">
        <f t="shared" si="59"/>
        <v>223.54362052888732</v>
      </c>
      <c r="J44" s="75">
        <f t="shared" si="59"/>
        <v>227.26480064497309</v>
      </c>
      <c r="K44" s="75">
        <f t="shared" si="59"/>
        <v>231.04792474059894</v>
      </c>
      <c r="L44" s="75">
        <f t="shared" si="59"/>
        <v>234.89402395547899</v>
      </c>
      <c r="M44" s="75">
        <f t="shared" si="59"/>
        <v>238.80414659401586</v>
      </c>
      <c r="N44" s="75">
        <f t="shared" si="59"/>
        <v>242.77935841102968</v>
      </c>
      <c r="O44" s="75">
        <f t="shared" si="59"/>
        <v>246.8207429022433</v>
      </c>
      <c r="P44" s="75">
        <f t="shared" si="59"/>
        <v>250.92940159960327</v>
      </c>
      <c r="Q44" s="75">
        <f t="shared" si="59"/>
        <v>255.10645437151666</v>
      </c>
      <c r="R44" s="75">
        <f t="shared" si="59"/>
        <v>259.35303972808583</v>
      </c>
      <c r="S44" s="75">
        <f t="shared" si="59"/>
        <v>263.67031513142416</v>
      </c>
      <c r="T44" s="75">
        <f t="shared" si="59"/>
        <v>268.05945731113724</v>
      </c>
      <c r="U44" s="75">
        <f t="shared" si="59"/>
        <v>272.52166258505628</v>
      </c>
      <c r="V44" s="75">
        <f t="shared" si="59"/>
        <v>277.05814718530951</v>
      </c>
      <c r="W44" s="75">
        <f t="shared" si="59"/>
        <v>281.67014758982253</v>
      </c>
      <c r="X44" s="75">
        <f t="shared" si="59"/>
        <v>286.35892085933642</v>
      </c>
      <c r="Y44" s="75">
        <f t="shared" si="59"/>
        <v>291.12574498003562</v>
      </c>
      <c r="Z44" s="75">
        <f t="shared" si="59"/>
        <v>295.97191921188033</v>
      </c>
      <c r="AA44" s="75">
        <f t="shared" si="59"/>
        <v>300.89876444273614</v>
      </c>
      <c r="AB44" s="75">
        <f t="shared" si="59"/>
        <v>305.90762354839956</v>
      </c>
      <c r="AC44" s="75">
        <f t="shared" si="59"/>
        <v>310.99986175861613</v>
      </c>
      <c r="AD44" s="75">
        <f t="shared" si="59"/>
        <v>316.17686702919173</v>
      </c>
      <c r="AE44" s="75">
        <f t="shared" si="59"/>
        <v>321.44005042029761</v>
      </c>
      <c r="AF44" s="75">
        <f t="shared" si="59"/>
        <v>326.79084648107386</v>
      </c>
      <c r="AG44" s="75">
        <f t="shared" si="59"/>
        <v>332.23071364063372</v>
      </c>
      <c r="AH44" s="75">
        <f t="shared" si="59"/>
        <v>337.76113460557809</v>
      </c>
      <c r="AI44" s="75">
        <f t="shared" si="59"/>
        <v>343.38361676412586</v>
      </c>
      <c r="AJ44" s="75">
        <f t="shared" si="59"/>
        <v>349.09969259697283</v>
      </c>
      <c r="AK44" s="75">
        <f t="shared" si="59"/>
        <v>354.91092009498874</v>
      </c>
      <c r="AL44" s="75">
        <f t="shared" si="59"/>
        <v>360.81888318386837</v>
      </c>
      <c r="AM44" s="75">
        <f t="shared" si="59"/>
        <v>366.8251921558508</v>
      </c>
      <c r="AN44" s="75">
        <f t="shared" si="59"/>
        <v>372.93148410862557</v>
      </c>
      <c r="AO44" s="75">
        <f t="shared" si="59"/>
        <v>379.13942339154528</v>
      </c>
      <c r="AP44" s="75">
        <f t="shared" si="59"/>
        <v>385.45070205926521</v>
      </c>
      <c r="AQ44" s="75">
        <f t="shared" si="59"/>
        <v>391.86704033293506</v>
      </c>
      <c r="AR44" s="75">
        <f t="shared" si="59"/>
        <v>398.39018706906779</v>
      </c>
    </row>
    <row r="45" spans="1:44" x14ac:dyDescent="0.2">
      <c r="C45" s="235"/>
      <c r="D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row>
    <row r="46" spans="1:44" ht="15" x14ac:dyDescent="0.25">
      <c r="A46" s="2" t="s">
        <v>223</v>
      </c>
      <c r="C46" s="235"/>
      <c r="D46" s="75"/>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1:44" ht="15" x14ac:dyDescent="0.25">
      <c r="A47" s="2"/>
      <c r="B47" s="1" t="s">
        <v>165</v>
      </c>
      <c r="C47" s="19" t="s">
        <v>44</v>
      </c>
      <c r="D47" s="1">
        <f>Inputs!E143</f>
        <v>2023</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1:44" ht="15" x14ac:dyDescent="0.25">
      <c r="A48" s="2"/>
      <c r="B48" s="1" t="s">
        <v>167</v>
      </c>
      <c r="C48" s="235" t="s">
        <v>168</v>
      </c>
      <c r="D48" s="20">
        <f>Inputs!E144</f>
        <v>68.5</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1:44" ht="15" x14ac:dyDescent="0.25">
      <c r="A49" s="2"/>
      <c r="B49" s="1" t="s">
        <v>224</v>
      </c>
      <c r="C49" s="235" t="s">
        <v>168</v>
      </c>
      <c r="D49" s="75">
        <f>D48</f>
        <v>68.5</v>
      </c>
      <c r="E49" s="16"/>
      <c r="F49" s="16">
        <f t="shared" ref="F49:AR49" si="60">IF(F7=$D$47,$D$49,0)</f>
        <v>0</v>
      </c>
      <c r="G49" s="16">
        <f t="shared" si="60"/>
        <v>0</v>
      </c>
      <c r="H49" s="16">
        <f t="shared" si="60"/>
        <v>0</v>
      </c>
      <c r="I49" s="16">
        <f t="shared" si="60"/>
        <v>0</v>
      </c>
      <c r="J49" s="16">
        <f t="shared" si="60"/>
        <v>0</v>
      </c>
      <c r="K49" s="16">
        <f t="shared" si="60"/>
        <v>68.5</v>
      </c>
      <c r="L49" s="16">
        <f t="shared" si="60"/>
        <v>0</v>
      </c>
      <c r="M49" s="16">
        <f t="shared" si="60"/>
        <v>0</v>
      </c>
      <c r="N49" s="16">
        <f t="shared" si="60"/>
        <v>0</v>
      </c>
      <c r="O49" s="16">
        <f t="shared" si="60"/>
        <v>0</v>
      </c>
      <c r="P49" s="16">
        <f t="shared" si="60"/>
        <v>0</v>
      </c>
      <c r="Q49" s="16">
        <f t="shared" si="60"/>
        <v>0</v>
      </c>
      <c r="R49" s="16">
        <f t="shared" si="60"/>
        <v>0</v>
      </c>
      <c r="S49" s="16">
        <f t="shared" si="60"/>
        <v>0</v>
      </c>
      <c r="T49" s="16">
        <f t="shared" si="60"/>
        <v>0</v>
      </c>
      <c r="U49" s="16">
        <f t="shared" si="60"/>
        <v>0</v>
      </c>
      <c r="V49" s="16">
        <f t="shared" si="60"/>
        <v>0</v>
      </c>
      <c r="W49" s="16">
        <f t="shared" si="60"/>
        <v>0</v>
      </c>
      <c r="X49" s="16">
        <f t="shared" si="60"/>
        <v>0</v>
      </c>
      <c r="Y49" s="16">
        <f t="shared" si="60"/>
        <v>0</v>
      </c>
      <c r="Z49" s="16">
        <f t="shared" si="60"/>
        <v>0</v>
      </c>
      <c r="AA49" s="16">
        <f t="shared" si="60"/>
        <v>0</v>
      </c>
      <c r="AB49" s="16">
        <f t="shared" si="60"/>
        <v>0</v>
      </c>
      <c r="AC49" s="16">
        <f t="shared" si="60"/>
        <v>0</v>
      </c>
      <c r="AD49" s="16">
        <f t="shared" si="60"/>
        <v>0</v>
      </c>
      <c r="AE49" s="16">
        <f t="shared" si="60"/>
        <v>0</v>
      </c>
      <c r="AF49" s="16">
        <f t="shared" si="60"/>
        <v>0</v>
      </c>
      <c r="AG49" s="16">
        <f t="shared" si="60"/>
        <v>0</v>
      </c>
      <c r="AH49" s="16">
        <f t="shared" si="60"/>
        <v>0</v>
      </c>
      <c r="AI49" s="16">
        <f t="shared" si="60"/>
        <v>0</v>
      </c>
      <c r="AJ49" s="16">
        <f t="shared" si="60"/>
        <v>0</v>
      </c>
      <c r="AK49" s="16">
        <f t="shared" si="60"/>
        <v>0</v>
      </c>
      <c r="AL49" s="16">
        <f t="shared" si="60"/>
        <v>0</v>
      </c>
      <c r="AM49" s="16">
        <f t="shared" si="60"/>
        <v>0</v>
      </c>
      <c r="AN49" s="16">
        <f t="shared" si="60"/>
        <v>0</v>
      </c>
      <c r="AO49" s="16">
        <f t="shared" si="60"/>
        <v>0</v>
      </c>
      <c r="AP49" s="16">
        <f t="shared" si="60"/>
        <v>0</v>
      </c>
      <c r="AQ49" s="16">
        <f t="shared" si="60"/>
        <v>0</v>
      </c>
      <c r="AR49" s="16">
        <f t="shared" si="60"/>
        <v>0</v>
      </c>
    </row>
    <row r="50" spans="1:44" ht="15" x14ac:dyDescent="0.25">
      <c r="A50" s="2"/>
      <c r="B50" s="1" t="s">
        <v>217</v>
      </c>
      <c r="C50" s="19" t="s">
        <v>60</v>
      </c>
      <c r="D50" s="17">
        <f>Inputs!$E$145</f>
        <v>5.3992539027215708E-3</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1:44" ht="15" x14ac:dyDescent="0.25">
      <c r="A51" s="2"/>
      <c r="B51" s="1" t="s">
        <v>225</v>
      </c>
      <c r="C51" s="19" t="s">
        <v>44</v>
      </c>
      <c r="D51" s="1">
        <f>F7</f>
        <v>2018</v>
      </c>
      <c r="F51" s="16">
        <f t="shared" ref="F51:AR51" si="61">IF(F7=$D$51,$D$52,0)</f>
        <v>66.680335831680836</v>
      </c>
      <c r="G51" s="16">
        <f t="shared" si="61"/>
        <v>0</v>
      </c>
      <c r="H51" s="16">
        <f t="shared" si="61"/>
        <v>0</v>
      </c>
      <c r="I51" s="16">
        <f t="shared" si="61"/>
        <v>0</v>
      </c>
      <c r="J51" s="16">
        <f t="shared" si="61"/>
        <v>0</v>
      </c>
      <c r="K51" s="16">
        <f t="shared" si="61"/>
        <v>0</v>
      </c>
      <c r="L51" s="16">
        <f t="shared" si="61"/>
        <v>0</v>
      </c>
      <c r="M51" s="16">
        <f t="shared" si="61"/>
        <v>0</v>
      </c>
      <c r="N51" s="16">
        <f t="shared" si="61"/>
        <v>0</v>
      </c>
      <c r="O51" s="16">
        <f t="shared" si="61"/>
        <v>0</v>
      </c>
      <c r="P51" s="16">
        <f t="shared" si="61"/>
        <v>0</v>
      </c>
      <c r="Q51" s="16">
        <f t="shared" si="61"/>
        <v>0</v>
      </c>
      <c r="R51" s="16">
        <f t="shared" si="61"/>
        <v>0</v>
      </c>
      <c r="S51" s="16">
        <f t="shared" si="61"/>
        <v>0</v>
      </c>
      <c r="T51" s="16">
        <f t="shared" si="61"/>
        <v>0</v>
      </c>
      <c r="U51" s="16">
        <f t="shared" si="61"/>
        <v>0</v>
      </c>
      <c r="V51" s="16">
        <f t="shared" si="61"/>
        <v>0</v>
      </c>
      <c r="W51" s="16">
        <f t="shared" si="61"/>
        <v>0</v>
      </c>
      <c r="X51" s="16">
        <f t="shared" si="61"/>
        <v>0</v>
      </c>
      <c r="Y51" s="16">
        <f t="shared" si="61"/>
        <v>0</v>
      </c>
      <c r="Z51" s="16">
        <f t="shared" si="61"/>
        <v>0</v>
      </c>
      <c r="AA51" s="16">
        <f t="shared" si="61"/>
        <v>0</v>
      </c>
      <c r="AB51" s="16">
        <f t="shared" si="61"/>
        <v>0</v>
      </c>
      <c r="AC51" s="16">
        <f t="shared" si="61"/>
        <v>0</v>
      </c>
      <c r="AD51" s="16">
        <f t="shared" si="61"/>
        <v>0</v>
      </c>
      <c r="AE51" s="16">
        <f t="shared" si="61"/>
        <v>0</v>
      </c>
      <c r="AF51" s="16">
        <f t="shared" si="61"/>
        <v>0</v>
      </c>
      <c r="AG51" s="16">
        <f t="shared" si="61"/>
        <v>0</v>
      </c>
      <c r="AH51" s="16">
        <f t="shared" si="61"/>
        <v>0</v>
      </c>
      <c r="AI51" s="16">
        <f t="shared" si="61"/>
        <v>0</v>
      </c>
      <c r="AJ51" s="16">
        <f t="shared" si="61"/>
        <v>0</v>
      </c>
      <c r="AK51" s="16">
        <f t="shared" si="61"/>
        <v>0</v>
      </c>
      <c r="AL51" s="16">
        <f t="shared" si="61"/>
        <v>0</v>
      </c>
      <c r="AM51" s="16">
        <f t="shared" si="61"/>
        <v>0</v>
      </c>
      <c r="AN51" s="16">
        <f t="shared" si="61"/>
        <v>0</v>
      </c>
      <c r="AO51" s="16">
        <f t="shared" si="61"/>
        <v>0</v>
      </c>
      <c r="AP51" s="16">
        <f t="shared" si="61"/>
        <v>0</v>
      </c>
      <c r="AQ51" s="16">
        <f t="shared" si="61"/>
        <v>0</v>
      </c>
      <c r="AR51" s="16">
        <f t="shared" si="61"/>
        <v>0</v>
      </c>
    </row>
    <row r="52" spans="1:44" ht="15" x14ac:dyDescent="0.25">
      <c r="A52" s="2"/>
      <c r="B52" s="1" t="s">
        <v>226</v>
      </c>
      <c r="C52" s="235" t="s">
        <v>168</v>
      </c>
      <c r="D52" s="75">
        <f>D49*1/(1+D50)^(D47-D51)</f>
        <v>66.680335831680836</v>
      </c>
      <c r="F52" s="75">
        <f>E52*(1+$D$50)+F51</f>
        <v>66.680335831680836</v>
      </c>
      <c r="G52" s="75">
        <f>F52*(1+$D$50)+G51</f>
        <v>67.040359895154836</v>
      </c>
      <c r="H52" s="75">
        <f t="shared" ref="H52:AR52" si="62">G52*(1+$D$50)+H51</f>
        <v>67.402327819958614</v>
      </c>
      <c r="I52" s="75">
        <f t="shared" si="62"/>
        <v>67.766250101493057</v>
      </c>
      <c r="J52" s="75">
        <f t="shared" si="62"/>
        <v>68.132137291826353</v>
      </c>
      <c r="K52" s="75">
        <f t="shared" si="62"/>
        <v>68.500000000000014</v>
      </c>
      <c r="L52" s="75">
        <f t="shared" si="62"/>
        <v>68.869848892336449</v>
      </c>
      <c r="M52" s="75">
        <f t="shared" si="62"/>
        <v>69.241694692748254</v>
      </c>
      <c r="N52" s="75">
        <f t="shared" si="62"/>
        <v>69.615548183049142</v>
      </c>
      <c r="O52" s="75">
        <f t="shared" si="62"/>
        <v>69.991420203266586</v>
      </c>
      <c r="P52" s="75">
        <f t="shared" si="62"/>
        <v>70.369321651956099</v>
      </c>
      <c r="Q52" s="75">
        <f t="shared" si="62"/>
        <v>70.749263486517293</v>
      </c>
      <c r="R52" s="75">
        <f t="shared" si="62"/>
        <v>71.131256723511555</v>
      </c>
      <c r="S52" s="75">
        <f t="shared" si="62"/>
        <v>71.515312438981468</v>
      </c>
      <c r="T52" s="75">
        <f t="shared" si="62"/>
        <v>71.901441768772003</v>
      </c>
      <c r="U52" s="75">
        <f t="shared" si="62"/>
        <v>72.289655908853362</v>
      </c>
      <c r="V52" s="75">
        <f t="shared" si="62"/>
        <v>72.679966115645641</v>
      </c>
      <c r="W52" s="75">
        <f t="shared" si="62"/>
        <v>73.072383706345221</v>
      </c>
      <c r="X52" s="75">
        <f t="shared" si="62"/>
        <v>73.466920059252885</v>
      </c>
      <c r="Y52" s="75">
        <f t="shared" si="62"/>
        <v>73.863586614103752</v>
      </c>
      <c r="Z52" s="75">
        <f t="shared" si="62"/>
        <v>74.262394872398971</v>
      </c>
      <c r="AA52" s="75">
        <f t="shared" si="62"/>
        <v>74.663356397739236</v>
      </c>
      <c r="AB52" s="75">
        <f t="shared" si="62"/>
        <v>75.066482816160033</v>
      </c>
      <c r="AC52" s="75">
        <f t="shared" si="62"/>
        <v>75.471785816468767</v>
      </c>
      <c r="AD52" s="75">
        <f t="shared" si="62"/>
        <v>75.879277150583704</v>
      </c>
      <c r="AE52" s="75">
        <f t="shared" si="62"/>
        <v>76.288968633874688</v>
      </c>
      <c r="AF52" s="75">
        <f t="shared" si="62"/>
        <v>76.700872145505741</v>
      </c>
      <c r="AG52" s="75">
        <f t="shared" si="62"/>
        <v>77.114999628779515</v>
      </c>
      <c r="AH52" s="75">
        <f t="shared" si="62"/>
        <v>77.531363091483584</v>
      </c>
      <c r="AI52" s="75">
        <f t="shared" si="62"/>
        <v>77.949974606238612</v>
      </c>
      <c r="AJ52" s="75">
        <f t="shared" si="62"/>
        <v>78.370846310848407</v>
      </c>
      <c r="AK52" s="75">
        <f t="shared" si="62"/>
        <v>78.793990408651851</v>
      </c>
      <c r="AL52" s="75">
        <f t="shared" si="62"/>
        <v>79.219419168876783</v>
      </c>
      <c r="AM52" s="75">
        <f t="shared" si="62"/>
        <v>79.647144926995679</v>
      </c>
      <c r="AN52" s="75">
        <f t="shared" si="62"/>
        <v>80.077180085083398</v>
      </c>
      <c r="AO52" s="75">
        <f t="shared" si="62"/>
        <v>80.50953711217673</v>
      </c>
      <c r="AP52" s="75">
        <f t="shared" si="62"/>
        <v>80.944228544635962</v>
      </c>
      <c r="AQ52" s="75">
        <f t="shared" si="62"/>
        <v>81.381266986508379</v>
      </c>
      <c r="AR52" s="75">
        <f t="shared" si="62"/>
        <v>81.820665109893724</v>
      </c>
    </row>
    <row r="53" spans="1:44" ht="15" x14ac:dyDescent="0.25">
      <c r="A53" s="2"/>
      <c r="C53" s="19"/>
      <c r="D53" s="17"/>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1:44" s="9" customFormat="1" x14ac:dyDescent="0.2">
      <c r="A54" s="8" t="s">
        <v>227</v>
      </c>
      <c r="B54" s="13"/>
      <c r="C54" s="236"/>
    </row>
    <row r="55" spans="1:44" ht="15" x14ac:dyDescent="0.25">
      <c r="A55" s="2" t="s">
        <v>1000</v>
      </c>
      <c r="C55" s="18"/>
    </row>
    <row r="56" spans="1:44" x14ac:dyDescent="0.2">
      <c r="B56" s="1" t="s">
        <v>220</v>
      </c>
      <c r="C56" s="235" t="s">
        <v>91</v>
      </c>
      <c r="D56" s="75">
        <f>SUM(F56:AR56)</f>
        <v>985873.22936411866</v>
      </c>
      <c r="F56" s="75">
        <f t="shared" ref="F56:AR56" si="63">F28</f>
        <v>18157.5576510354</v>
      </c>
      <c r="G56" s="75">
        <f t="shared" si="63"/>
        <v>18459.814285905384</v>
      </c>
      <c r="H56" s="75">
        <f t="shared" si="63"/>
        <v>18767.102383435638</v>
      </c>
      <c r="I56" s="75">
        <f t="shared" si="63"/>
        <v>19079.505698996873</v>
      </c>
      <c r="J56" s="75">
        <f t="shared" si="63"/>
        <v>19397.109382179045</v>
      </c>
      <c r="K56" s="75">
        <f t="shared" si="63"/>
        <v>19720</v>
      </c>
      <c r="L56" s="75">
        <f t="shared" si="63"/>
        <v>20048.265560500433</v>
      </c>
      <c r="M56" s="75">
        <f t="shared" si="63"/>
        <v>20381.995536731629</v>
      </c>
      <c r="N56" s="75">
        <f t="shared" si="63"/>
        <v>20721.280891142509</v>
      </c>
      <c r="O56" s="75">
        <f t="shared" si="63"/>
        <v>21066.214100372621</v>
      </c>
      <c r="P56" s="75">
        <f t="shared" si="63"/>
        <v>21416.889180457863</v>
      </c>
      <c r="Q56" s="75">
        <f t="shared" si="63"/>
        <v>21773.401712455769</v>
      </c>
      <c r="R56" s="75">
        <f t="shared" si="63"/>
        <v>22135.848868497371</v>
      </c>
      <c r="S56" s="75">
        <f t="shared" si="63"/>
        <v>22504.329438272736</v>
      </c>
      <c r="T56" s="75">
        <f t="shared" si="63"/>
        <v>22878.943855957372</v>
      </c>
      <c r="U56" s="75">
        <f t="shared" si="63"/>
        <v>23259.794227586874</v>
      </c>
      <c r="V56" s="75">
        <f t="shared" si="63"/>
        <v>23646.984358887257</v>
      </c>
      <c r="W56" s="75">
        <f t="shared" si="63"/>
        <v>24040.619783568553</v>
      </c>
      <c r="X56" s="75">
        <f t="shared" si="63"/>
        <v>24440.807792089392</v>
      </c>
      <c r="Y56" s="75">
        <f t="shared" si="63"/>
        <v>24847.657460900427</v>
      </c>
      <c r="Z56" s="75">
        <f t="shared" si="63"/>
        <v>25261.279682174529</v>
      </c>
      <c r="AA56" s="75">
        <f t="shared" si="63"/>
        <v>25681.787194031895</v>
      </c>
      <c r="AB56" s="75">
        <f t="shared" si="63"/>
        <v>26109.294611268291</v>
      </c>
      <c r="AC56" s="75">
        <f t="shared" si="63"/>
        <v>26543.918456594809</v>
      </c>
      <c r="AD56" s="75">
        <f t="shared" si="63"/>
        <v>26985.777192397643</v>
      </c>
      <c r="AE56" s="75">
        <f t="shared" si="63"/>
        <v>27434.991253026561</v>
      </c>
      <c r="AF56" s="75">
        <f t="shared" si="63"/>
        <v>27891.683077620844</v>
      </c>
      <c r="AG56" s="75">
        <f t="shared" si="63"/>
        <v>28355.977143481679</v>
      </c>
      <c r="AH56" s="75">
        <f t="shared" si="63"/>
        <v>28828.000000000062</v>
      </c>
      <c r="AI56" s="75">
        <f t="shared" si="63"/>
        <v>29307.880303149479</v>
      </c>
      <c r="AJ56" s="75">
        <f t="shared" si="63"/>
        <v>29795.748850552773</v>
      </c>
      <c r="AK56" s="75">
        <f t="shared" si="63"/>
        <v>30291.738617132734</v>
      </c>
      <c r="AL56" s="75">
        <f t="shared" si="63"/>
        <v>30795.984791356146</v>
      </c>
      <c r="AM56" s="75">
        <f t="shared" si="63"/>
        <v>31308.624812081165</v>
      </c>
      <c r="AN56" s="75">
        <f t="shared" si="63"/>
        <v>31829.798406018061</v>
      </c>
      <c r="AO56" s="75">
        <f t="shared" si="63"/>
        <v>32359.647625813563</v>
      </c>
      <c r="AP56" s="75">
        <f t="shared" si="63"/>
        <v>32898.31688876915</v>
      </c>
      <c r="AQ56" s="75">
        <f t="shared" si="63"/>
        <v>33445.953016203872</v>
      </c>
      <c r="AR56" s="75">
        <f t="shared" si="63"/>
        <v>34002.705273472398</v>
      </c>
    </row>
    <row r="57" spans="1:44" x14ac:dyDescent="0.2">
      <c r="B57" s="1" t="s">
        <v>221</v>
      </c>
      <c r="C57" s="235" t="s">
        <v>91</v>
      </c>
      <c r="D57" s="75">
        <f>SUM(F57:AR57)</f>
        <v>956297.0324831953</v>
      </c>
      <c r="F57" s="75">
        <f t="shared" ref="F57:AR57" si="64">F29</f>
        <v>17612.830921504337</v>
      </c>
      <c r="G57" s="75">
        <f t="shared" si="64"/>
        <v>17906.019857328221</v>
      </c>
      <c r="H57" s="75">
        <f t="shared" si="64"/>
        <v>18204.08931193257</v>
      </c>
      <c r="I57" s="75">
        <f t="shared" si="64"/>
        <v>18507.120528026964</v>
      </c>
      <c r="J57" s="75">
        <f t="shared" si="64"/>
        <v>18815.196100713674</v>
      </c>
      <c r="K57" s="75">
        <f t="shared" si="64"/>
        <v>19128.399999999998</v>
      </c>
      <c r="L57" s="75">
        <f t="shared" si="64"/>
        <v>19446.81759368542</v>
      </c>
      <c r="M57" s="75">
        <f t="shared" si="64"/>
        <v>19770.535670629681</v>
      </c>
      <c r="N57" s="75">
        <f t="shared" si="64"/>
        <v>20099.642464408233</v>
      </c>
      <c r="O57" s="75">
        <f t="shared" si="64"/>
        <v>20434.227677361443</v>
      </c>
      <c r="P57" s="75">
        <f t="shared" si="64"/>
        <v>20774.382505044126</v>
      </c>
      <c r="Q57" s="75">
        <f t="shared" si="64"/>
        <v>21120.199661082093</v>
      </c>
      <c r="R57" s="75">
        <f t="shared" si="64"/>
        <v>21471.77340244245</v>
      </c>
      <c r="S57" s="75">
        <f t="shared" si="64"/>
        <v>21829.199555124553</v>
      </c>
      <c r="T57" s="75">
        <f t="shared" si="64"/>
        <v>22192.575540278649</v>
      </c>
      <c r="U57" s="75">
        <f t="shared" si="64"/>
        <v>22562.000400759265</v>
      </c>
      <c r="V57" s="75">
        <f t="shared" si="64"/>
        <v>22937.57482812064</v>
      </c>
      <c r="W57" s="75">
        <f t="shared" si="64"/>
        <v>23319.401190061497</v>
      </c>
      <c r="X57" s="75">
        <f t="shared" si="64"/>
        <v>23707.583558326711</v>
      </c>
      <c r="Y57" s="75">
        <f t="shared" si="64"/>
        <v>24102.227737073415</v>
      </c>
      <c r="Z57" s="75">
        <f t="shared" si="64"/>
        <v>24503.441291709292</v>
      </c>
      <c r="AA57" s="75">
        <f t="shared" si="64"/>
        <v>24911.333578210939</v>
      </c>
      <c r="AB57" s="75">
        <f t="shared" si="64"/>
        <v>25326.015772930241</v>
      </c>
      <c r="AC57" s="75">
        <f t="shared" si="64"/>
        <v>25747.600902896964</v>
      </c>
      <c r="AD57" s="75">
        <f t="shared" si="64"/>
        <v>26176.203876625714</v>
      </c>
      <c r="AE57" s="75">
        <f t="shared" si="64"/>
        <v>26611.941515435763</v>
      </c>
      <c r="AF57" s="75">
        <f t="shared" si="64"/>
        <v>27054.932585292219</v>
      </c>
      <c r="AG57" s="75">
        <f t="shared" si="64"/>
        <v>27505.297829177227</v>
      </c>
      <c r="AH57" s="75">
        <f t="shared" si="64"/>
        <v>27963.160000000058</v>
      </c>
      <c r="AI57" s="75">
        <f t="shared" si="64"/>
        <v>28428.643894054992</v>
      </c>
      <c r="AJ57" s="75">
        <f t="shared" si="64"/>
        <v>28901.87638503619</v>
      </c>
      <c r="AK57" s="75">
        <f t="shared" si="64"/>
        <v>29382.98645861875</v>
      </c>
      <c r="AL57" s="75">
        <f t="shared" si="64"/>
        <v>29872.105247615462</v>
      </c>
      <c r="AM57" s="75">
        <f t="shared" si="64"/>
        <v>30369.366067718729</v>
      </c>
      <c r="AN57" s="75">
        <f t="shared" si="64"/>
        <v>30874.904453837516</v>
      </c>
      <c r="AO57" s="75">
        <f t="shared" si="64"/>
        <v>31388.858197039153</v>
      </c>
      <c r="AP57" s="75">
        <f t="shared" si="64"/>
        <v>31911.367382106073</v>
      </c>
      <c r="AQ57" s="75">
        <f t="shared" si="64"/>
        <v>32442.574425717754</v>
      </c>
      <c r="AR57" s="75">
        <f t="shared" si="64"/>
        <v>32982.624115268227</v>
      </c>
    </row>
    <row r="58" spans="1:44" x14ac:dyDescent="0.2">
      <c r="B58" s="1" t="s">
        <v>222</v>
      </c>
      <c r="C58" s="235" t="s">
        <v>91</v>
      </c>
      <c r="D58" s="75">
        <f>SUM(F58:AR58)</f>
        <v>29576.196880923555</v>
      </c>
      <c r="F58" s="75">
        <f t="shared" ref="F58:AR58" si="65">F30</f>
        <v>544.72672953106201</v>
      </c>
      <c r="G58" s="75">
        <f t="shared" si="65"/>
        <v>553.79442857716151</v>
      </c>
      <c r="H58" s="75">
        <f t="shared" si="65"/>
        <v>563.01307150306911</v>
      </c>
      <c r="I58" s="75">
        <f t="shared" si="65"/>
        <v>572.3851709699062</v>
      </c>
      <c r="J58" s="75">
        <f t="shared" si="65"/>
        <v>581.91328146537137</v>
      </c>
      <c r="K58" s="75">
        <f t="shared" si="65"/>
        <v>591.6</v>
      </c>
      <c r="L58" s="75">
        <f t="shared" si="65"/>
        <v>601.44796681501293</v>
      </c>
      <c r="M58" s="75">
        <f t="shared" si="65"/>
        <v>611.45986610194882</v>
      </c>
      <c r="N58" s="75">
        <f t="shared" si="65"/>
        <v>621.6384267342753</v>
      </c>
      <c r="O58" s="75">
        <f t="shared" si="65"/>
        <v>631.98642301117866</v>
      </c>
      <c r="P58" s="75">
        <f t="shared" si="65"/>
        <v>642.50667541373593</v>
      </c>
      <c r="Q58" s="75">
        <f t="shared" si="65"/>
        <v>653.20205137367304</v>
      </c>
      <c r="R58" s="75">
        <f t="shared" si="65"/>
        <v>664.07546605492109</v>
      </c>
      <c r="S58" s="75">
        <f t="shared" si="65"/>
        <v>675.1298831481821</v>
      </c>
      <c r="T58" s="75">
        <f t="shared" si="65"/>
        <v>686.36831567872116</v>
      </c>
      <c r="U58" s="75">
        <f t="shared" si="65"/>
        <v>697.79382682760615</v>
      </c>
      <c r="V58" s="75">
        <f t="shared" si="65"/>
        <v>709.40953076661765</v>
      </c>
      <c r="W58" s="75">
        <f t="shared" si="65"/>
        <v>721.21859350705654</v>
      </c>
      <c r="X58" s="75">
        <f t="shared" si="65"/>
        <v>733.22423376268171</v>
      </c>
      <c r="Y58" s="75">
        <f t="shared" si="65"/>
        <v>745.42972382701282</v>
      </c>
      <c r="Z58" s="75">
        <f t="shared" si="65"/>
        <v>757.83839046523588</v>
      </c>
      <c r="AA58" s="75">
        <f t="shared" si="65"/>
        <v>770.45361582095677</v>
      </c>
      <c r="AB58" s="75">
        <f t="shared" si="65"/>
        <v>783.27883833804867</v>
      </c>
      <c r="AC58" s="75">
        <f t="shared" si="65"/>
        <v>796.31755369784423</v>
      </c>
      <c r="AD58" s="75">
        <f t="shared" si="65"/>
        <v>809.57331577192929</v>
      </c>
      <c r="AE58" s="75">
        <f t="shared" si="65"/>
        <v>823.04973759079678</v>
      </c>
      <c r="AF58" s="75">
        <f t="shared" si="65"/>
        <v>836.75049232862534</v>
      </c>
      <c r="AG58" s="75">
        <f t="shared" si="65"/>
        <v>850.67931430445037</v>
      </c>
      <c r="AH58" s="75">
        <f t="shared" si="65"/>
        <v>864.84000000000185</v>
      </c>
      <c r="AI58" s="75">
        <f t="shared" si="65"/>
        <v>879.23640909448432</v>
      </c>
      <c r="AJ58" s="75">
        <f t="shared" si="65"/>
        <v>893.87246551658313</v>
      </c>
      <c r="AK58" s="75">
        <f t="shared" si="65"/>
        <v>908.75215851398195</v>
      </c>
      <c r="AL58" s="75">
        <f t="shared" si="65"/>
        <v>923.87954374068431</v>
      </c>
      <c r="AM58" s="75">
        <f t="shared" si="65"/>
        <v>939.25874436243487</v>
      </c>
      <c r="AN58" s="75">
        <f t="shared" si="65"/>
        <v>954.89395218054176</v>
      </c>
      <c r="AO58" s="75">
        <f t="shared" si="65"/>
        <v>970.78942877440682</v>
      </c>
      <c r="AP58" s="75">
        <f t="shared" si="65"/>
        <v>986.94950666307443</v>
      </c>
      <c r="AQ58" s="75">
        <f t="shared" si="65"/>
        <v>1003.3785904861161</v>
      </c>
      <c r="AR58" s="75">
        <f t="shared" si="65"/>
        <v>1020.081158204172</v>
      </c>
    </row>
    <row r="59" spans="1:44" x14ac:dyDescent="0.2">
      <c r="C59" s="235"/>
      <c r="D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row>
    <row r="60" spans="1:44" ht="15" x14ac:dyDescent="0.25">
      <c r="A60" s="2" t="s">
        <v>1001</v>
      </c>
      <c r="C60" s="235"/>
      <c r="D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row>
    <row r="61" spans="1:44" x14ac:dyDescent="0.2">
      <c r="B61" s="1" t="s">
        <v>220</v>
      </c>
      <c r="C61" s="235" t="s">
        <v>91</v>
      </c>
      <c r="D61" s="75">
        <f>SUM(F61:AR61)</f>
        <v>385030.36460766086</v>
      </c>
      <c r="F61" s="75">
        <f>F42</f>
        <v>7091.389475371051</v>
      </c>
      <c r="G61" s="75">
        <f t="shared" ref="G61:AR61" si="66">G42</f>
        <v>7209.4350606073367</v>
      </c>
      <c r="H61" s="75">
        <f t="shared" si="66"/>
        <v>7329.4456712088449</v>
      </c>
      <c r="I61" s="75">
        <f t="shared" si="66"/>
        <v>7451.4540176295777</v>
      </c>
      <c r="J61" s="75">
        <f t="shared" si="66"/>
        <v>7575.493354832437</v>
      </c>
      <c r="K61" s="75">
        <f t="shared" si="66"/>
        <v>7701.5974913532982</v>
      </c>
      <c r="L61" s="75">
        <f t="shared" si="66"/>
        <v>7829.8007985159666</v>
      </c>
      <c r="M61" s="75">
        <f t="shared" si="66"/>
        <v>7960.1382198005294</v>
      </c>
      <c r="N61" s="75">
        <f t="shared" si="66"/>
        <v>8092.6452803676566</v>
      </c>
      <c r="O61" s="75">
        <f t="shared" si="66"/>
        <v>8227.3580967414437</v>
      </c>
      <c r="P61" s="75">
        <f t="shared" si="66"/>
        <v>8364.3133866534426</v>
      </c>
      <c r="Q61" s="75">
        <f t="shared" si="66"/>
        <v>8503.5484790505561</v>
      </c>
      <c r="R61" s="75">
        <f t="shared" si="66"/>
        <v>8645.101324269528</v>
      </c>
      <c r="S61" s="75">
        <f t="shared" si="66"/>
        <v>8789.0105043808053</v>
      </c>
      <c r="T61" s="75">
        <f t="shared" si="66"/>
        <v>8935.3152437045756</v>
      </c>
      <c r="U61" s="75">
        <f t="shared" si="66"/>
        <v>9084.0554195018758</v>
      </c>
      <c r="V61" s="75">
        <f t="shared" si="66"/>
        <v>9235.2715728436506</v>
      </c>
      <c r="W61" s="75">
        <f t="shared" si="66"/>
        <v>9389.0049196607524</v>
      </c>
      <c r="X61" s="75">
        <f t="shared" si="66"/>
        <v>9545.2973619778804</v>
      </c>
      <c r="Y61" s="75">
        <f t="shared" si="66"/>
        <v>9704.1914993345217</v>
      </c>
      <c r="Z61" s="75">
        <f t="shared" si="66"/>
        <v>9865.7306403960119</v>
      </c>
      <c r="AA61" s="75">
        <f t="shared" si="66"/>
        <v>10029.958814757872</v>
      </c>
      <c r="AB61" s="75">
        <f t="shared" si="66"/>
        <v>10196.920784946653</v>
      </c>
      <c r="AC61" s="75">
        <f t="shared" si="66"/>
        <v>10366.662058620539</v>
      </c>
      <c r="AD61" s="75">
        <f t="shared" si="66"/>
        <v>10539.228900973058</v>
      </c>
      <c r="AE61" s="75">
        <f t="shared" si="66"/>
        <v>10714.668347343255</v>
      </c>
      <c r="AF61" s="75">
        <f t="shared" si="66"/>
        <v>10893.028216035795</v>
      </c>
      <c r="AG61" s="75">
        <f t="shared" si="66"/>
        <v>11074.357121354458</v>
      </c>
      <c r="AH61" s="75">
        <f t="shared" si="66"/>
        <v>11258.704486852603</v>
      </c>
      <c r="AI61" s="75">
        <f t="shared" si="66"/>
        <v>11446.120558804196</v>
      </c>
      <c r="AJ61" s="75">
        <f t="shared" si="66"/>
        <v>11636.656419899095</v>
      </c>
      <c r="AK61" s="75">
        <f t="shared" si="66"/>
        <v>11830.364003166293</v>
      </c>
      <c r="AL61" s="75">
        <f t="shared" si="66"/>
        <v>12027.296106128946</v>
      </c>
      <c r="AM61" s="75">
        <f t="shared" si="66"/>
        <v>12227.506405195027</v>
      </c>
      <c r="AN61" s="75">
        <f t="shared" si="66"/>
        <v>12431.04947028752</v>
      </c>
      <c r="AO61" s="75">
        <f t="shared" si="66"/>
        <v>12637.980779718177</v>
      </c>
      <c r="AP61" s="75">
        <f t="shared" si="66"/>
        <v>12848.35673530884</v>
      </c>
      <c r="AQ61" s="75">
        <f t="shared" si="66"/>
        <v>13062.234677764503</v>
      </c>
      <c r="AR61" s="75">
        <f t="shared" si="66"/>
        <v>13279.67290230226</v>
      </c>
    </row>
    <row r="62" spans="1:44" x14ac:dyDescent="0.2">
      <c r="B62" s="1" t="s">
        <v>221</v>
      </c>
      <c r="C62" s="235" t="s">
        <v>91</v>
      </c>
      <c r="D62" s="75">
        <f>SUM(F62:AR62)</f>
        <v>373479.4536694311</v>
      </c>
      <c r="F62" s="75">
        <f t="shared" ref="F62:AR62" si="67">F43</f>
        <v>6878.6477911099191</v>
      </c>
      <c r="G62" s="75">
        <f t="shared" si="67"/>
        <v>6993.1520087891167</v>
      </c>
      <c r="H62" s="75">
        <f t="shared" si="67"/>
        <v>7109.5623010725794</v>
      </c>
      <c r="I62" s="75">
        <f t="shared" si="67"/>
        <v>7227.9103971006898</v>
      </c>
      <c r="J62" s="75">
        <f t="shared" si="67"/>
        <v>7348.2285541874635</v>
      </c>
      <c r="K62" s="75">
        <f t="shared" si="67"/>
        <v>7470.549566612699</v>
      </c>
      <c r="L62" s="75">
        <f t="shared" si="67"/>
        <v>7594.9067745604871</v>
      </c>
      <c r="M62" s="75">
        <f t="shared" si="67"/>
        <v>7721.3340732065135</v>
      </c>
      <c r="N62" s="75">
        <f t="shared" si="67"/>
        <v>7849.8659219566271</v>
      </c>
      <c r="O62" s="75">
        <f t="shared" si="67"/>
        <v>7980.5373538392005</v>
      </c>
      <c r="P62" s="75">
        <f t="shared" si="67"/>
        <v>8113.3839850538388</v>
      </c>
      <c r="Q62" s="75">
        <f t="shared" si="67"/>
        <v>8248.4420246790396</v>
      </c>
      <c r="R62" s="75">
        <f t="shared" si="67"/>
        <v>8385.7482845414415</v>
      </c>
      <c r="S62" s="75">
        <f t="shared" si="67"/>
        <v>8525.3401892493803</v>
      </c>
      <c r="T62" s="75">
        <f t="shared" si="67"/>
        <v>8667.255786393438</v>
      </c>
      <c r="U62" s="75">
        <f t="shared" si="67"/>
        <v>8811.5337569168187</v>
      </c>
      <c r="V62" s="75">
        <f t="shared" si="67"/>
        <v>8958.2134256583413</v>
      </c>
      <c r="W62" s="75">
        <f t="shared" si="67"/>
        <v>9107.3347720709298</v>
      </c>
      <c r="X62" s="75">
        <f t="shared" si="67"/>
        <v>9258.9384411185438</v>
      </c>
      <c r="Y62" s="75">
        <f t="shared" si="67"/>
        <v>9413.0657543544858</v>
      </c>
      <c r="Z62" s="75">
        <f t="shared" si="67"/>
        <v>9569.758721184131</v>
      </c>
      <c r="AA62" s="75">
        <f t="shared" si="67"/>
        <v>9729.0600503151363</v>
      </c>
      <c r="AB62" s="75">
        <f t="shared" si="67"/>
        <v>9891.0131613982539</v>
      </c>
      <c r="AC62" s="75">
        <f t="shared" si="67"/>
        <v>10055.662196861922</v>
      </c>
      <c r="AD62" s="75">
        <f t="shared" si="67"/>
        <v>10223.052033943866</v>
      </c>
      <c r="AE62" s="75">
        <f t="shared" si="67"/>
        <v>10393.228296922956</v>
      </c>
      <c r="AF62" s="75">
        <f t="shared" si="67"/>
        <v>10566.237369554721</v>
      </c>
      <c r="AG62" s="75">
        <f t="shared" si="67"/>
        <v>10742.126407713824</v>
      </c>
      <c r="AH62" s="75">
        <f t="shared" si="67"/>
        <v>10920.943352247024</v>
      </c>
      <c r="AI62" s="75">
        <f t="shared" si="67"/>
        <v>11102.73694204007</v>
      </c>
      <c r="AJ62" s="75">
        <f t="shared" si="67"/>
        <v>11287.556727302121</v>
      </c>
      <c r="AK62" s="75">
        <f t="shared" si="67"/>
        <v>11475.453083071303</v>
      </c>
      <c r="AL62" s="75">
        <f t="shared" si="67"/>
        <v>11666.477222945077</v>
      </c>
      <c r="AM62" s="75">
        <f t="shared" si="67"/>
        <v>11860.681213039175</v>
      </c>
      <c r="AN62" s="75">
        <f t="shared" si="67"/>
        <v>12058.117986178895</v>
      </c>
      <c r="AO62" s="75">
        <f t="shared" si="67"/>
        <v>12258.841356326631</v>
      </c>
      <c r="AP62" s="75">
        <f t="shared" si="67"/>
        <v>12462.906033249574</v>
      </c>
      <c r="AQ62" s="75">
        <f t="shared" si="67"/>
        <v>12670.367637431567</v>
      </c>
      <c r="AR62" s="75">
        <f t="shared" si="67"/>
        <v>12881.282715233192</v>
      </c>
    </row>
    <row r="63" spans="1:44" x14ac:dyDescent="0.2">
      <c r="B63" s="1" t="s">
        <v>222</v>
      </c>
      <c r="C63" s="235" t="s">
        <v>91</v>
      </c>
      <c r="D63" s="75">
        <f>SUM(F63:AR63)</f>
        <v>11550.910938229823</v>
      </c>
      <c r="F63" s="75">
        <f t="shared" ref="F63:AR63" si="68">F44</f>
        <v>212.74168426113152</v>
      </c>
      <c r="G63" s="75">
        <f t="shared" si="68"/>
        <v>216.28305181822009</v>
      </c>
      <c r="H63" s="75">
        <f t="shared" si="68"/>
        <v>219.88337013626534</v>
      </c>
      <c r="I63" s="75">
        <f t="shared" si="68"/>
        <v>223.54362052888732</v>
      </c>
      <c r="J63" s="75">
        <f t="shared" si="68"/>
        <v>227.26480064497309</v>
      </c>
      <c r="K63" s="75">
        <f t="shared" si="68"/>
        <v>231.04792474059894</v>
      </c>
      <c r="L63" s="75">
        <f t="shared" si="68"/>
        <v>234.89402395547899</v>
      </c>
      <c r="M63" s="75">
        <f t="shared" si="68"/>
        <v>238.80414659401586</v>
      </c>
      <c r="N63" s="75">
        <f t="shared" si="68"/>
        <v>242.77935841102968</v>
      </c>
      <c r="O63" s="75">
        <f t="shared" si="68"/>
        <v>246.8207429022433</v>
      </c>
      <c r="P63" s="75">
        <f t="shared" si="68"/>
        <v>250.92940159960327</v>
      </c>
      <c r="Q63" s="75">
        <f t="shared" si="68"/>
        <v>255.10645437151666</v>
      </c>
      <c r="R63" s="75">
        <f t="shared" si="68"/>
        <v>259.35303972808583</v>
      </c>
      <c r="S63" s="75">
        <f t="shared" si="68"/>
        <v>263.67031513142416</v>
      </c>
      <c r="T63" s="75">
        <f t="shared" si="68"/>
        <v>268.05945731113724</v>
      </c>
      <c r="U63" s="75">
        <f t="shared" si="68"/>
        <v>272.52166258505628</v>
      </c>
      <c r="V63" s="75">
        <f t="shared" si="68"/>
        <v>277.05814718530951</v>
      </c>
      <c r="W63" s="75">
        <f t="shared" si="68"/>
        <v>281.67014758982253</v>
      </c>
      <c r="X63" s="75">
        <f t="shared" si="68"/>
        <v>286.35892085933642</v>
      </c>
      <c r="Y63" s="75">
        <f t="shared" si="68"/>
        <v>291.12574498003562</v>
      </c>
      <c r="Z63" s="75">
        <f t="shared" si="68"/>
        <v>295.97191921188033</v>
      </c>
      <c r="AA63" s="75">
        <f t="shared" si="68"/>
        <v>300.89876444273614</v>
      </c>
      <c r="AB63" s="75">
        <f t="shared" si="68"/>
        <v>305.90762354839956</v>
      </c>
      <c r="AC63" s="75">
        <f t="shared" si="68"/>
        <v>310.99986175861613</v>
      </c>
      <c r="AD63" s="75">
        <f t="shared" si="68"/>
        <v>316.17686702919173</v>
      </c>
      <c r="AE63" s="75">
        <f t="shared" si="68"/>
        <v>321.44005042029761</v>
      </c>
      <c r="AF63" s="75">
        <f t="shared" si="68"/>
        <v>326.79084648107386</v>
      </c>
      <c r="AG63" s="75">
        <f t="shared" si="68"/>
        <v>332.23071364063372</v>
      </c>
      <c r="AH63" s="75">
        <f t="shared" si="68"/>
        <v>337.76113460557809</v>
      </c>
      <c r="AI63" s="75">
        <f t="shared" si="68"/>
        <v>343.38361676412586</v>
      </c>
      <c r="AJ63" s="75">
        <f t="shared" si="68"/>
        <v>349.09969259697283</v>
      </c>
      <c r="AK63" s="75">
        <f t="shared" si="68"/>
        <v>354.91092009498874</v>
      </c>
      <c r="AL63" s="75">
        <f t="shared" si="68"/>
        <v>360.81888318386837</v>
      </c>
      <c r="AM63" s="75">
        <f t="shared" si="68"/>
        <v>366.8251921558508</v>
      </c>
      <c r="AN63" s="75">
        <f t="shared" si="68"/>
        <v>372.93148410862557</v>
      </c>
      <c r="AO63" s="75">
        <f t="shared" si="68"/>
        <v>379.13942339154528</v>
      </c>
      <c r="AP63" s="75">
        <f t="shared" si="68"/>
        <v>385.45070205926521</v>
      </c>
      <c r="AQ63" s="75">
        <f t="shared" si="68"/>
        <v>391.86704033293506</v>
      </c>
      <c r="AR63" s="75">
        <f t="shared" si="68"/>
        <v>398.39018706906779</v>
      </c>
    </row>
    <row r="64" spans="1:44" x14ac:dyDescent="0.2">
      <c r="C64" s="19"/>
    </row>
    <row r="65" spans="1:44" ht="15" x14ac:dyDescent="0.25">
      <c r="A65" s="2" t="s">
        <v>223</v>
      </c>
      <c r="C65" s="235"/>
      <c r="D65" s="75"/>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row>
    <row r="66" spans="1:44" ht="15" x14ac:dyDescent="0.25">
      <c r="A66" s="2"/>
      <c r="B66" s="2" t="s">
        <v>989</v>
      </c>
      <c r="C66" s="235"/>
      <c r="D66" s="75"/>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row>
    <row r="67" spans="1:44" ht="15" x14ac:dyDescent="0.25">
      <c r="A67" s="2"/>
      <c r="B67" s="1" t="s">
        <v>989</v>
      </c>
      <c r="C67" s="235" t="s">
        <v>168</v>
      </c>
      <c r="D67" s="75">
        <f>SUM(F67:AR67)</f>
        <v>2885.9727851983571</v>
      </c>
      <c r="F67" s="75">
        <f>F52</f>
        <v>66.680335831680836</v>
      </c>
      <c r="G67" s="75">
        <f t="shared" ref="G67:AR67" si="69">G52</f>
        <v>67.040359895154836</v>
      </c>
      <c r="H67" s="75">
        <f t="shared" si="69"/>
        <v>67.402327819958614</v>
      </c>
      <c r="I67" s="75">
        <f t="shared" si="69"/>
        <v>67.766250101493057</v>
      </c>
      <c r="J67" s="75">
        <f t="shared" si="69"/>
        <v>68.132137291826353</v>
      </c>
      <c r="K67" s="75">
        <f t="shared" si="69"/>
        <v>68.500000000000014</v>
      </c>
      <c r="L67" s="75">
        <f t="shared" si="69"/>
        <v>68.869848892336449</v>
      </c>
      <c r="M67" s="75">
        <f t="shared" si="69"/>
        <v>69.241694692748254</v>
      </c>
      <c r="N67" s="75">
        <f t="shared" si="69"/>
        <v>69.615548183049142</v>
      </c>
      <c r="O67" s="75">
        <f t="shared" si="69"/>
        <v>69.991420203266586</v>
      </c>
      <c r="P67" s="75">
        <f t="shared" si="69"/>
        <v>70.369321651956099</v>
      </c>
      <c r="Q67" s="75">
        <f t="shared" si="69"/>
        <v>70.749263486517293</v>
      </c>
      <c r="R67" s="75">
        <f t="shared" si="69"/>
        <v>71.131256723511555</v>
      </c>
      <c r="S67" s="75">
        <f t="shared" si="69"/>
        <v>71.515312438981468</v>
      </c>
      <c r="T67" s="75">
        <f t="shared" si="69"/>
        <v>71.901441768772003</v>
      </c>
      <c r="U67" s="75">
        <f t="shared" si="69"/>
        <v>72.289655908853362</v>
      </c>
      <c r="V67" s="75">
        <f t="shared" si="69"/>
        <v>72.679966115645641</v>
      </c>
      <c r="W67" s="75">
        <f t="shared" si="69"/>
        <v>73.072383706345221</v>
      </c>
      <c r="X67" s="75">
        <f t="shared" si="69"/>
        <v>73.466920059252885</v>
      </c>
      <c r="Y67" s="75">
        <f t="shared" si="69"/>
        <v>73.863586614103752</v>
      </c>
      <c r="Z67" s="75">
        <f t="shared" si="69"/>
        <v>74.262394872398971</v>
      </c>
      <c r="AA67" s="75">
        <f t="shared" si="69"/>
        <v>74.663356397739236</v>
      </c>
      <c r="AB67" s="75">
        <f t="shared" si="69"/>
        <v>75.066482816160033</v>
      </c>
      <c r="AC67" s="75">
        <f t="shared" si="69"/>
        <v>75.471785816468767</v>
      </c>
      <c r="AD67" s="75">
        <f t="shared" si="69"/>
        <v>75.879277150583704</v>
      </c>
      <c r="AE67" s="75">
        <f t="shared" si="69"/>
        <v>76.288968633874688</v>
      </c>
      <c r="AF67" s="75">
        <f t="shared" si="69"/>
        <v>76.700872145505741</v>
      </c>
      <c r="AG67" s="75">
        <f t="shared" si="69"/>
        <v>77.114999628779515</v>
      </c>
      <c r="AH67" s="75">
        <f t="shared" si="69"/>
        <v>77.531363091483584</v>
      </c>
      <c r="AI67" s="75">
        <f t="shared" si="69"/>
        <v>77.949974606238612</v>
      </c>
      <c r="AJ67" s="75">
        <f t="shared" si="69"/>
        <v>78.370846310848407</v>
      </c>
      <c r="AK67" s="75">
        <f t="shared" si="69"/>
        <v>78.793990408651851</v>
      </c>
      <c r="AL67" s="75">
        <f t="shared" si="69"/>
        <v>79.219419168876783</v>
      </c>
      <c r="AM67" s="75">
        <f t="shared" si="69"/>
        <v>79.647144926995679</v>
      </c>
      <c r="AN67" s="75">
        <f t="shared" si="69"/>
        <v>80.077180085083398</v>
      </c>
      <c r="AO67" s="75">
        <f t="shared" si="69"/>
        <v>80.50953711217673</v>
      </c>
      <c r="AP67" s="75">
        <f t="shared" si="69"/>
        <v>80.944228544635962</v>
      </c>
      <c r="AQ67" s="75">
        <f t="shared" si="69"/>
        <v>81.381266986508379</v>
      </c>
      <c r="AR67" s="75">
        <f t="shared" si="69"/>
        <v>81.820665109893724</v>
      </c>
    </row>
    <row r="68" spans="1:44" ht="15" x14ac:dyDescent="0.25">
      <c r="A68" s="2"/>
      <c r="C68" s="235"/>
      <c r="D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row>
    <row r="69" spans="1:44" ht="15" x14ac:dyDescent="0.25">
      <c r="A69" s="2"/>
      <c r="B69" s="2" t="s">
        <v>1020</v>
      </c>
      <c r="C69" s="235"/>
      <c r="D69" s="75"/>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row>
    <row r="70" spans="1:44" ht="15" x14ac:dyDescent="0.25">
      <c r="A70" s="2"/>
      <c r="B70" s="1" t="s">
        <v>1021</v>
      </c>
      <c r="C70" s="235" t="s">
        <v>60</v>
      </c>
      <c r="D70" s="438">
        <f>Inputs!$E$151</f>
        <v>0.01</v>
      </c>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row>
    <row r="71" spans="1:44" ht="15" x14ac:dyDescent="0.25">
      <c r="A71" s="2"/>
      <c r="C71" s="235"/>
      <c r="D71" s="438"/>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row>
    <row r="72" spans="1:44" ht="15" x14ac:dyDescent="0.25">
      <c r="A72" s="2"/>
      <c r="B72" s="1" t="str">
        <f>Inputs!C154</f>
        <v>Ramp Up of Ped Demand - Year 1</v>
      </c>
      <c r="C72" s="235" t="s">
        <v>60</v>
      </c>
      <c r="D72" s="438">
        <f>Inputs!E154</f>
        <v>0.5</v>
      </c>
      <c r="E72" s="16"/>
      <c r="F72" s="100">
        <f>IF(F$12=1,$D72,0)</f>
        <v>0</v>
      </c>
      <c r="G72" s="100">
        <f t="shared" ref="G72:V72" si="70">IF(G$12=1,$D72,0)</f>
        <v>0</v>
      </c>
      <c r="H72" s="100">
        <f t="shared" si="70"/>
        <v>0</v>
      </c>
      <c r="I72" s="100">
        <f t="shared" si="70"/>
        <v>0</v>
      </c>
      <c r="J72" s="100">
        <f t="shared" si="70"/>
        <v>0</v>
      </c>
      <c r="K72" s="100">
        <f t="shared" si="70"/>
        <v>0</v>
      </c>
      <c r="L72" s="100">
        <f t="shared" si="70"/>
        <v>0</v>
      </c>
      <c r="M72" s="100">
        <f t="shared" si="70"/>
        <v>0</v>
      </c>
      <c r="N72" s="100">
        <f t="shared" si="70"/>
        <v>0</v>
      </c>
      <c r="O72" s="100">
        <f t="shared" si="70"/>
        <v>0.5</v>
      </c>
      <c r="P72" s="100">
        <f t="shared" si="70"/>
        <v>0</v>
      </c>
      <c r="Q72" s="100">
        <f t="shared" si="70"/>
        <v>0</v>
      </c>
      <c r="R72" s="100">
        <f t="shared" si="70"/>
        <v>0</v>
      </c>
      <c r="S72" s="100">
        <f t="shared" si="70"/>
        <v>0</v>
      </c>
      <c r="T72" s="100">
        <f t="shared" si="70"/>
        <v>0</v>
      </c>
      <c r="U72" s="100">
        <f t="shared" si="70"/>
        <v>0</v>
      </c>
      <c r="V72" s="100">
        <f t="shared" si="70"/>
        <v>0</v>
      </c>
      <c r="W72" s="100">
        <f t="shared" ref="W72:AL72" si="71">IF(W$12=1,$D72,0)</f>
        <v>0</v>
      </c>
      <c r="X72" s="100">
        <f t="shared" si="71"/>
        <v>0</v>
      </c>
      <c r="Y72" s="100">
        <f t="shared" si="71"/>
        <v>0</v>
      </c>
      <c r="Z72" s="100">
        <f t="shared" si="71"/>
        <v>0</v>
      </c>
      <c r="AA72" s="100">
        <f t="shared" si="71"/>
        <v>0</v>
      </c>
      <c r="AB72" s="100">
        <f t="shared" si="71"/>
        <v>0</v>
      </c>
      <c r="AC72" s="100">
        <f t="shared" si="71"/>
        <v>0</v>
      </c>
      <c r="AD72" s="100">
        <f t="shared" si="71"/>
        <v>0</v>
      </c>
      <c r="AE72" s="100">
        <f t="shared" si="71"/>
        <v>0</v>
      </c>
      <c r="AF72" s="100">
        <f t="shared" si="71"/>
        <v>0</v>
      </c>
      <c r="AG72" s="100">
        <f t="shared" si="71"/>
        <v>0</v>
      </c>
      <c r="AH72" s="100">
        <f t="shared" si="71"/>
        <v>0</v>
      </c>
      <c r="AI72" s="100">
        <f t="shared" si="71"/>
        <v>0</v>
      </c>
      <c r="AJ72" s="100">
        <f t="shared" si="71"/>
        <v>0</v>
      </c>
      <c r="AK72" s="100">
        <f t="shared" si="71"/>
        <v>0</v>
      </c>
      <c r="AL72" s="100">
        <f t="shared" si="71"/>
        <v>0</v>
      </c>
      <c r="AM72" s="100">
        <f t="shared" ref="AM72:AR72" si="72">IF(AM$12=1,$D72,0)</f>
        <v>0</v>
      </c>
      <c r="AN72" s="100">
        <f t="shared" si="72"/>
        <v>0</v>
      </c>
      <c r="AO72" s="100">
        <f t="shared" si="72"/>
        <v>0</v>
      </c>
      <c r="AP72" s="100">
        <f t="shared" si="72"/>
        <v>0</v>
      </c>
      <c r="AQ72" s="100">
        <f t="shared" si="72"/>
        <v>0</v>
      </c>
      <c r="AR72" s="100">
        <f t="shared" si="72"/>
        <v>0</v>
      </c>
    </row>
    <row r="73" spans="1:44" ht="15" x14ac:dyDescent="0.25">
      <c r="A73" s="2"/>
      <c r="B73" s="1" t="str">
        <f>Inputs!C155</f>
        <v>Ramp Up of Ped Demand - Year 2</v>
      </c>
      <c r="C73" s="235" t="s">
        <v>60</v>
      </c>
      <c r="D73" s="438">
        <f>Inputs!E155</f>
        <v>0.75</v>
      </c>
      <c r="E73" s="16"/>
      <c r="F73" s="100">
        <f>IF(F$12=2,$D73,0)</f>
        <v>0</v>
      </c>
      <c r="G73" s="100">
        <f t="shared" ref="G73:AR73" si="73">IF(G$12=2,$D73,0)</f>
        <v>0</v>
      </c>
      <c r="H73" s="100">
        <f t="shared" si="73"/>
        <v>0</v>
      </c>
      <c r="I73" s="100">
        <f t="shared" si="73"/>
        <v>0</v>
      </c>
      <c r="J73" s="100">
        <f t="shared" si="73"/>
        <v>0</v>
      </c>
      <c r="K73" s="100">
        <f t="shared" si="73"/>
        <v>0</v>
      </c>
      <c r="L73" s="100">
        <f t="shared" si="73"/>
        <v>0</v>
      </c>
      <c r="M73" s="100">
        <f t="shared" si="73"/>
        <v>0</v>
      </c>
      <c r="N73" s="100">
        <f t="shared" si="73"/>
        <v>0</v>
      </c>
      <c r="O73" s="100">
        <f t="shared" si="73"/>
        <v>0</v>
      </c>
      <c r="P73" s="100">
        <f t="shared" si="73"/>
        <v>0.75</v>
      </c>
      <c r="Q73" s="100">
        <f t="shared" si="73"/>
        <v>0</v>
      </c>
      <c r="R73" s="100">
        <f t="shared" si="73"/>
        <v>0</v>
      </c>
      <c r="S73" s="100">
        <f t="shared" si="73"/>
        <v>0</v>
      </c>
      <c r="T73" s="100">
        <f t="shared" si="73"/>
        <v>0</v>
      </c>
      <c r="U73" s="100">
        <f t="shared" si="73"/>
        <v>0</v>
      </c>
      <c r="V73" s="100">
        <f t="shared" si="73"/>
        <v>0</v>
      </c>
      <c r="W73" s="100">
        <f t="shared" si="73"/>
        <v>0</v>
      </c>
      <c r="X73" s="100">
        <f t="shared" si="73"/>
        <v>0</v>
      </c>
      <c r="Y73" s="100">
        <f t="shared" si="73"/>
        <v>0</v>
      </c>
      <c r="Z73" s="100">
        <f t="shared" si="73"/>
        <v>0</v>
      </c>
      <c r="AA73" s="100">
        <f t="shared" si="73"/>
        <v>0</v>
      </c>
      <c r="AB73" s="100">
        <f t="shared" si="73"/>
        <v>0</v>
      </c>
      <c r="AC73" s="100">
        <f t="shared" si="73"/>
        <v>0</v>
      </c>
      <c r="AD73" s="100">
        <f t="shared" si="73"/>
        <v>0</v>
      </c>
      <c r="AE73" s="100">
        <f t="shared" si="73"/>
        <v>0</v>
      </c>
      <c r="AF73" s="100">
        <f t="shared" si="73"/>
        <v>0</v>
      </c>
      <c r="AG73" s="100">
        <f t="shared" si="73"/>
        <v>0</v>
      </c>
      <c r="AH73" s="100">
        <f t="shared" si="73"/>
        <v>0</v>
      </c>
      <c r="AI73" s="100">
        <f t="shared" si="73"/>
        <v>0</v>
      </c>
      <c r="AJ73" s="100">
        <f t="shared" si="73"/>
        <v>0</v>
      </c>
      <c r="AK73" s="100">
        <f t="shared" si="73"/>
        <v>0</v>
      </c>
      <c r="AL73" s="100">
        <f t="shared" si="73"/>
        <v>0</v>
      </c>
      <c r="AM73" s="100">
        <f t="shared" si="73"/>
        <v>0</v>
      </c>
      <c r="AN73" s="100">
        <f t="shared" si="73"/>
        <v>0</v>
      </c>
      <c r="AO73" s="100">
        <f t="shared" si="73"/>
        <v>0</v>
      </c>
      <c r="AP73" s="100">
        <f t="shared" si="73"/>
        <v>0</v>
      </c>
      <c r="AQ73" s="100">
        <f t="shared" si="73"/>
        <v>0</v>
      </c>
      <c r="AR73" s="100">
        <f t="shared" si="73"/>
        <v>0</v>
      </c>
    </row>
    <row r="74" spans="1:44" ht="15" x14ac:dyDescent="0.25">
      <c r="A74" s="2"/>
      <c r="B74" s="1" t="str">
        <f>Inputs!C156</f>
        <v>Ramp Up of Ped Demand - Year 3</v>
      </c>
      <c r="C74" s="235" t="s">
        <v>60</v>
      </c>
      <c r="D74" s="438">
        <f>Inputs!E156</f>
        <v>1</v>
      </c>
      <c r="E74" s="16"/>
      <c r="F74" s="100">
        <f>IF(F$12=3,$D74,0)</f>
        <v>0</v>
      </c>
      <c r="G74" s="100">
        <f t="shared" ref="G74:AR74" si="74">IF(G$12=3,$D74,0)</f>
        <v>0</v>
      </c>
      <c r="H74" s="100">
        <f t="shared" si="74"/>
        <v>0</v>
      </c>
      <c r="I74" s="100">
        <f t="shared" si="74"/>
        <v>0</v>
      </c>
      <c r="J74" s="100">
        <f t="shared" si="74"/>
        <v>0</v>
      </c>
      <c r="K74" s="100">
        <f t="shared" si="74"/>
        <v>0</v>
      </c>
      <c r="L74" s="100">
        <f t="shared" si="74"/>
        <v>0</v>
      </c>
      <c r="M74" s="100">
        <f t="shared" si="74"/>
        <v>0</v>
      </c>
      <c r="N74" s="100">
        <f t="shared" si="74"/>
        <v>0</v>
      </c>
      <c r="O74" s="100">
        <f t="shared" si="74"/>
        <v>0</v>
      </c>
      <c r="P74" s="100">
        <f t="shared" si="74"/>
        <v>0</v>
      </c>
      <c r="Q74" s="100">
        <f t="shared" si="74"/>
        <v>1</v>
      </c>
      <c r="R74" s="100">
        <f t="shared" si="74"/>
        <v>0</v>
      </c>
      <c r="S74" s="100">
        <f t="shared" si="74"/>
        <v>0</v>
      </c>
      <c r="T74" s="100">
        <f t="shared" si="74"/>
        <v>0</v>
      </c>
      <c r="U74" s="100">
        <f t="shared" si="74"/>
        <v>0</v>
      </c>
      <c r="V74" s="100">
        <f t="shared" si="74"/>
        <v>0</v>
      </c>
      <c r="W74" s="100">
        <f t="shared" si="74"/>
        <v>0</v>
      </c>
      <c r="X74" s="100">
        <f t="shared" si="74"/>
        <v>0</v>
      </c>
      <c r="Y74" s="100">
        <f t="shared" si="74"/>
        <v>0</v>
      </c>
      <c r="Z74" s="100">
        <f t="shared" si="74"/>
        <v>0</v>
      </c>
      <c r="AA74" s="100">
        <f t="shared" si="74"/>
        <v>0</v>
      </c>
      <c r="AB74" s="100">
        <f t="shared" si="74"/>
        <v>0</v>
      </c>
      <c r="AC74" s="100">
        <f t="shared" si="74"/>
        <v>0</v>
      </c>
      <c r="AD74" s="100">
        <f t="shared" si="74"/>
        <v>0</v>
      </c>
      <c r="AE74" s="100">
        <f t="shared" si="74"/>
        <v>0</v>
      </c>
      <c r="AF74" s="100">
        <f t="shared" si="74"/>
        <v>0</v>
      </c>
      <c r="AG74" s="100">
        <f t="shared" si="74"/>
        <v>0</v>
      </c>
      <c r="AH74" s="100">
        <f t="shared" si="74"/>
        <v>0</v>
      </c>
      <c r="AI74" s="100">
        <f t="shared" si="74"/>
        <v>0</v>
      </c>
      <c r="AJ74" s="100">
        <f t="shared" si="74"/>
        <v>0</v>
      </c>
      <c r="AK74" s="100">
        <f t="shared" si="74"/>
        <v>0</v>
      </c>
      <c r="AL74" s="100">
        <f t="shared" si="74"/>
        <v>0</v>
      </c>
      <c r="AM74" s="100">
        <f t="shared" si="74"/>
        <v>0</v>
      </c>
      <c r="AN74" s="100">
        <f t="shared" si="74"/>
        <v>0</v>
      </c>
      <c r="AO74" s="100">
        <f t="shared" si="74"/>
        <v>0</v>
      </c>
      <c r="AP74" s="100">
        <f t="shared" si="74"/>
        <v>0</v>
      </c>
      <c r="AQ74" s="100">
        <f t="shared" si="74"/>
        <v>0</v>
      </c>
      <c r="AR74" s="100">
        <f t="shared" si="74"/>
        <v>0</v>
      </c>
    </row>
    <row r="75" spans="1:44" ht="15" x14ac:dyDescent="0.25">
      <c r="A75" s="2"/>
      <c r="B75" s="1" t="s">
        <v>1019</v>
      </c>
      <c r="C75" s="235" t="s">
        <v>60</v>
      </c>
      <c r="D75" s="438"/>
      <c r="E75" s="16"/>
      <c r="F75" s="100">
        <f>IF(F$12&gt;3,1,0)</f>
        <v>0</v>
      </c>
      <c r="G75" s="100">
        <f t="shared" ref="G75:AR75" si="75">IF(G$12&gt;3,1,0)</f>
        <v>0</v>
      </c>
      <c r="H75" s="100">
        <f t="shared" si="75"/>
        <v>0</v>
      </c>
      <c r="I75" s="100">
        <f t="shared" si="75"/>
        <v>0</v>
      </c>
      <c r="J75" s="100">
        <f t="shared" si="75"/>
        <v>0</v>
      </c>
      <c r="K75" s="100">
        <f t="shared" si="75"/>
        <v>0</v>
      </c>
      <c r="L75" s="100">
        <f t="shared" si="75"/>
        <v>0</v>
      </c>
      <c r="M75" s="100">
        <f t="shared" si="75"/>
        <v>0</v>
      </c>
      <c r="N75" s="100">
        <f t="shared" si="75"/>
        <v>0</v>
      </c>
      <c r="O75" s="100">
        <f t="shared" si="75"/>
        <v>0</v>
      </c>
      <c r="P75" s="100">
        <f t="shared" si="75"/>
        <v>0</v>
      </c>
      <c r="Q75" s="100">
        <f t="shared" si="75"/>
        <v>0</v>
      </c>
      <c r="R75" s="100">
        <f t="shared" si="75"/>
        <v>1</v>
      </c>
      <c r="S75" s="100">
        <f t="shared" si="75"/>
        <v>1</v>
      </c>
      <c r="T75" s="100">
        <f t="shared" si="75"/>
        <v>1</v>
      </c>
      <c r="U75" s="100">
        <f t="shared" si="75"/>
        <v>1</v>
      </c>
      <c r="V75" s="100">
        <f t="shared" si="75"/>
        <v>1</v>
      </c>
      <c r="W75" s="100">
        <f t="shared" si="75"/>
        <v>1</v>
      </c>
      <c r="X75" s="100">
        <f t="shared" si="75"/>
        <v>1</v>
      </c>
      <c r="Y75" s="100">
        <f t="shared" si="75"/>
        <v>1</v>
      </c>
      <c r="Z75" s="100">
        <f t="shared" si="75"/>
        <v>1</v>
      </c>
      <c r="AA75" s="100">
        <f t="shared" si="75"/>
        <v>1</v>
      </c>
      <c r="AB75" s="100">
        <f t="shared" si="75"/>
        <v>1</v>
      </c>
      <c r="AC75" s="100">
        <f t="shared" si="75"/>
        <v>1</v>
      </c>
      <c r="AD75" s="100">
        <f t="shared" si="75"/>
        <v>1</v>
      </c>
      <c r="AE75" s="100">
        <f t="shared" si="75"/>
        <v>1</v>
      </c>
      <c r="AF75" s="100">
        <f t="shared" si="75"/>
        <v>1</v>
      </c>
      <c r="AG75" s="100">
        <f t="shared" si="75"/>
        <v>1</v>
      </c>
      <c r="AH75" s="100">
        <f t="shared" si="75"/>
        <v>1</v>
      </c>
      <c r="AI75" s="100">
        <f t="shared" si="75"/>
        <v>1</v>
      </c>
      <c r="AJ75" s="100">
        <f t="shared" si="75"/>
        <v>1</v>
      </c>
      <c r="AK75" s="100">
        <f t="shared" si="75"/>
        <v>1</v>
      </c>
      <c r="AL75" s="100">
        <f t="shared" si="75"/>
        <v>1</v>
      </c>
      <c r="AM75" s="100">
        <f t="shared" si="75"/>
        <v>1</v>
      </c>
      <c r="AN75" s="100">
        <f t="shared" si="75"/>
        <v>1</v>
      </c>
      <c r="AO75" s="100">
        <f t="shared" si="75"/>
        <v>1</v>
      </c>
      <c r="AP75" s="100">
        <f t="shared" si="75"/>
        <v>1</v>
      </c>
      <c r="AQ75" s="100">
        <f t="shared" si="75"/>
        <v>1</v>
      </c>
      <c r="AR75" s="100">
        <f t="shared" si="75"/>
        <v>1</v>
      </c>
    </row>
    <row r="76" spans="1:44" ht="15" x14ac:dyDescent="0.25">
      <c r="A76" s="2"/>
      <c r="C76" s="235"/>
      <c r="D76" s="438"/>
      <c r="E76" s="16"/>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row>
    <row r="77" spans="1:44" ht="15" x14ac:dyDescent="0.25">
      <c r="A77" s="2"/>
      <c r="B77" s="1" t="s">
        <v>1018</v>
      </c>
      <c r="C77" s="235" t="s">
        <v>60</v>
      </c>
      <c r="D77" s="438"/>
      <c r="E77" s="16"/>
      <c r="F77" s="100">
        <f t="shared" ref="F77:N77" si="76">SUM(F72:F75)</f>
        <v>0</v>
      </c>
      <c r="G77" s="100">
        <f t="shared" si="76"/>
        <v>0</v>
      </c>
      <c r="H77" s="100">
        <f t="shared" si="76"/>
        <v>0</v>
      </c>
      <c r="I77" s="100">
        <f t="shared" si="76"/>
        <v>0</v>
      </c>
      <c r="J77" s="100">
        <f t="shared" si="76"/>
        <v>0</v>
      </c>
      <c r="K77" s="100">
        <f t="shared" si="76"/>
        <v>0</v>
      </c>
      <c r="L77" s="100">
        <f t="shared" si="76"/>
        <v>0</v>
      </c>
      <c r="M77" s="100">
        <f t="shared" si="76"/>
        <v>0</v>
      </c>
      <c r="N77" s="100">
        <f t="shared" si="76"/>
        <v>0</v>
      </c>
      <c r="O77" s="100">
        <f>SUM(O72:O75)</f>
        <v>0.5</v>
      </c>
      <c r="P77" s="100">
        <f t="shared" ref="P77:AR77" si="77">SUM(P72:P75)</f>
        <v>0.75</v>
      </c>
      <c r="Q77" s="100">
        <f t="shared" si="77"/>
        <v>1</v>
      </c>
      <c r="R77" s="100">
        <f t="shared" si="77"/>
        <v>1</v>
      </c>
      <c r="S77" s="100">
        <f t="shared" si="77"/>
        <v>1</v>
      </c>
      <c r="T77" s="100">
        <f t="shared" si="77"/>
        <v>1</v>
      </c>
      <c r="U77" s="100">
        <f t="shared" si="77"/>
        <v>1</v>
      </c>
      <c r="V77" s="100">
        <f t="shared" si="77"/>
        <v>1</v>
      </c>
      <c r="W77" s="100">
        <f t="shared" si="77"/>
        <v>1</v>
      </c>
      <c r="X77" s="100">
        <f t="shared" si="77"/>
        <v>1</v>
      </c>
      <c r="Y77" s="100">
        <f t="shared" si="77"/>
        <v>1</v>
      </c>
      <c r="Z77" s="100">
        <f t="shared" si="77"/>
        <v>1</v>
      </c>
      <c r="AA77" s="100">
        <f t="shared" si="77"/>
        <v>1</v>
      </c>
      <c r="AB77" s="100">
        <f t="shared" si="77"/>
        <v>1</v>
      </c>
      <c r="AC77" s="100">
        <f t="shared" si="77"/>
        <v>1</v>
      </c>
      <c r="AD77" s="100">
        <f t="shared" si="77"/>
        <v>1</v>
      </c>
      <c r="AE77" s="100">
        <f t="shared" si="77"/>
        <v>1</v>
      </c>
      <c r="AF77" s="100">
        <f t="shared" si="77"/>
        <v>1</v>
      </c>
      <c r="AG77" s="100">
        <f t="shared" si="77"/>
        <v>1</v>
      </c>
      <c r="AH77" s="100">
        <f t="shared" si="77"/>
        <v>1</v>
      </c>
      <c r="AI77" s="100">
        <f t="shared" si="77"/>
        <v>1</v>
      </c>
      <c r="AJ77" s="100">
        <f t="shared" si="77"/>
        <v>1</v>
      </c>
      <c r="AK77" s="100">
        <f t="shared" si="77"/>
        <v>1</v>
      </c>
      <c r="AL77" s="100">
        <f t="shared" si="77"/>
        <v>1</v>
      </c>
      <c r="AM77" s="100">
        <f t="shared" si="77"/>
        <v>1</v>
      </c>
      <c r="AN77" s="100">
        <f t="shared" si="77"/>
        <v>1</v>
      </c>
      <c r="AO77" s="100">
        <f t="shared" si="77"/>
        <v>1</v>
      </c>
      <c r="AP77" s="100">
        <f t="shared" si="77"/>
        <v>1</v>
      </c>
      <c r="AQ77" s="100">
        <f t="shared" si="77"/>
        <v>1</v>
      </c>
      <c r="AR77" s="100">
        <f t="shared" si="77"/>
        <v>1</v>
      </c>
    </row>
    <row r="78" spans="1:44" ht="15" x14ac:dyDescent="0.25">
      <c r="A78" s="2"/>
      <c r="C78" s="235"/>
      <c r="D78" s="438"/>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row>
    <row r="79" spans="1:44" ht="15" x14ac:dyDescent="0.25">
      <c r="A79" s="2"/>
      <c r="B79" s="1" t="s">
        <v>1003</v>
      </c>
      <c r="C79" s="235" t="s">
        <v>168</v>
      </c>
      <c r="D79" s="75">
        <f>SUM(F79:AR79)</f>
        <v>3105.8420784294008</v>
      </c>
      <c r="E79" s="16"/>
      <c r="F79" s="16">
        <f t="shared" ref="F79:P79" si="78">F61*$D$70*F77</f>
        <v>0</v>
      </c>
      <c r="G79" s="16">
        <f t="shared" si="78"/>
        <v>0</v>
      </c>
      <c r="H79" s="16">
        <f t="shared" si="78"/>
        <v>0</v>
      </c>
      <c r="I79" s="16">
        <f t="shared" si="78"/>
        <v>0</v>
      </c>
      <c r="J79" s="16">
        <f t="shared" si="78"/>
        <v>0</v>
      </c>
      <c r="K79" s="16">
        <f t="shared" si="78"/>
        <v>0</v>
      </c>
      <c r="L79" s="16">
        <f t="shared" si="78"/>
        <v>0</v>
      </c>
      <c r="M79" s="16">
        <f t="shared" si="78"/>
        <v>0</v>
      </c>
      <c r="N79" s="16">
        <f t="shared" si="78"/>
        <v>0</v>
      </c>
      <c r="O79" s="16">
        <f t="shared" si="78"/>
        <v>41.136790483707216</v>
      </c>
      <c r="P79" s="16">
        <f t="shared" si="78"/>
        <v>62.732350399900824</v>
      </c>
      <c r="Q79" s="16">
        <f t="shared" ref="Q79:AR79" si="79">Q61*$D$70*Q77</f>
        <v>85.035484790505564</v>
      </c>
      <c r="R79" s="16">
        <f t="shared" si="79"/>
        <v>86.451013242695282</v>
      </c>
      <c r="S79" s="16">
        <f t="shared" si="79"/>
        <v>87.890105043808049</v>
      </c>
      <c r="T79" s="16">
        <f t="shared" si="79"/>
        <v>89.35315243704575</v>
      </c>
      <c r="U79" s="16">
        <f t="shared" si="79"/>
        <v>90.840554195018754</v>
      </c>
      <c r="V79" s="16">
        <f t="shared" si="79"/>
        <v>92.352715728436507</v>
      </c>
      <c r="W79" s="16">
        <f t="shared" si="79"/>
        <v>93.890049196607521</v>
      </c>
      <c r="X79" s="16">
        <f t="shared" si="79"/>
        <v>95.452973619778803</v>
      </c>
      <c r="Y79" s="16">
        <f t="shared" si="79"/>
        <v>97.041914993345216</v>
      </c>
      <c r="Z79" s="16">
        <f t="shared" si="79"/>
        <v>98.657306403960121</v>
      </c>
      <c r="AA79" s="16">
        <f t="shared" si="79"/>
        <v>100.29958814757873</v>
      </c>
      <c r="AB79" s="16">
        <f t="shared" si="79"/>
        <v>101.96920784946653</v>
      </c>
      <c r="AC79" s="16">
        <f t="shared" si="79"/>
        <v>103.6666205862054</v>
      </c>
      <c r="AD79" s="16">
        <f t="shared" si="79"/>
        <v>105.39228900973058</v>
      </c>
      <c r="AE79" s="16">
        <f t="shared" si="79"/>
        <v>107.14668347343255</v>
      </c>
      <c r="AF79" s="16">
        <f t="shared" si="79"/>
        <v>108.93028216035795</v>
      </c>
      <c r="AG79" s="16">
        <f t="shared" si="79"/>
        <v>110.74357121354458</v>
      </c>
      <c r="AH79" s="16">
        <f t="shared" si="79"/>
        <v>112.58704486852604</v>
      </c>
      <c r="AI79" s="16">
        <f t="shared" si="79"/>
        <v>114.46120558804196</v>
      </c>
      <c r="AJ79" s="16">
        <f t="shared" si="79"/>
        <v>116.36656419899094</v>
      </c>
      <c r="AK79" s="16">
        <f t="shared" si="79"/>
        <v>118.30364003166292</v>
      </c>
      <c r="AL79" s="16">
        <f t="shared" si="79"/>
        <v>120.27296106128946</v>
      </c>
      <c r="AM79" s="16">
        <f t="shared" si="79"/>
        <v>122.27506405195027</v>
      </c>
      <c r="AN79" s="16">
        <f t="shared" si="79"/>
        <v>124.3104947028752</v>
      </c>
      <c r="AO79" s="16">
        <f t="shared" si="79"/>
        <v>126.37980779718177</v>
      </c>
      <c r="AP79" s="16">
        <f t="shared" si="79"/>
        <v>128.4835673530884</v>
      </c>
      <c r="AQ79" s="16">
        <f t="shared" si="79"/>
        <v>130.62234677764505</v>
      </c>
      <c r="AR79" s="16">
        <f t="shared" si="79"/>
        <v>132.79672902302261</v>
      </c>
    </row>
    <row r="80" spans="1:44" ht="15" x14ac:dyDescent="0.25">
      <c r="A80" s="2"/>
      <c r="B80" s="235" t="s">
        <v>1005</v>
      </c>
      <c r="C80" s="235" t="s">
        <v>60</v>
      </c>
      <c r="D80" s="75"/>
      <c r="E80" s="16"/>
      <c r="F80" s="439">
        <f t="shared" ref="F80:AR80" si="80">(F67+F79)/F67-1</f>
        <v>0</v>
      </c>
      <c r="G80" s="439">
        <f t="shared" si="80"/>
        <v>0</v>
      </c>
      <c r="H80" s="439">
        <f t="shared" si="80"/>
        <v>0</v>
      </c>
      <c r="I80" s="439">
        <f t="shared" si="80"/>
        <v>0</v>
      </c>
      <c r="J80" s="439">
        <f t="shared" si="80"/>
        <v>0</v>
      </c>
      <c r="K80" s="439">
        <f t="shared" si="80"/>
        <v>0</v>
      </c>
      <c r="L80" s="439">
        <f t="shared" si="80"/>
        <v>0</v>
      </c>
      <c r="M80" s="439">
        <f t="shared" si="80"/>
        <v>0</v>
      </c>
      <c r="N80" s="439">
        <f t="shared" si="80"/>
        <v>0</v>
      </c>
      <c r="O80" s="439">
        <f t="shared" si="80"/>
        <v>0.58774047396436901</v>
      </c>
      <c r="P80" s="439">
        <f t="shared" si="80"/>
        <v>0.89147300168918164</v>
      </c>
      <c r="Q80" s="439">
        <f t="shared" si="80"/>
        <v>1.2019274915379268</v>
      </c>
      <c r="R80" s="439">
        <f t="shared" si="80"/>
        <v>1.2153730613636125</v>
      </c>
      <c r="S80" s="439">
        <f t="shared" si="80"/>
        <v>1.2289690423823281</v>
      </c>
      <c r="T80" s="439">
        <f t="shared" si="80"/>
        <v>1.2427171171949061</v>
      </c>
      <c r="U80" s="439">
        <f t="shared" si="80"/>
        <v>1.2566189872248854</v>
      </c>
      <c r="V80" s="439">
        <f t="shared" si="80"/>
        <v>1.2706763729290729</v>
      </c>
      <c r="W80" s="439">
        <f t="shared" si="80"/>
        <v>1.2848910140104626</v>
      </c>
      <c r="X80" s="439">
        <f t="shared" si="80"/>
        <v>1.2992646696335388</v>
      </c>
      <c r="Y80" s="439">
        <f t="shared" si="80"/>
        <v>1.313799118641982</v>
      </c>
      <c r="Z80" s="439">
        <f t="shared" si="80"/>
        <v>1.3284961597788167</v>
      </c>
      <c r="AA80" s="439">
        <f t="shared" si="80"/>
        <v>1.343357611909016</v>
      </c>
      <c r="AB80" s="439">
        <f t="shared" si="80"/>
        <v>1.3583853142446016</v>
      </c>
      <c r="AC80" s="439">
        <f t="shared" si="80"/>
        <v>1.3735811265722586</v>
      </c>
      <c r="AD80" s="439">
        <f t="shared" si="80"/>
        <v>1.388946929483498</v>
      </c>
      <c r="AE80" s="439">
        <f t="shared" si="80"/>
        <v>1.4044846246073917</v>
      </c>
      <c r="AF80" s="439">
        <f t="shared" si="80"/>
        <v>1.4201961348459147</v>
      </c>
      <c r="AG80" s="439">
        <f t="shared" si="80"/>
        <v>1.4360834046119195</v>
      </c>
      <c r="AH80" s="439">
        <f t="shared" si="80"/>
        <v>1.4521484000697664</v>
      </c>
      <c r="AI80" s="439">
        <f t="shared" si="80"/>
        <v>1.4683931093786557</v>
      </c>
      <c r="AJ80" s="439">
        <f t="shared" si="80"/>
        <v>1.4848195429386735</v>
      </c>
      <c r="AK80" s="439">
        <f t="shared" si="80"/>
        <v>1.5014297336395948</v>
      </c>
      <c r="AL80" s="439">
        <f t="shared" si="80"/>
        <v>1.5182257371124672</v>
      </c>
      <c r="AM80" s="439">
        <f t="shared" si="80"/>
        <v>1.5352096319840114</v>
      </c>
      <c r="AN80" s="439">
        <f t="shared" si="80"/>
        <v>1.5523835201338647</v>
      </c>
      <c r="AO80" s="439">
        <f t="shared" si="80"/>
        <v>1.5697495269547059</v>
      </c>
      <c r="AP80" s="439">
        <f t="shared" si="80"/>
        <v>1.5873098016152851</v>
      </c>
      <c r="AQ80" s="439">
        <f t="shared" si="80"/>
        <v>1.6050665173264016</v>
      </c>
      <c r="AR80" s="439">
        <f t="shared" si="80"/>
        <v>1.6230218716098519</v>
      </c>
    </row>
    <row r="81" spans="1:44" ht="15" x14ac:dyDescent="0.25">
      <c r="A81" s="2"/>
      <c r="B81" s="235"/>
      <c r="C81" s="235"/>
      <c r="D81" s="75"/>
      <c r="E81" s="16"/>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row>
    <row r="82" spans="1:44" ht="15" x14ac:dyDescent="0.25">
      <c r="A82" s="2"/>
      <c r="B82" s="2" t="s">
        <v>1004</v>
      </c>
      <c r="C82" s="235"/>
      <c r="D82" s="75"/>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row>
    <row r="83" spans="1:44" ht="15" x14ac:dyDescent="0.25">
      <c r="A83" s="2"/>
      <c r="B83" s="1" t="s">
        <v>1004</v>
      </c>
      <c r="C83" s="235" t="s">
        <v>168</v>
      </c>
      <c r="D83" s="75">
        <f>SUM(F83:AR83)</f>
        <v>5991.8148636277592</v>
      </c>
      <c r="F83" s="75">
        <f t="shared" ref="F83:AR83" si="81">F67+F79</f>
        <v>66.680335831680836</v>
      </c>
      <c r="G83" s="75">
        <f t="shared" si="81"/>
        <v>67.040359895154836</v>
      </c>
      <c r="H83" s="75">
        <f t="shared" si="81"/>
        <v>67.402327819958614</v>
      </c>
      <c r="I83" s="75">
        <f t="shared" si="81"/>
        <v>67.766250101493057</v>
      </c>
      <c r="J83" s="75">
        <f t="shared" si="81"/>
        <v>68.132137291826353</v>
      </c>
      <c r="K83" s="75">
        <f t="shared" si="81"/>
        <v>68.500000000000014</v>
      </c>
      <c r="L83" s="75">
        <f t="shared" si="81"/>
        <v>68.869848892336449</v>
      </c>
      <c r="M83" s="75">
        <f t="shared" si="81"/>
        <v>69.241694692748254</v>
      </c>
      <c r="N83" s="75">
        <f t="shared" si="81"/>
        <v>69.615548183049142</v>
      </c>
      <c r="O83" s="75">
        <f t="shared" si="81"/>
        <v>111.1282106869738</v>
      </c>
      <c r="P83" s="75">
        <f t="shared" si="81"/>
        <v>133.10167205185692</v>
      </c>
      <c r="Q83" s="75">
        <f t="shared" si="81"/>
        <v>155.78474827702286</v>
      </c>
      <c r="R83" s="75">
        <f t="shared" si="81"/>
        <v>157.58226996620684</v>
      </c>
      <c r="S83" s="75">
        <f t="shared" si="81"/>
        <v>159.40541748278952</v>
      </c>
      <c r="T83" s="75">
        <f t="shared" si="81"/>
        <v>161.25459420581774</v>
      </c>
      <c r="U83" s="75">
        <f t="shared" si="81"/>
        <v>163.13021010387212</v>
      </c>
      <c r="V83" s="75">
        <f t="shared" si="81"/>
        <v>165.03268184408216</v>
      </c>
      <c r="W83" s="75">
        <f t="shared" si="81"/>
        <v>166.96243290295274</v>
      </c>
      <c r="X83" s="75">
        <f t="shared" si="81"/>
        <v>168.9198936790317</v>
      </c>
      <c r="Y83" s="75">
        <f t="shared" si="81"/>
        <v>170.90550160744897</v>
      </c>
      <c r="Z83" s="75">
        <f t="shared" si="81"/>
        <v>172.91970127635909</v>
      </c>
      <c r="AA83" s="75">
        <f t="shared" si="81"/>
        <v>174.96294454531795</v>
      </c>
      <c r="AB83" s="75">
        <f t="shared" si="81"/>
        <v>177.03569066562656</v>
      </c>
      <c r="AC83" s="75">
        <f t="shared" si="81"/>
        <v>179.13840640267415</v>
      </c>
      <c r="AD83" s="75">
        <f t="shared" si="81"/>
        <v>181.27156616031428</v>
      </c>
      <c r="AE83" s="75">
        <f t="shared" si="81"/>
        <v>183.43565210730725</v>
      </c>
      <c r="AF83" s="75">
        <f t="shared" si="81"/>
        <v>185.63115430586367</v>
      </c>
      <c r="AG83" s="75">
        <f t="shared" si="81"/>
        <v>187.8585708423241</v>
      </c>
      <c r="AH83" s="75">
        <f t="shared" si="81"/>
        <v>190.11840796000962</v>
      </c>
      <c r="AI83" s="75">
        <f t="shared" si="81"/>
        <v>192.41118019428058</v>
      </c>
      <c r="AJ83" s="75">
        <f t="shared" si="81"/>
        <v>194.73741050983935</v>
      </c>
      <c r="AK83" s="75">
        <f t="shared" si="81"/>
        <v>197.09763044031479</v>
      </c>
      <c r="AL83" s="75">
        <f t="shared" si="81"/>
        <v>199.49238023016625</v>
      </c>
      <c r="AM83" s="75">
        <f t="shared" si="81"/>
        <v>201.92220897894595</v>
      </c>
      <c r="AN83" s="75">
        <f t="shared" si="81"/>
        <v>204.38767478795859</v>
      </c>
      <c r="AO83" s="75">
        <f t="shared" si="81"/>
        <v>206.8893449093585</v>
      </c>
      <c r="AP83" s="75">
        <f t="shared" si="81"/>
        <v>209.42779589772437</v>
      </c>
      <c r="AQ83" s="75">
        <f t="shared" si="81"/>
        <v>212.00361376415344</v>
      </c>
      <c r="AR83" s="75">
        <f t="shared" si="81"/>
        <v>214.61739413291633</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09F8-59BE-4ABA-84B1-B8635A43E3AC}">
  <sheetPr>
    <tabColor theme="9"/>
  </sheetPr>
  <dimension ref="A1:AS82"/>
  <sheetViews>
    <sheetView workbookViewId="0">
      <pane xSplit="4" ySplit="11" topLeftCell="E42" activePane="bottomRight" state="frozen"/>
      <selection pane="topRight" activeCell="E1" sqref="E1"/>
      <selection pane="bottomLeft" activeCell="A12" sqref="A12"/>
      <selection pane="bottomRight" activeCell="D70" sqref="D70"/>
    </sheetView>
  </sheetViews>
  <sheetFormatPr defaultColWidth="0" defaultRowHeight="14.25" x14ac:dyDescent="0.2"/>
  <cols>
    <col min="1" max="1" width="10.85546875" style="1" customWidth="1"/>
    <col min="2" max="2" width="32.5703125" style="1" bestFit="1" customWidth="1"/>
    <col min="3" max="3" width="15.425781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10</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228</v>
      </c>
    </row>
    <row r="22" spans="1:44" x14ac:dyDescent="0.2">
      <c r="B22" s="1" t="str">
        <f>Traffic!B28</f>
        <v>Total Vehicular Traffic</v>
      </c>
      <c r="C22" s="235" t="s">
        <v>91</v>
      </c>
      <c r="D22" s="75">
        <f t="shared" ref="D22" si="13">SUM(F22:AR22)</f>
        <v>985873.22936411866</v>
      </c>
      <c r="F22" s="16">
        <f>Traffic!F28</f>
        <v>18157.5576510354</v>
      </c>
      <c r="G22" s="16">
        <f>Traffic!G28</f>
        <v>18459.814285905384</v>
      </c>
      <c r="H22" s="16">
        <f>Traffic!H28</f>
        <v>18767.102383435638</v>
      </c>
      <c r="I22" s="16">
        <f>Traffic!I28</f>
        <v>19079.505698996873</v>
      </c>
      <c r="J22" s="16">
        <f>Traffic!J28</f>
        <v>19397.109382179045</v>
      </c>
      <c r="K22" s="16">
        <f>Traffic!K28</f>
        <v>19720</v>
      </c>
      <c r="L22" s="16">
        <f>Traffic!L28</f>
        <v>20048.265560500433</v>
      </c>
      <c r="M22" s="16">
        <f>Traffic!M28</f>
        <v>20381.995536731629</v>
      </c>
      <c r="N22" s="16">
        <f>Traffic!N28</f>
        <v>20721.280891142509</v>
      </c>
      <c r="O22" s="16">
        <f>Traffic!O28</f>
        <v>21066.214100372621</v>
      </c>
      <c r="P22" s="16">
        <f>Traffic!P28</f>
        <v>21416.889180457863</v>
      </c>
      <c r="Q22" s="16">
        <f>Traffic!Q28</f>
        <v>21773.401712455769</v>
      </c>
      <c r="R22" s="16">
        <f>Traffic!R28</f>
        <v>22135.848868497371</v>
      </c>
      <c r="S22" s="16">
        <f>Traffic!S28</f>
        <v>22504.329438272736</v>
      </c>
      <c r="T22" s="16">
        <f>Traffic!T28</f>
        <v>22878.943855957372</v>
      </c>
      <c r="U22" s="16">
        <f>Traffic!U28</f>
        <v>23259.794227586874</v>
      </c>
      <c r="V22" s="16">
        <f>Traffic!V28</f>
        <v>23646.984358887257</v>
      </c>
      <c r="W22" s="16">
        <f>Traffic!W28</f>
        <v>24040.619783568553</v>
      </c>
      <c r="X22" s="16">
        <f>Traffic!X28</f>
        <v>24440.807792089392</v>
      </c>
      <c r="Y22" s="16">
        <f>Traffic!Y28</f>
        <v>24847.657460900427</v>
      </c>
      <c r="Z22" s="16">
        <f>Traffic!Z28</f>
        <v>25261.279682174529</v>
      </c>
      <c r="AA22" s="16">
        <f>Traffic!AA28</f>
        <v>25681.787194031895</v>
      </c>
      <c r="AB22" s="16">
        <f>Traffic!AB28</f>
        <v>26109.294611268291</v>
      </c>
      <c r="AC22" s="16">
        <f>Traffic!AC28</f>
        <v>26543.918456594809</v>
      </c>
      <c r="AD22" s="16">
        <f>Traffic!AD28</f>
        <v>26985.777192397643</v>
      </c>
      <c r="AE22" s="16">
        <f>Traffic!AE28</f>
        <v>27434.991253026561</v>
      </c>
      <c r="AF22" s="16">
        <f>Traffic!AF28</f>
        <v>27891.683077620844</v>
      </c>
      <c r="AG22" s="16">
        <f>Traffic!AG28</f>
        <v>28355.977143481679</v>
      </c>
      <c r="AH22" s="16">
        <f>Traffic!AH28</f>
        <v>28828.000000000062</v>
      </c>
      <c r="AI22" s="16">
        <f>Traffic!AI28</f>
        <v>29307.880303149479</v>
      </c>
      <c r="AJ22" s="16">
        <f>Traffic!AJ28</f>
        <v>29795.748850552773</v>
      </c>
      <c r="AK22" s="16">
        <f>Traffic!AK28</f>
        <v>30291.738617132734</v>
      </c>
      <c r="AL22" s="16">
        <f>Traffic!AL28</f>
        <v>30795.984791356146</v>
      </c>
      <c r="AM22" s="16">
        <f>Traffic!AM28</f>
        <v>31308.624812081165</v>
      </c>
      <c r="AN22" s="16">
        <f>Traffic!AN28</f>
        <v>31829.798406018061</v>
      </c>
      <c r="AO22" s="16">
        <f>Traffic!AO28</f>
        <v>32359.647625813563</v>
      </c>
      <c r="AP22" s="16">
        <f>Traffic!AP28</f>
        <v>32898.31688876915</v>
      </c>
      <c r="AQ22" s="16">
        <f>Traffic!AQ28</f>
        <v>33445.953016203872</v>
      </c>
      <c r="AR22" s="16">
        <f>Traffic!AR28</f>
        <v>34002.705273472398</v>
      </c>
    </row>
    <row r="23" spans="1:44" x14ac:dyDescent="0.2">
      <c r="C23" s="235"/>
      <c r="D23" s="7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ht="15" x14ac:dyDescent="0.25">
      <c r="A24" s="2" t="s">
        <v>229</v>
      </c>
      <c r="C24" s="235"/>
      <c r="D24" s="7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1:44" x14ac:dyDescent="0.2">
      <c r="B25" s="1" t="str">
        <f>'REF Accidents'!$B$9</f>
        <v>Non-incapacitating injuries or possible injury</v>
      </c>
      <c r="C25" s="235" t="s">
        <v>99</v>
      </c>
      <c r="D25" s="93">
        <f>Inputs!E60</f>
        <v>1.7777777777777777</v>
      </c>
      <c r="F25" s="17">
        <f t="shared" ref="F25:O27" si="14">IF(F$7=$D$28,$D25/F$22,0)</f>
        <v>0</v>
      </c>
      <c r="G25" s="17">
        <f t="shared" si="14"/>
        <v>0</v>
      </c>
      <c r="H25" s="17">
        <f t="shared" si="14"/>
        <v>0</v>
      </c>
      <c r="I25" s="17">
        <f t="shared" si="14"/>
        <v>9.317734986558097E-5</v>
      </c>
      <c r="J25" s="17">
        <f t="shared" si="14"/>
        <v>0</v>
      </c>
      <c r="K25" s="17">
        <f t="shared" si="14"/>
        <v>0</v>
      </c>
      <c r="L25" s="17">
        <f t="shared" si="14"/>
        <v>0</v>
      </c>
      <c r="M25" s="17">
        <f t="shared" si="14"/>
        <v>0</v>
      </c>
      <c r="N25" s="17">
        <f t="shared" si="14"/>
        <v>0</v>
      </c>
      <c r="O25" s="17">
        <f t="shared" si="14"/>
        <v>0</v>
      </c>
      <c r="P25" s="17">
        <f t="shared" ref="P25:Y27" si="15">IF(P$7=$D$28,$D25/P$22,0)</f>
        <v>0</v>
      </c>
      <c r="Q25" s="17">
        <f t="shared" si="15"/>
        <v>0</v>
      </c>
      <c r="R25" s="17">
        <f t="shared" si="15"/>
        <v>0</v>
      </c>
      <c r="S25" s="17">
        <f t="shared" si="15"/>
        <v>0</v>
      </c>
      <c r="T25" s="17">
        <f t="shared" si="15"/>
        <v>0</v>
      </c>
      <c r="U25" s="17">
        <f t="shared" si="15"/>
        <v>0</v>
      </c>
      <c r="V25" s="17">
        <f t="shared" si="15"/>
        <v>0</v>
      </c>
      <c r="W25" s="17">
        <f t="shared" si="15"/>
        <v>0</v>
      </c>
      <c r="X25" s="17">
        <f t="shared" si="15"/>
        <v>0</v>
      </c>
      <c r="Y25" s="17">
        <f t="shared" si="15"/>
        <v>0</v>
      </c>
      <c r="Z25" s="17">
        <f t="shared" ref="Z25:AI27" si="16">IF(Z$7=$D$28,$D25/Z$22,0)</f>
        <v>0</v>
      </c>
      <c r="AA25" s="17">
        <f t="shared" si="16"/>
        <v>0</v>
      </c>
      <c r="AB25" s="17">
        <f t="shared" si="16"/>
        <v>0</v>
      </c>
      <c r="AC25" s="17">
        <f t="shared" si="16"/>
        <v>0</v>
      </c>
      <c r="AD25" s="17">
        <f t="shared" si="16"/>
        <v>0</v>
      </c>
      <c r="AE25" s="17">
        <f t="shared" si="16"/>
        <v>0</v>
      </c>
      <c r="AF25" s="17">
        <f t="shared" si="16"/>
        <v>0</v>
      </c>
      <c r="AG25" s="17">
        <f t="shared" si="16"/>
        <v>0</v>
      </c>
      <c r="AH25" s="17">
        <f t="shared" si="16"/>
        <v>0</v>
      </c>
      <c r="AI25" s="17">
        <f t="shared" si="16"/>
        <v>0</v>
      </c>
      <c r="AJ25" s="17">
        <f t="shared" ref="AJ25:AR27" si="17">IF(AJ$7=$D$28,$D25/AJ$22,0)</f>
        <v>0</v>
      </c>
      <c r="AK25" s="17">
        <f t="shared" si="17"/>
        <v>0</v>
      </c>
      <c r="AL25" s="17">
        <f t="shared" si="17"/>
        <v>0</v>
      </c>
      <c r="AM25" s="17">
        <f t="shared" si="17"/>
        <v>0</v>
      </c>
      <c r="AN25" s="17">
        <f t="shared" si="17"/>
        <v>0</v>
      </c>
      <c r="AO25" s="17">
        <f t="shared" si="17"/>
        <v>0</v>
      </c>
      <c r="AP25" s="17">
        <f t="shared" si="17"/>
        <v>0</v>
      </c>
      <c r="AQ25" s="17">
        <f t="shared" si="17"/>
        <v>0</v>
      </c>
      <c r="AR25" s="17">
        <f t="shared" si="17"/>
        <v>0</v>
      </c>
    </row>
    <row r="26" spans="1:44" x14ac:dyDescent="0.2">
      <c r="B26" s="1" t="str">
        <f>'REF Accidents'!$B$10</f>
        <v>PDO</v>
      </c>
      <c r="C26" s="235" t="s">
        <v>99</v>
      </c>
      <c r="D26" s="93">
        <f>Inputs!E61</f>
        <v>2</v>
      </c>
      <c r="F26" s="17">
        <f t="shared" si="14"/>
        <v>0</v>
      </c>
      <c r="G26" s="17">
        <f t="shared" si="14"/>
        <v>0</v>
      </c>
      <c r="H26" s="17">
        <f t="shared" si="14"/>
        <v>0</v>
      </c>
      <c r="I26" s="17">
        <f t="shared" si="14"/>
        <v>1.048245185987786E-4</v>
      </c>
      <c r="J26" s="17">
        <f t="shared" si="14"/>
        <v>0</v>
      </c>
      <c r="K26" s="17">
        <f t="shared" si="14"/>
        <v>0</v>
      </c>
      <c r="L26" s="17">
        <f t="shared" si="14"/>
        <v>0</v>
      </c>
      <c r="M26" s="17">
        <f t="shared" si="14"/>
        <v>0</v>
      </c>
      <c r="N26" s="17">
        <f t="shared" si="14"/>
        <v>0</v>
      </c>
      <c r="O26" s="17">
        <f t="shared" si="14"/>
        <v>0</v>
      </c>
      <c r="P26" s="17">
        <f t="shared" si="15"/>
        <v>0</v>
      </c>
      <c r="Q26" s="17">
        <f t="shared" si="15"/>
        <v>0</v>
      </c>
      <c r="R26" s="17">
        <f t="shared" si="15"/>
        <v>0</v>
      </c>
      <c r="S26" s="17">
        <f t="shared" si="15"/>
        <v>0</v>
      </c>
      <c r="T26" s="17">
        <f t="shared" si="15"/>
        <v>0</v>
      </c>
      <c r="U26" s="17">
        <f t="shared" si="15"/>
        <v>0</v>
      </c>
      <c r="V26" s="17">
        <f t="shared" si="15"/>
        <v>0</v>
      </c>
      <c r="W26" s="17">
        <f t="shared" si="15"/>
        <v>0</v>
      </c>
      <c r="X26" s="17">
        <f t="shared" si="15"/>
        <v>0</v>
      </c>
      <c r="Y26" s="17">
        <f t="shared" si="15"/>
        <v>0</v>
      </c>
      <c r="Z26" s="17">
        <f t="shared" si="16"/>
        <v>0</v>
      </c>
      <c r="AA26" s="17">
        <f t="shared" si="16"/>
        <v>0</v>
      </c>
      <c r="AB26" s="17">
        <f t="shared" si="16"/>
        <v>0</v>
      </c>
      <c r="AC26" s="17">
        <f t="shared" si="16"/>
        <v>0</v>
      </c>
      <c r="AD26" s="17">
        <f t="shared" si="16"/>
        <v>0</v>
      </c>
      <c r="AE26" s="17">
        <f t="shared" si="16"/>
        <v>0</v>
      </c>
      <c r="AF26" s="17">
        <f t="shared" si="16"/>
        <v>0</v>
      </c>
      <c r="AG26" s="17">
        <f t="shared" si="16"/>
        <v>0</v>
      </c>
      <c r="AH26" s="17">
        <f t="shared" si="16"/>
        <v>0</v>
      </c>
      <c r="AI26" s="17">
        <f t="shared" si="16"/>
        <v>0</v>
      </c>
      <c r="AJ26" s="17">
        <f t="shared" si="17"/>
        <v>0</v>
      </c>
      <c r="AK26" s="17">
        <f t="shared" si="17"/>
        <v>0</v>
      </c>
      <c r="AL26" s="17">
        <f t="shared" si="17"/>
        <v>0</v>
      </c>
      <c r="AM26" s="17">
        <f t="shared" si="17"/>
        <v>0</v>
      </c>
      <c r="AN26" s="17">
        <f t="shared" si="17"/>
        <v>0</v>
      </c>
      <c r="AO26" s="17">
        <f t="shared" si="17"/>
        <v>0</v>
      </c>
      <c r="AP26" s="17">
        <f t="shared" si="17"/>
        <v>0</v>
      </c>
      <c r="AQ26" s="17">
        <f t="shared" si="17"/>
        <v>0</v>
      </c>
      <c r="AR26" s="17">
        <f t="shared" si="17"/>
        <v>0</v>
      </c>
    </row>
    <row r="27" spans="1:44" x14ac:dyDescent="0.2">
      <c r="B27" s="1" t="str">
        <f>'REF Accidents'!$B$11</f>
        <v>Total Crashes</v>
      </c>
      <c r="C27" s="235" t="s">
        <v>99</v>
      </c>
      <c r="D27" s="93">
        <f>Inputs!E62</f>
        <v>3.7777777777777777</v>
      </c>
      <c r="F27" s="17">
        <f t="shared" si="14"/>
        <v>0</v>
      </c>
      <c r="G27" s="17">
        <f t="shared" si="14"/>
        <v>0</v>
      </c>
      <c r="H27" s="17">
        <f t="shared" si="14"/>
        <v>0</v>
      </c>
      <c r="I27" s="17">
        <f t="shared" si="14"/>
        <v>1.9800186846435957E-4</v>
      </c>
      <c r="J27" s="17">
        <f t="shared" si="14"/>
        <v>0</v>
      </c>
      <c r="K27" s="17">
        <f t="shared" si="14"/>
        <v>0</v>
      </c>
      <c r="L27" s="17">
        <f t="shared" si="14"/>
        <v>0</v>
      </c>
      <c r="M27" s="17">
        <f t="shared" si="14"/>
        <v>0</v>
      </c>
      <c r="N27" s="17">
        <f t="shared" si="14"/>
        <v>0</v>
      </c>
      <c r="O27" s="17">
        <f t="shared" si="14"/>
        <v>0</v>
      </c>
      <c r="P27" s="17">
        <f t="shared" si="15"/>
        <v>0</v>
      </c>
      <c r="Q27" s="17">
        <f t="shared" si="15"/>
        <v>0</v>
      </c>
      <c r="R27" s="17">
        <f t="shared" si="15"/>
        <v>0</v>
      </c>
      <c r="S27" s="17">
        <f t="shared" si="15"/>
        <v>0</v>
      </c>
      <c r="T27" s="17">
        <f t="shared" si="15"/>
        <v>0</v>
      </c>
      <c r="U27" s="17">
        <f t="shared" si="15"/>
        <v>0</v>
      </c>
      <c r="V27" s="17">
        <f t="shared" si="15"/>
        <v>0</v>
      </c>
      <c r="W27" s="17">
        <f t="shared" si="15"/>
        <v>0</v>
      </c>
      <c r="X27" s="17">
        <f t="shared" si="15"/>
        <v>0</v>
      </c>
      <c r="Y27" s="17">
        <f t="shared" si="15"/>
        <v>0</v>
      </c>
      <c r="Z27" s="17">
        <f t="shared" si="16"/>
        <v>0</v>
      </c>
      <c r="AA27" s="17">
        <f t="shared" si="16"/>
        <v>0</v>
      </c>
      <c r="AB27" s="17">
        <f t="shared" si="16"/>
        <v>0</v>
      </c>
      <c r="AC27" s="17">
        <f t="shared" si="16"/>
        <v>0</v>
      </c>
      <c r="AD27" s="17">
        <f t="shared" si="16"/>
        <v>0</v>
      </c>
      <c r="AE27" s="17">
        <f t="shared" si="16"/>
        <v>0</v>
      </c>
      <c r="AF27" s="17">
        <f t="shared" si="16"/>
        <v>0</v>
      </c>
      <c r="AG27" s="17">
        <f t="shared" si="16"/>
        <v>0</v>
      </c>
      <c r="AH27" s="17">
        <f t="shared" si="16"/>
        <v>0</v>
      </c>
      <c r="AI27" s="17">
        <f t="shared" si="16"/>
        <v>0</v>
      </c>
      <c r="AJ27" s="17">
        <f t="shared" si="17"/>
        <v>0</v>
      </c>
      <c r="AK27" s="17">
        <f t="shared" si="17"/>
        <v>0</v>
      </c>
      <c r="AL27" s="17">
        <f t="shared" si="17"/>
        <v>0</v>
      </c>
      <c r="AM27" s="17">
        <f t="shared" si="17"/>
        <v>0</v>
      </c>
      <c r="AN27" s="17">
        <f t="shared" si="17"/>
        <v>0</v>
      </c>
      <c r="AO27" s="17">
        <f t="shared" si="17"/>
        <v>0</v>
      </c>
      <c r="AP27" s="17">
        <f t="shared" si="17"/>
        <v>0</v>
      </c>
      <c r="AQ27" s="17">
        <f t="shared" si="17"/>
        <v>0</v>
      </c>
      <c r="AR27" s="17">
        <f t="shared" si="17"/>
        <v>0</v>
      </c>
    </row>
    <row r="28" spans="1:44" x14ac:dyDescent="0.2">
      <c r="B28" s="1" t="str">
        <f>'REF Accidents'!$B$11</f>
        <v>Total Crashes</v>
      </c>
      <c r="C28" s="235" t="s">
        <v>44</v>
      </c>
      <c r="D28" s="20">
        <f>Inputs!E63</f>
        <v>2021</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1:44" x14ac:dyDescent="0.2">
      <c r="C29" s="235"/>
      <c r="D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1:44" ht="15" x14ac:dyDescent="0.25">
      <c r="A30" s="2" t="s">
        <v>230</v>
      </c>
      <c r="C30" s="235"/>
      <c r="D30" s="7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1:44" x14ac:dyDescent="0.2">
      <c r="B31" s="1" t="s">
        <v>103</v>
      </c>
      <c r="C31" s="235" t="s">
        <v>99</v>
      </c>
      <c r="D31" s="95">
        <f>SUM(F25:AR25)</f>
        <v>9.317734986558097E-5</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44" x14ac:dyDescent="0.2">
      <c r="B32" s="1" t="s">
        <v>106</v>
      </c>
      <c r="C32" s="235" t="s">
        <v>99</v>
      </c>
      <c r="D32" s="95">
        <f>SUM(F26:AR26)</f>
        <v>1.048245185987786E-4</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1:44" x14ac:dyDescent="0.2">
      <c r="B33" s="1" t="s">
        <v>231</v>
      </c>
      <c r="C33" s="235" t="s">
        <v>232</v>
      </c>
      <c r="D33" s="95">
        <f>SUM(F27:AR27)</f>
        <v>1.9800186846435957E-4</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x14ac:dyDescent="0.2">
      <c r="C34" s="235"/>
      <c r="D34" s="17"/>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ht="15" x14ac:dyDescent="0.25">
      <c r="A35" s="2" t="s">
        <v>233</v>
      </c>
      <c r="C35" s="235"/>
      <c r="D35" s="17"/>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x14ac:dyDescent="0.2">
      <c r="B36" s="1" t="s">
        <v>103</v>
      </c>
      <c r="C36" s="235" t="s">
        <v>104</v>
      </c>
      <c r="D36" s="5">
        <f>Inputs!$E$64</f>
        <v>233800</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1:44" x14ac:dyDescent="0.2">
      <c r="B37" s="1" t="s">
        <v>106</v>
      </c>
      <c r="C37" s="235" t="s">
        <v>104</v>
      </c>
      <c r="D37" s="5">
        <f>Inputs!$E$65</f>
        <v>9100</v>
      </c>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x14ac:dyDescent="0.2">
      <c r="C38" s="235"/>
      <c r="D38" s="17"/>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ht="15" x14ac:dyDescent="0.25">
      <c r="A39" s="2" t="s">
        <v>234</v>
      </c>
      <c r="C39" s="235"/>
      <c r="D39" s="75"/>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1:44" ht="15" x14ac:dyDescent="0.25">
      <c r="A40" s="2"/>
      <c r="B40" s="1" t="s">
        <v>103</v>
      </c>
      <c r="C40" s="235" t="s">
        <v>235</v>
      </c>
      <c r="D40" s="75">
        <f>SUM(F40:AR40)</f>
        <v>91.861054815570654</v>
      </c>
      <c r="F40" s="16">
        <f t="shared" ref="F40:AR40" si="18">$D$31*F22</f>
        <v>1.691873101954982</v>
      </c>
      <c r="G40" s="16">
        <f t="shared" si="18"/>
        <v>1.7200365741714556</v>
      </c>
      <c r="H40" s="16">
        <f t="shared" si="18"/>
        <v>1.748668864744561</v>
      </c>
      <c r="I40" s="16">
        <f t="shared" si="18"/>
        <v>1.7777777777777777</v>
      </c>
      <c r="J40" s="16">
        <f t="shared" si="18"/>
        <v>1.80737124728424</v>
      </c>
      <c r="K40" s="16">
        <f t="shared" si="18"/>
        <v>1.8374573393492568</v>
      </c>
      <c r="L40" s="16">
        <f t="shared" si="18"/>
        <v>1.8680442543288267</v>
      </c>
      <c r="M40" s="16">
        <f t="shared" si="18"/>
        <v>1.8991403290847528</v>
      </c>
      <c r="N40" s="16">
        <f t="shared" si="18"/>
        <v>1.9307540392569631</v>
      </c>
      <c r="O40" s="16">
        <f t="shared" si="18"/>
        <v>1.9628940015736547</v>
      </c>
      <c r="P40" s="16">
        <f t="shared" si="18"/>
        <v>1.995568976199898</v>
      </c>
      <c r="Q40" s="16">
        <f t="shared" si="18"/>
        <v>2.0287878691253312</v>
      </c>
      <c r="R40" s="16">
        <f t="shared" si="18"/>
        <v>2.0625597345916042</v>
      </c>
      <c r="S40" s="16">
        <f t="shared" si="18"/>
        <v>2.0968937775602319</v>
      </c>
      <c r="T40" s="16">
        <f t="shared" si="18"/>
        <v>2.1317993562215243</v>
      </c>
      <c r="U40" s="16">
        <f t="shared" si="18"/>
        <v>2.1672859845452828</v>
      </c>
      <c r="V40" s="16">
        <f t="shared" si="18"/>
        <v>2.2033633348739587</v>
      </c>
      <c r="W40" s="16">
        <f t="shared" si="18"/>
        <v>2.2400412405589747</v>
      </c>
      <c r="X40" s="16">
        <f t="shared" si="18"/>
        <v>2.2773296986409308</v>
      </c>
      <c r="Y40" s="16">
        <f t="shared" si="18"/>
        <v>2.3152388725744326</v>
      </c>
      <c r="Z40" s="16">
        <f t="shared" si="18"/>
        <v>2.3537790949982682</v>
      </c>
      <c r="AA40" s="16">
        <f t="shared" si="18"/>
        <v>2.3929608705517067</v>
      </c>
      <c r="AB40" s="16">
        <f t="shared" si="18"/>
        <v>2.4327948787376736</v>
      </c>
      <c r="AC40" s="16">
        <f t="shared" si="18"/>
        <v>2.4732919768335866</v>
      </c>
      <c r="AD40" s="16">
        <f t="shared" si="18"/>
        <v>2.5144632028506506</v>
      </c>
      <c r="AE40" s="16">
        <f t="shared" si="18"/>
        <v>2.5563197785424094</v>
      </c>
      <c r="AF40" s="16">
        <f t="shared" si="18"/>
        <v>2.5988731124633815</v>
      </c>
      <c r="AG40" s="16">
        <f t="shared" si="18"/>
        <v>2.6421348030786098</v>
      </c>
      <c r="AH40" s="16">
        <f t="shared" si="18"/>
        <v>2.6861166419249738</v>
      </c>
      <c r="AI40" s="16">
        <f t="shared" si="18"/>
        <v>2.7308306168251284</v>
      </c>
      <c r="AJ40" s="16">
        <f t="shared" si="18"/>
        <v>2.7762889151549377</v>
      </c>
      <c r="AK40" s="16">
        <f t="shared" si="18"/>
        <v>2.8225039271653065</v>
      </c>
      <c r="AL40" s="16">
        <f t="shared" si="18"/>
        <v>2.8694882493593021</v>
      </c>
      <c r="AM40" s="16">
        <f t="shared" si="18"/>
        <v>2.9172546879254959</v>
      </c>
      <c r="AN40" s="16">
        <f t="shared" si="18"/>
        <v>2.9658162622284565</v>
      </c>
      <c r="AO40" s="16">
        <f t="shared" si="18"/>
        <v>3.0151862083573469</v>
      </c>
      <c r="AP40" s="16">
        <f t="shared" si="18"/>
        <v>3.0653779827335943</v>
      </c>
      <c r="AQ40" s="16">
        <f t="shared" si="18"/>
        <v>3.1164052657786114</v>
      </c>
      <c r="AR40" s="16">
        <f t="shared" si="18"/>
        <v>3.1682819656425729</v>
      </c>
    </row>
    <row r="41" spans="1:44" ht="15" x14ac:dyDescent="0.25">
      <c r="A41" s="2"/>
      <c r="B41" s="1" t="s">
        <v>106</v>
      </c>
      <c r="C41" s="235" t="s">
        <v>235</v>
      </c>
      <c r="D41" s="75">
        <f>SUM(F41:AR41)</f>
        <v>103.34368666751701</v>
      </c>
      <c r="F41" s="16">
        <f t="shared" ref="F41:AR41" si="19">$D$32*F22</f>
        <v>1.903357239699355</v>
      </c>
      <c r="G41" s="16">
        <f t="shared" si="19"/>
        <v>1.9350411459428878</v>
      </c>
      <c r="H41" s="16">
        <f t="shared" si="19"/>
        <v>1.9672524728376313</v>
      </c>
      <c r="I41" s="16">
        <f t="shared" si="19"/>
        <v>2</v>
      </c>
      <c r="J41" s="16">
        <f t="shared" si="19"/>
        <v>2.0332926531947701</v>
      </c>
      <c r="K41" s="16">
        <f t="shared" si="19"/>
        <v>2.0671395067679139</v>
      </c>
      <c r="L41" s="16">
        <f t="shared" si="19"/>
        <v>2.1015497861199299</v>
      </c>
      <c r="M41" s="16">
        <f t="shared" si="19"/>
        <v>2.1365328702203468</v>
      </c>
      <c r="N41" s="16">
        <f t="shared" si="19"/>
        <v>2.1720982941640834</v>
      </c>
      <c r="O41" s="16">
        <f t="shared" si="19"/>
        <v>2.2082557517703618</v>
      </c>
      <c r="P41" s="16">
        <f t="shared" si="19"/>
        <v>2.2450150982248855</v>
      </c>
      <c r="Q41" s="16">
        <f t="shared" si="19"/>
        <v>2.2823863527659976</v>
      </c>
      <c r="R41" s="16">
        <f t="shared" si="19"/>
        <v>2.3203797014155549</v>
      </c>
      <c r="S41" s="16">
        <f t="shared" si="19"/>
        <v>2.359005499755261</v>
      </c>
      <c r="T41" s="16">
        <f t="shared" si="19"/>
        <v>2.3982742757492148</v>
      </c>
      <c r="U41" s="16">
        <f t="shared" si="19"/>
        <v>2.4381967326134433</v>
      </c>
      <c r="V41" s="16">
        <f t="shared" si="19"/>
        <v>2.4787837517332041</v>
      </c>
      <c r="W41" s="16">
        <f t="shared" si="19"/>
        <v>2.5200463956288464</v>
      </c>
      <c r="X41" s="16">
        <f t="shared" si="19"/>
        <v>2.5619959109710475</v>
      </c>
      <c r="Y41" s="16">
        <f t="shared" si="19"/>
        <v>2.6046437316462367</v>
      </c>
      <c r="Z41" s="16">
        <f t="shared" si="19"/>
        <v>2.648001481873052</v>
      </c>
      <c r="AA41" s="16">
        <f t="shared" si="19"/>
        <v>2.6920809793706701</v>
      </c>
      <c r="AB41" s="16">
        <f t="shared" si="19"/>
        <v>2.7368942385798829</v>
      </c>
      <c r="AC41" s="16">
        <f t="shared" si="19"/>
        <v>2.7824534739377849</v>
      </c>
      <c r="AD41" s="16">
        <f t="shared" si="19"/>
        <v>2.8287711032069822</v>
      </c>
      <c r="AE41" s="16">
        <f t="shared" si="19"/>
        <v>2.8758597508602111</v>
      </c>
      <c r="AF41" s="16">
        <f t="shared" si="19"/>
        <v>2.9237322515213044</v>
      </c>
      <c r="AG41" s="16">
        <f t="shared" si="19"/>
        <v>2.9724016534634359</v>
      </c>
      <c r="AH41" s="16">
        <f t="shared" si="19"/>
        <v>3.0218812221655957</v>
      </c>
      <c r="AI41" s="16">
        <f t="shared" si="19"/>
        <v>3.0721844439282693</v>
      </c>
      <c r="AJ41" s="16">
        <f t="shared" si="19"/>
        <v>3.1233250295493051</v>
      </c>
      <c r="AK41" s="16">
        <f t="shared" si="19"/>
        <v>3.1753169180609704</v>
      </c>
      <c r="AL41" s="16">
        <f t="shared" si="19"/>
        <v>3.2281742805292151</v>
      </c>
      <c r="AM41" s="16">
        <f t="shared" si="19"/>
        <v>3.2819115239161833</v>
      </c>
      <c r="AN41" s="16">
        <f t="shared" si="19"/>
        <v>3.3365432950070137</v>
      </c>
      <c r="AO41" s="16">
        <f t="shared" si="19"/>
        <v>3.3920844844020155</v>
      </c>
      <c r="AP41" s="16">
        <f t="shared" si="19"/>
        <v>3.448550230575294</v>
      </c>
      <c r="AQ41" s="16">
        <f t="shared" si="19"/>
        <v>3.5059559240009377</v>
      </c>
      <c r="AR41" s="16">
        <f t="shared" si="19"/>
        <v>3.5643172113478947</v>
      </c>
    </row>
    <row r="42" spans="1:44" ht="15" x14ac:dyDescent="0.25">
      <c r="A42" s="2"/>
      <c r="B42" s="1" t="s">
        <v>231</v>
      </c>
      <c r="C42" s="235" t="s">
        <v>235</v>
      </c>
      <c r="D42" s="75">
        <f>SUM(F42:AR42)</f>
        <v>195.20474148308767</v>
      </c>
      <c r="F42" s="16">
        <f>SUM(F40:F41)</f>
        <v>3.5952303416543367</v>
      </c>
      <c r="G42" s="16">
        <f t="shared" ref="G42:AR42" si="20">SUM(G40:G41)</f>
        <v>3.6550777201143436</v>
      </c>
      <c r="H42" s="16">
        <f t="shared" si="20"/>
        <v>3.7159213375821922</v>
      </c>
      <c r="I42" s="16">
        <f t="shared" si="20"/>
        <v>3.7777777777777777</v>
      </c>
      <c r="J42" s="16">
        <f t="shared" si="20"/>
        <v>3.8406639004790102</v>
      </c>
      <c r="K42" s="16">
        <f t="shared" si="20"/>
        <v>3.9045968461171707</v>
      </c>
      <c r="L42" s="16">
        <f t="shared" si="20"/>
        <v>3.9695940404487566</v>
      </c>
      <c r="M42" s="16">
        <f t="shared" si="20"/>
        <v>4.0356731993050996</v>
      </c>
      <c r="N42" s="16">
        <f t="shared" si="20"/>
        <v>4.1028523334210467</v>
      </c>
      <c r="O42" s="16">
        <f t="shared" si="20"/>
        <v>4.1711497533440163</v>
      </c>
      <c r="P42" s="16">
        <f t="shared" si="20"/>
        <v>4.2405840744247838</v>
      </c>
      <c r="Q42" s="16">
        <f t="shared" si="20"/>
        <v>4.3111742218913287</v>
      </c>
      <c r="R42" s="16">
        <f t="shared" si="20"/>
        <v>4.3829394360071596</v>
      </c>
      <c r="S42" s="16">
        <f t="shared" si="20"/>
        <v>4.4558992773154928</v>
      </c>
      <c r="T42" s="16">
        <f t="shared" si="20"/>
        <v>4.5300736319707386</v>
      </c>
      <c r="U42" s="16">
        <f t="shared" si="20"/>
        <v>4.6054827171587256</v>
      </c>
      <c r="V42" s="16">
        <f t="shared" si="20"/>
        <v>4.6821470866071628</v>
      </c>
      <c r="W42" s="16">
        <f t="shared" si="20"/>
        <v>4.760087636187821</v>
      </c>
      <c r="X42" s="16">
        <f t="shared" si="20"/>
        <v>4.8393256096119783</v>
      </c>
      <c r="Y42" s="16">
        <f t="shared" si="20"/>
        <v>4.9198826042206694</v>
      </c>
      <c r="Z42" s="16">
        <f t="shared" si="20"/>
        <v>5.0017805768713206</v>
      </c>
      <c r="AA42" s="16">
        <f t="shared" si="20"/>
        <v>5.0850418499223764</v>
      </c>
      <c r="AB42" s="16">
        <f t="shared" si="20"/>
        <v>5.1696891173175565</v>
      </c>
      <c r="AC42" s="16">
        <f t="shared" si="20"/>
        <v>5.2557454507713715</v>
      </c>
      <c r="AD42" s="16">
        <f t="shared" si="20"/>
        <v>5.3432343060576333</v>
      </c>
      <c r="AE42" s="16">
        <f t="shared" si="20"/>
        <v>5.4321795294026209</v>
      </c>
      <c r="AF42" s="16">
        <f t="shared" si="20"/>
        <v>5.5226053639846864</v>
      </c>
      <c r="AG42" s="16">
        <f t="shared" si="20"/>
        <v>5.6145364565420461</v>
      </c>
      <c r="AH42" s="16">
        <f t="shared" si="20"/>
        <v>5.7079978640905695</v>
      </c>
      <c r="AI42" s="16">
        <f t="shared" si="20"/>
        <v>5.8030150607533972</v>
      </c>
      <c r="AJ42" s="16">
        <f t="shared" si="20"/>
        <v>5.8996139447042424</v>
      </c>
      <c r="AK42" s="16">
        <f t="shared" si="20"/>
        <v>5.9978208452262773</v>
      </c>
      <c r="AL42" s="16">
        <f t="shared" si="20"/>
        <v>6.0976625298885168</v>
      </c>
      <c r="AM42" s="16">
        <f t="shared" si="20"/>
        <v>6.1991662118416793</v>
      </c>
      <c r="AN42" s="16">
        <f t="shared" si="20"/>
        <v>6.3023595572354703</v>
      </c>
      <c r="AO42" s="16">
        <f t="shared" si="20"/>
        <v>6.4072706927593623</v>
      </c>
      <c r="AP42" s="16">
        <f t="shared" si="20"/>
        <v>6.5139282133088887</v>
      </c>
      <c r="AQ42" s="16">
        <f t="shared" si="20"/>
        <v>6.6223611897795491</v>
      </c>
      <c r="AR42" s="16">
        <f t="shared" si="20"/>
        <v>6.7325991769904672</v>
      </c>
    </row>
    <row r="43" spans="1:44" ht="15" x14ac:dyDescent="0.25">
      <c r="A43" s="2"/>
      <c r="B43" s="1" t="s">
        <v>1022</v>
      </c>
      <c r="C43" s="235" t="s">
        <v>235</v>
      </c>
      <c r="D43" s="75">
        <f>SUM(F43:AR43)</f>
        <v>98.031556563700036</v>
      </c>
      <c r="F43" s="16">
        <f t="shared" ref="F43:G43" si="21">F42*F$11</f>
        <v>0</v>
      </c>
      <c r="G43" s="16">
        <f t="shared" si="21"/>
        <v>0</v>
      </c>
      <c r="H43" s="16">
        <f>H42*H$11</f>
        <v>0</v>
      </c>
      <c r="I43" s="16">
        <f t="shared" ref="I43:AR43" si="22">I42*I$11</f>
        <v>0</v>
      </c>
      <c r="J43" s="16">
        <f t="shared" si="22"/>
        <v>0</v>
      </c>
      <c r="K43" s="16">
        <f t="shared" si="22"/>
        <v>0</v>
      </c>
      <c r="L43" s="16">
        <f t="shared" si="22"/>
        <v>0</v>
      </c>
      <c r="M43" s="16">
        <f t="shared" si="22"/>
        <v>0</v>
      </c>
      <c r="N43" s="16">
        <f t="shared" si="22"/>
        <v>0</v>
      </c>
      <c r="O43" s="16">
        <f t="shared" si="22"/>
        <v>4.1711497533440163</v>
      </c>
      <c r="P43" s="16">
        <f t="shared" si="22"/>
        <v>4.2405840744247838</v>
      </c>
      <c r="Q43" s="16">
        <f t="shared" si="22"/>
        <v>4.3111742218913287</v>
      </c>
      <c r="R43" s="16">
        <f t="shared" si="22"/>
        <v>4.3829394360071596</v>
      </c>
      <c r="S43" s="16">
        <f t="shared" si="22"/>
        <v>4.4558992773154928</v>
      </c>
      <c r="T43" s="16">
        <f t="shared" si="22"/>
        <v>4.5300736319707386</v>
      </c>
      <c r="U43" s="16">
        <f t="shared" si="22"/>
        <v>4.6054827171587256</v>
      </c>
      <c r="V43" s="16">
        <f t="shared" si="22"/>
        <v>4.6821470866071628</v>
      </c>
      <c r="W43" s="16">
        <f t="shared" si="22"/>
        <v>4.760087636187821</v>
      </c>
      <c r="X43" s="16">
        <f t="shared" si="22"/>
        <v>4.8393256096119783</v>
      </c>
      <c r="Y43" s="16">
        <f t="shared" si="22"/>
        <v>4.9198826042206694</v>
      </c>
      <c r="Z43" s="16">
        <f t="shared" si="22"/>
        <v>5.0017805768713206</v>
      </c>
      <c r="AA43" s="16">
        <f t="shared" si="22"/>
        <v>5.0850418499223764</v>
      </c>
      <c r="AB43" s="16">
        <f t="shared" si="22"/>
        <v>5.1696891173175565</v>
      </c>
      <c r="AC43" s="16">
        <f t="shared" si="22"/>
        <v>5.2557454507713715</v>
      </c>
      <c r="AD43" s="16">
        <f t="shared" si="22"/>
        <v>5.3432343060576333</v>
      </c>
      <c r="AE43" s="16">
        <f t="shared" si="22"/>
        <v>5.4321795294026209</v>
      </c>
      <c r="AF43" s="16">
        <f t="shared" si="22"/>
        <v>5.5226053639846864</v>
      </c>
      <c r="AG43" s="16">
        <f t="shared" si="22"/>
        <v>5.6145364565420461</v>
      </c>
      <c r="AH43" s="16">
        <f t="shared" si="22"/>
        <v>5.7079978640905695</v>
      </c>
      <c r="AI43" s="16">
        <f t="shared" si="22"/>
        <v>0</v>
      </c>
      <c r="AJ43" s="16">
        <f t="shared" si="22"/>
        <v>0</v>
      </c>
      <c r="AK43" s="16">
        <f t="shared" si="22"/>
        <v>0</v>
      </c>
      <c r="AL43" s="16">
        <f t="shared" si="22"/>
        <v>0</v>
      </c>
      <c r="AM43" s="16">
        <f t="shared" si="22"/>
        <v>0</v>
      </c>
      <c r="AN43" s="16">
        <f t="shared" si="22"/>
        <v>0</v>
      </c>
      <c r="AO43" s="16">
        <f t="shared" si="22"/>
        <v>0</v>
      </c>
      <c r="AP43" s="16">
        <f t="shared" si="22"/>
        <v>0</v>
      </c>
      <c r="AQ43" s="16">
        <f t="shared" si="22"/>
        <v>0</v>
      </c>
      <c r="AR43" s="16">
        <f t="shared" si="22"/>
        <v>0</v>
      </c>
    </row>
    <row r="44" spans="1:44" ht="15" x14ac:dyDescent="0.25">
      <c r="A44" s="2"/>
      <c r="C44" s="235"/>
      <c r="D44" s="75"/>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1:44" ht="15" x14ac:dyDescent="0.25">
      <c r="A45" s="2" t="s">
        <v>236</v>
      </c>
      <c r="C45" s="235"/>
      <c r="D45" s="7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1:44" ht="15" x14ac:dyDescent="0.25">
      <c r="A46" s="2"/>
      <c r="B46" s="1" t="s">
        <v>103</v>
      </c>
      <c r="C46" s="235" t="s">
        <v>72</v>
      </c>
      <c r="D46" s="75">
        <f>SUM(F46:AR46)</f>
        <v>21477114.615880422</v>
      </c>
      <c r="F46" s="16">
        <f t="shared" ref="F46:N46" si="23">F40*$D$36</f>
        <v>395559.93123707478</v>
      </c>
      <c r="G46" s="16">
        <f t="shared" si="23"/>
        <v>402144.55104128632</v>
      </c>
      <c r="H46" s="16">
        <f t="shared" si="23"/>
        <v>408838.78057727835</v>
      </c>
      <c r="I46" s="16">
        <f t="shared" si="23"/>
        <v>415644.44444444444</v>
      </c>
      <c r="J46" s="16">
        <f t="shared" si="23"/>
        <v>422563.39761505532</v>
      </c>
      <c r="K46" s="16">
        <f t="shared" si="23"/>
        <v>429597.52593985625</v>
      </c>
      <c r="L46" s="16">
        <f t="shared" si="23"/>
        <v>436748.74666207971</v>
      </c>
      <c r="M46" s="16">
        <f t="shared" si="23"/>
        <v>444019.00894001522</v>
      </c>
      <c r="N46" s="16">
        <f t="shared" si="23"/>
        <v>451410.29437827796</v>
      </c>
      <c r="O46" s="16">
        <f>O40*$D$36</f>
        <v>458924.61756792048</v>
      </c>
      <c r="P46" s="16">
        <f t="shared" ref="P46:AR46" si="24">P40*$D$36</f>
        <v>466564.02663553617</v>
      </c>
      <c r="Q46" s="16">
        <f t="shared" si="24"/>
        <v>474330.60380150244</v>
      </c>
      <c r="R46" s="16">
        <f t="shared" si="24"/>
        <v>482226.46594751708</v>
      </c>
      <c r="S46" s="16">
        <f t="shared" si="24"/>
        <v>490253.76519358222</v>
      </c>
      <c r="T46" s="16">
        <f t="shared" si="24"/>
        <v>498414.68948459235</v>
      </c>
      <c r="U46" s="16">
        <f t="shared" si="24"/>
        <v>506711.46318668709</v>
      </c>
      <c r="V46" s="16">
        <f t="shared" si="24"/>
        <v>515146.34769353154</v>
      </c>
      <c r="W46" s="16">
        <f t="shared" si="24"/>
        <v>523721.64204268827</v>
      </c>
      <c r="X46" s="16">
        <f t="shared" si="24"/>
        <v>532439.68354224961</v>
      </c>
      <c r="Y46" s="16">
        <f t="shared" si="24"/>
        <v>541302.84840790229</v>
      </c>
      <c r="Z46" s="16">
        <f t="shared" si="24"/>
        <v>550313.55241059512</v>
      </c>
      <c r="AA46" s="16">
        <f t="shared" si="24"/>
        <v>559474.25153498899</v>
      </c>
      <c r="AB46" s="16">
        <f t="shared" si="24"/>
        <v>568787.44264886808</v>
      </c>
      <c r="AC46" s="16">
        <f t="shared" si="24"/>
        <v>578255.66418369254</v>
      </c>
      <c r="AD46" s="16">
        <f t="shared" si="24"/>
        <v>587881.49682648212</v>
      </c>
      <c r="AE46" s="16">
        <f t="shared" si="24"/>
        <v>597667.56422321533</v>
      </c>
      <c r="AF46" s="16">
        <f t="shared" si="24"/>
        <v>607616.53369393863</v>
      </c>
      <c r="AG46" s="16">
        <f t="shared" si="24"/>
        <v>617731.11695977894</v>
      </c>
      <c r="AH46" s="16">
        <f t="shared" si="24"/>
        <v>628014.07088205882</v>
      </c>
      <c r="AI46" s="16">
        <f t="shared" si="24"/>
        <v>638468.19821371499</v>
      </c>
      <c r="AJ46" s="16">
        <f t="shared" si="24"/>
        <v>649096.34836322442</v>
      </c>
      <c r="AK46" s="16">
        <f t="shared" si="24"/>
        <v>659901.41817124863</v>
      </c>
      <c r="AL46" s="16">
        <f t="shared" si="24"/>
        <v>670886.35270020482</v>
      </c>
      <c r="AM46" s="16">
        <f t="shared" si="24"/>
        <v>682054.14603698091</v>
      </c>
      <c r="AN46" s="16">
        <f t="shared" si="24"/>
        <v>693407.84210901312</v>
      </c>
      <c r="AO46" s="16">
        <f t="shared" si="24"/>
        <v>704950.53551394772</v>
      </c>
      <c r="AP46" s="16">
        <f t="shared" si="24"/>
        <v>716685.37236311438</v>
      </c>
      <c r="AQ46" s="16">
        <f t="shared" si="24"/>
        <v>728615.55113903934</v>
      </c>
      <c r="AR46" s="16">
        <f t="shared" si="24"/>
        <v>740744.32356723351</v>
      </c>
    </row>
    <row r="47" spans="1:44" ht="15" x14ac:dyDescent="0.25">
      <c r="A47" s="2"/>
      <c r="B47" s="58" t="s">
        <v>106</v>
      </c>
      <c r="C47" s="240" t="s">
        <v>72</v>
      </c>
      <c r="D47" s="85">
        <f>SUM(F47:AR47)</f>
        <v>940427.54867440439</v>
      </c>
      <c r="E47" s="58"/>
      <c r="F47" s="86">
        <f>F41*$D$37</f>
        <v>17320.550881264131</v>
      </c>
      <c r="G47" s="86">
        <f t="shared" ref="G47:AR47" si="25">G41*$D$37</f>
        <v>17608.874428080278</v>
      </c>
      <c r="H47" s="86">
        <f t="shared" si="25"/>
        <v>17901.997502822443</v>
      </c>
      <c r="I47" s="86">
        <f t="shared" si="25"/>
        <v>18200</v>
      </c>
      <c r="J47" s="86">
        <f t="shared" si="25"/>
        <v>18502.963144072408</v>
      </c>
      <c r="K47" s="86">
        <f t="shared" si="25"/>
        <v>18810.969511588017</v>
      </c>
      <c r="L47" s="86">
        <f t="shared" si="25"/>
        <v>19124.103053691364</v>
      </c>
      <c r="M47" s="86">
        <f t="shared" si="25"/>
        <v>19442.449119005156</v>
      </c>
      <c r="N47" s="86">
        <f t="shared" si="25"/>
        <v>19766.094476893159</v>
      </c>
      <c r="O47" s="86">
        <f t="shared" si="25"/>
        <v>20095.127341110292</v>
      </c>
      <c r="P47" s="86">
        <f t="shared" si="25"/>
        <v>20429.637393846457</v>
      </c>
      <c r="Q47" s="86">
        <f t="shared" si="25"/>
        <v>20769.715810170579</v>
      </c>
      <c r="R47" s="86">
        <f t="shared" si="25"/>
        <v>21115.45528288155</v>
      </c>
      <c r="S47" s="86">
        <f t="shared" si="25"/>
        <v>21466.950047772876</v>
      </c>
      <c r="T47" s="86">
        <f t="shared" si="25"/>
        <v>21824.295909317854</v>
      </c>
      <c r="U47" s="86">
        <f t="shared" si="25"/>
        <v>22187.590266782332</v>
      </c>
      <c r="V47" s="86">
        <f t="shared" si="25"/>
        <v>22556.932140772158</v>
      </c>
      <c r="W47" s="86">
        <f t="shared" si="25"/>
        <v>22932.422200222503</v>
      </c>
      <c r="X47" s="86">
        <f t="shared" si="25"/>
        <v>23314.162789836533</v>
      </c>
      <c r="Y47" s="86">
        <f t="shared" si="25"/>
        <v>23702.257957980753</v>
      </c>
      <c r="Z47" s="86">
        <f t="shared" si="25"/>
        <v>24096.813485044771</v>
      </c>
      <c r="AA47" s="86">
        <f t="shared" si="25"/>
        <v>24497.936912273097</v>
      </c>
      <c r="AB47" s="86">
        <f t="shared" si="25"/>
        <v>24905.737571076934</v>
      </c>
      <c r="AC47" s="86">
        <f t="shared" si="25"/>
        <v>25320.326612833844</v>
      </c>
      <c r="AD47" s="86">
        <f t="shared" si="25"/>
        <v>25741.817039183537</v>
      </c>
      <c r="AE47" s="86">
        <f t="shared" si="25"/>
        <v>26170.323732827921</v>
      </c>
      <c r="AF47" s="86">
        <f t="shared" si="25"/>
        <v>26605.96348884387</v>
      </c>
      <c r="AG47" s="86">
        <f t="shared" si="25"/>
        <v>27048.855046517267</v>
      </c>
      <c r="AH47" s="86">
        <f t="shared" si="25"/>
        <v>27499.119121706921</v>
      </c>
      <c r="AI47" s="86">
        <f t="shared" si="25"/>
        <v>27956.878439747252</v>
      </c>
      <c r="AJ47" s="86">
        <f t="shared" si="25"/>
        <v>28422.257768898678</v>
      </c>
      <c r="AK47" s="86">
        <f t="shared" si="25"/>
        <v>28895.383954354831</v>
      </c>
      <c r="AL47" s="86">
        <f t="shared" si="25"/>
        <v>29376.385952815857</v>
      </c>
      <c r="AM47" s="86">
        <f t="shared" si="25"/>
        <v>29865.394867637267</v>
      </c>
      <c r="AN47" s="86">
        <f t="shared" si="25"/>
        <v>30362.543984563825</v>
      </c>
      <c r="AO47" s="86">
        <f t="shared" si="25"/>
        <v>30867.96880805834</v>
      </c>
      <c r="AP47" s="86">
        <f t="shared" si="25"/>
        <v>31381.807098235175</v>
      </c>
      <c r="AQ47" s="86">
        <f t="shared" si="25"/>
        <v>31904.198908408533</v>
      </c>
      <c r="AR47" s="86">
        <f t="shared" si="25"/>
        <v>32435.286623265842</v>
      </c>
    </row>
    <row r="48" spans="1:44" ht="15" x14ac:dyDescent="0.25">
      <c r="A48" s="2"/>
      <c r="B48" s="1" t="s">
        <v>231</v>
      </c>
      <c r="C48" s="235" t="s">
        <v>72</v>
      </c>
      <c r="D48" s="75">
        <f>SUM(F48:AR48)</f>
        <v>22417542.164554827</v>
      </c>
      <c r="F48" s="16">
        <f>SUM(F46:F47)</f>
        <v>412880.48211833893</v>
      </c>
      <c r="G48" s="16">
        <f t="shared" ref="G48" si="26">SUM(G46:G47)</f>
        <v>419753.4254693666</v>
      </c>
      <c r="H48" s="16">
        <f t="shared" ref="H48" si="27">SUM(H46:H47)</f>
        <v>426740.77808010078</v>
      </c>
      <c r="I48" s="16">
        <f t="shared" ref="I48" si="28">SUM(I46:I47)</f>
        <v>433844.44444444444</v>
      </c>
      <c r="J48" s="16">
        <f t="shared" ref="J48" si="29">SUM(J46:J47)</f>
        <v>441066.36075912771</v>
      </c>
      <c r="K48" s="16">
        <f t="shared" ref="K48" si="30">SUM(K46:K47)</f>
        <v>448408.49545144429</v>
      </c>
      <c r="L48" s="16">
        <f t="shared" ref="L48" si="31">SUM(L46:L47)</f>
        <v>455872.8497157711</v>
      </c>
      <c r="M48" s="16">
        <f t="shared" ref="M48" si="32">SUM(M46:M47)</f>
        <v>463461.4580590204</v>
      </c>
      <c r="N48" s="16">
        <f t="shared" ref="N48" si="33">SUM(N46:N47)</f>
        <v>471176.3888551711</v>
      </c>
      <c r="O48" s="16">
        <f t="shared" ref="O48" si="34">SUM(O46:O47)</f>
        <v>479019.74490903079</v>
      </c>
      <c r="P48" s="16">
        <f t="shared" ref="P48" si="35">SUM(P46:P47)</f>
        <v>486993.66402938263</v>
      </c>
      <c r="Q48" s="16">
        <f t="shared" ref="Q48" si="36">SUM(Q46:Q47)</f>
        <v>495100.31961167301</v>
      </c>
      <c r="R48" s="16">
        <f t="shared" ref="R48" si="37">SUM(R46:R47)</f>
        <v>503341.92123039864</v>
      </c>
      <c r="S48" s="16">
        <f t="shared" ref="S48" si="38">SUM(S46:S47)</f>
        <v>511720.71524135512</v>
      </c>
      <c r="T48" s="16">
        <f t="shared" ref="T48" si="39">SUM(T46:T47)</f>
        <v>520238.9853939102</v>
      </c>
      <c r="U48" s="16">
        <f t="shared" ref="U48" si="40">SUM(U46:U47)</f>
        <v>528899.05345346942</v>
      </c>
      <c r="V48" s="16">
        <f t="shared" ref="V48" si="41">SUM(V46:V47)</f>
        <v>537703.27983430366</v>
      </c>
      <c r="W48" s="16">
        <f t="shared" ref="W48" si="42">SUM(W46:W47)</f>
        <v>546654.06424291083</v>
      </c>
      <c r="X48" s="16">
        <f t="shared" ref="X48" si="43">SUM(X46:X47)</f>
        <v>555753.84633208613</v>
      </c>
      <c r="Y48" s="16">
        <f t="shared" ref="Y48" si="44">SUM(Y46:Y47)</f>
        <v>565005.10636588302</v>
      </c>
      <c r="Z48" s="16">
        <f t="shared" ref="Z48" si="45">SUM(Z46:Z47)</f>
        <v>574410.36589563987</v>
      </c>
      <c r="AA48" s="16">
        <f t="shared" ref="AA48" si="46">SUM(AA46:AA47)</f>
        <v>583972.18844726204</v>
      </c>
      <c r="AB48" s="16">
        <f t="shared" ref="AB48" si="47">SUM(AB46:AB47)</f>
        <v>593693.18021994503</v>
      </c>
      <c r="AC48" s="16">
        <f t="shared" ref="AC48" si="48">SUM(AC46:AC47)</f>
        <v>603575.99079652643</v>
      </c>
      <c r="AD48" s="16">
        <f t="shared" ref="AD48" si="49">SUM(AD46:AD47)</f>
        <v>613623.3138656657</v>
      </c>
      <c r="AE48" s="16">
        <f t="shared" ref="AE48" si="50">SUM(AE46:AE47)</f>
        <v>623837.88795604324</v>
      </c>
      <c r="AF48" s="16">
        <f t="shared" ref="AF48" si="51">SUM(AF46:AF47)</f>
        <v>634222.49718278251</v>
      </c>
      <c r="AG48" s="16">
        <f t="shared" ref="AG48" si="52">SUM(AG46:AG47)</f>
        <v>644779.97200629616</v>
      </c>
      <c r="AH48" s="16">
        <f t="shared" ref="AH48" si="53">SUM(AH46:AH47)</f>
        <v>655513.19000376575</v>
      </c>
      <c r="AI48" s="16">
        <f t="shared" ref="AI48" si="54">SUM(AI46:AI47)</f>
        <v>666425.07665346225</v>
      </c>
      <c r="AJ48" s="16">
        <f t="shared" ref="AJ48" si="55">SUM(AJ46:AJ47)</f>
        <v>677518.60613212315</v>
      </c>
      <c r="AK48" s="16">
        <f t="shared" ref="AK48" si="56">SUM(AK46:AK47)</f>
        <v>688796.80212560343</v>
      </c>
      <c r="AL48" s="16">
        <f t="shared" ref="AL48" si="57">SUM(AL46:AL47)</f>
        <v>700262.7386530207</v>
      </c>
      <c r="AM48" s="16">
        <f t="shared" ref="AM48" si="58">SUM(AM46:AM47)</f>
        <v>711919.54090461822</v>
      </c>
      <c r="AN48" s="16">
        <f t="shared" ref="AN48" si="59">SUM(AN46:AN47)</f>
        <v>723770.3860935769</v>
      </c>
      <c r="AO48" s="16">
        <f t="shared" ref="AO48" si="60">SUM(AO46:AO47)</f>
        <v>735818.50432200602</v>
      </c>
      <c r="AP48" s="16">
        <f t="shared" ref="AP48" si="61">SUM(AP46:AP47)</f>
        <v>748067.1794613495</v>
      </c>
      <c r="AQ48" s="16">
        <f t="shared" ref="AQ48" si="62">SUM(AQ46:AQ47)</f>
        <v>760519.75004744786</v>
      </c>
      <c r="AR48" s="16">
        <f t="shared" ref="AR48" si="63">SUM(AR46:AR47)</f>
        <v>773179.61019049934</v>
      </c>
    </row>
    <row r="49" spans="1:44" x14ac:dyDescent="0.2">
      <c r="C49" s="235"/>
      <c r="D49" s="75"/>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1:44" x14ac:dyDescent="0.2">
      <c r="C50" s="19"/>
    </row>
    <row r="51" spans="1:44" s="9" customFormat="1" x14ac:dyDescent="0.2">
      <c r="A51" s="8" t="s">
        <v>211</v>
      </c>
      <c r="B51" s="13"/>
      <c r="C51" s="236"/>
    </row>
    <row r="52" spans="1:44" ht="15" x14ac:dyDescent="0.25">
      <c r="A52" s="2" t="s">
        <v>228</v>
      </c>
      <c r="C52" s="18"/>
    </row>
    <row r="53" spans="1:44" x14ac:dyDescent="0.2">
      <c r="B53" s="1" t="str">
        <f>Traffic!B56</f>
        <v>Total Vehicular Traffic</v>
      </c>
      <c r="C53" s="235" t="s">
        <v>91</v>
      </c>
      <c r="D53" s="75">
        <f t="shared" ref="D53" si="64">SUM(F53:AR53)</f>
        <v>985873.22936411866</v>
      </c>
      <c r="F53" s="16">
        <f>Traffic!F56</f>
        <v>18157.5576510354</v>
      </c>
      <c r="G53" s="16">
        <f>Traffic!G56</f>
        <v>18459.814285905384</v>
      </c>
      <c r="H53" s="16">
        <f>Traffic!H56</f>
        <v>18767.102383435638</v>
      </c>
      <c r="I53" s="16">
        <f>Traffic!I56</f>
        <v>19079.505698996873</v>
      </c>
      <c r="J53" s="16">
        <f>Traffic!J56</f>
        <v>19397.109382179045</v>
      </c>
      <c r="K53" s="16">
        <f>Traffic!K56</f>
        <v>19720</v>
      </c>
      <c r="L53" s="16">
        <f>Traffic!L56</f>
        <v>20048.265560500433</v>
      </c>
      <c r="M53" s="16">
        <f>Traffic!M56</f>
        <v>20381.995536731629</v>
      </c>
      <c r="N53" s="16">
        <f>Traffic!N56</f>
        <v>20721.280891142509</v>
      </c>
      <c r="O53" s="16">
        <f>Traffic!O56</f>
        <v>21066.214100372621</v>
      </c>
      <c r="P53" s="16">
        <f>Traffic!P56</f>
        <v>21416.889180457863</v>
      </c>
      <c r="Q53" s="16">
        <f>Traffic!Q56</f>
        <v>21773.401712455769</v>
      </c>
      <c r="R53" s="16">
        <f>Traffic!R56</f>
        <v>22135.848868497371</v>
      </c>
      <c r="S53" s="16">
        <f>Traffic!S56</f>
        <v>22504.329438272736</v>
      </c>
      <c r="T53" s="16">
        <f>Traffic!T56</f>
        <v>22878.943855957372</v>
      </c>
      <c r="U53" s="16">
        <f>Traffic!U56</f>
        <v>23259.794227586874</v>
      </c>
      <c r="V53" s="16">
        <f>Traffic!V56</f>
        <v>23646.984358887257</v>
      </c>
      <c r="W53" s="16">
        <f>Traffic!W56</f>
        <v>24040.619783568553</v>
      </c>
      <c r="X53" s="16">
        <f>Traffic!X56</f>
        <v>24440.807792089392</v>
      </c>
      <c r="Y53" s="16">
        <f>Traffic!Y56</f>
        <v>24847.657460900427</v>
      </c>
      <c r="Z53" s="16">
        <f>Traffic!Z56</f>
        <v>25261.279682174529</v>
      </c>
      <c r="AA53" s="16">
        <f>Traffic!AA56</f>
        <v>25681.787194031895</v>
      </c>
      <c r="AB53" s="16">
        <f>Traffic!AB56</f>
        <v>26109.294611268291</v>
      </c>
      <c r="AC53" s="16">
        <f>Traffic!AC56</f>
        <v>26543.918456594809</v>
      </c>
      <c r="AD53" s="16">
        <f>Traffic!AD56</f>
        <v>26985.777192397643</v>
      </c>
      <c r="AE53" s="16">
        <f>Traffic!AE56</f>
        <v>27434.991253026561</v>
      </c>
      <c r="AF53" s="16">
        <f>Traffic!AF56</f>
        <v>27891.683077620844</v>
      </c>
      <c r="AG53" s="16">
        <f>Traffic!AG56</f>
        <v>28355.977143481679</v>
      </c>
      <c r="AH53" s="16">
        <f>Traffic!AH56</f>
        <v>28828.000000000062</v>
      </c>
      <c r="AI53" s="16">
        <f>Traffic!AI56</f>
        <v>29307.880303149479</v>
      </c>
      <c r="AJ53" s="16">
        <f>Traffic!AJ56</f>
        <v>29795.748850552773</v>
      </c>
      <c r="AK53" s="16">
        <f>Traffic!AK56</f>
        <v>30291.738617132734</v>
      </c>
      <c r="AL53" s="16">
        <f>Traffic!AL56</f>
        <v>30795.984791356146</v>
      </c>
      <c r="AM53" s="16">
        <f>Traffic!AM56</f>
        <v>31308.624812081165</v>
      </c>
      <c r="AN53" s="16">
        <f>Traffic!AN56</f>
        <v>31829.798406018061</v>
      </c>
      <c r="AO53" s="16">
        <f>Traffic!AO56</f>
        <v>32359.647625813563</v>
      </c>
      <c r="AP53" s="16">
        <f>Traffic!AP56</f>
        <v>32898.31688876915</v>
      </c>
      <c r="AQ53" s="16">
        <f>Traffic!AQ56</f>
        <v>33445.953016203872</v>
      </c>
      <c r="AR53" s="16">
        <f>Traffic!AR56</f>
        <v>34002.705273472398</v>
      </c>
    </row>
    <row r="54" spans="1:44" ht="15" x14ac:dyDescent="0.25">
      <c r="A54" s="2" t="s">
        <v>237</v>
      </c>
      <c r="C54" s="235"/>
      <c r="D54" s="75"/>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1:44" x14ac:dyDescent="0.2">
      <c r="B55" s="1" t="str">
        <f>Inputs!C66</f>
        <v xml:space="preserve">Crash Modification Factor </v>
      </c>
      <c r="C55" s="235" t="s">
        <v>95</v>
      </c>
      <c r="D55" s="1">
        <f>Inputs!$E$66</f>
        <v>0.52</v>
      </c>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1:44" x14ac:dyDescent="0.2">
      <c r="C56" s="235"/>
      <c r="D56" s="75"/>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1:44" ht="15" x14ac:dyDescent="0.25">
      <c r="A57" s="2" t="s">
        <v>230</v>
      </c>
      <c r="C57" s="235"/>
      <c r="D57" s="7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1:44" x14ac:dyDescent="0.2">
      <c r="B58" s="1" t="s">
        <v>103</v>
      </c>
      <c r="C58" s="235" t="s">
        <v>232</v>
      </c>
      <c r="D58" s="95">
        <f>D31*$D$55</f>
        <v>4.8452221930102106E-5</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1:44" x14ac:dyDescent="0.2">
      <c r="B59" s="1" t="s">
        <v>106</v>
      </c>
      <c r="C59" s="235" t="s">
        <v>232</v>
      </c>
      <c r="D59" s="95">
        <f>D32*$D$55</f>
        <v>5.4508749671364869E-5</v>
      </c>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1:44" x14ac:dyDescent="0.2">
      <c r="B60" s="1" t="s">
        <v>231</v>
      </c>
      <c r="C60" s="235" t="s">
        <v>232</v>
      </c>
      <c r="D60" s="95">
        <f>D33*$D$55</f>
        <v>1.0296097160146698E-4</v>
      </c>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1:44" x14ac:dyDescent="0.2">
      <c r="C61" s="235"/>
      <c r="D61" s="75"/>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1:44" ht="15" x14ac:dyDescent="0.25">
      <c r="A62" s="2" t="s">
        <v>233</v>
      </c>
      <c r="C62" s="235"/>
      <c r="D62" s="17"/>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row>
    <row r="63" spans="1:44" x14ac:dyDescent="0.2">
      <c r="B63" s="1" t="s">
        <v>103</v>
      </c>
      <c r="C63" s="235" t="s">
        <v>104</v>
      </c>
      <c r="D63" s="5">
        <f>Inputs!$E$64</f>
        <v>233800</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row>
    <row r="64" spans="1:44" x14ac:dyDescent="0.2">
      <c r="B64" s="1" t="s">
        <v>106</v>
      </c>
      <c r="C64" s="235" t="s">
        <v>104</v>
      </c>
      <c r="D64" s="5">
        <f>Inputs!$E$65</f>
        <v>9100</v>
      </c>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row>
    <row r="65" spans="1:44" x14ac:dyDescent="0.2">
      <c r="C65" s="235"/>
      <c r="D65" s="17"/>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row>
    <row r="66" spans="1:44" ht="15" x14ac:dyDescent="0.25">
      <c r="A66" s="2" t="s">
        <v>234</v>
      </c>
      <c r="C66" s="235"/>
      <c r="D66" s="75"/>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row>
    <row r="67" spans="1:44" ht="15" x14ac:dyDescent="0.25">
      <c r="A67" s="2"/>
      <c r="B67" s="1" t="s">
        <v>103</v>
      </c>
      <c r="C67" s="235" t="s">
        <v>235</v>
      </c>
      <c r="D67" s="75">
        <f>SUM(F67:AR67)</f>
        <v>47.767748504096744</v>
      </c>
      <c r="F67" s="16">
        <f>F$53*$D58</f>
        <v>0.87977401301659075</v>
      </c>
      <c r="G67" s="16">
        <f t="shared" ref="G67:AR67" si="65">G$53*$D58</f>
        <v>0.89441901856915695</v>
      </c>
      <c r="H67" s="16">
        <f t="shared" si="65"/>
        <v>0.90930780966717173</v>
      </c>
      <c r="I67" s="16">
        <f t="shared" si="65"/>
        <v>0.9244444444444444</v>
      </c>
      <c r="J67" s="16">
        <f t="shared" si="65"/>
        <v>0.93983304858780481</v>
      </c>
      <c r="K67" s="16">
        <f t="shared" si="65"/>
        <v>0.95547781646161356</v>
      </c>
      <c r="L67" s="16">
        <f t="shared" si="65"/>
        <v>0.97138301225098989</v>
      </c>
      <c r="M67" s="16">
        <f t="shared" si="65"/>
        <v>0.98755297112407148</v>
      </c>
      <c r="N67" s="16">
        <f t="shared" si="65"/>
        <v>1.0039921004136207</v>
      </c>
      <c r="O67" s="16">
        <f t="shared" si="65"/>
        <v>1.0207048808183006</v>
      </c>
      <c r="P67" s="16">
        <f t="shared" si="65"/>
        <v>1.0376958676239469</v>
      </c>
      <c r="Q67" s="16">
        <f t="shared" si="65"/>
        <v>1.0549696919451721</v>
      </c>
      <c r="R67" s="16">
        <f t="shared" si="65"/>
        <v>1.0725310619876343</v>
      </c>
      <c r="S67" s="16">
        <f t="shared" si="65"/>
        <v>1.0903847643313207</v>
      </c>
      <c r="T67" s="16">
        <f t="shared" si="65"/>
        <v>1.1085356652351925</v>
      </c>
      <c r="U67" s="16">
        <f t="shared" si="65"/>
        <v>1.1269887119635471</v>
      </c>
      <c r="V67" s="16">
        <f t="shared" si="65"/>
        <v>1.1457489341344587</v>
      </c>
      <c r="W67" s="16">
        <f t="shared" si="65"/>
        <v>1.1648214450906669</v>
      </c>
      <c r="X67" s="16">
        <f t="shared" si="65"/>
        <v>1.184211443293284</v>
      </c>
      <c r="Y67" s="16">
        <f t="shared" si="65"/>
        <v>1.203924213738705</v>
      </c>
      <c r="Z67" s="16">
        <f t="shared" si="65"/>
        <v>1.2239651293990994</v>
      </c>
      <c r="AA67" s="16">
        <f t="shared" si="65"/>
        <v>1.2443396526868875</v>
      </c>
      <c r="AB67" s="16">
        <f t="shared" si="65"/>
        <v>1.2650533369435903</v>
      </c>
      <c r="AC67" s="16">
        <f t="shared" si="65"/>
        <v>1.2861118279534651</v>
      </c>
      <c r="AD67" s="16">
        <f t="shared" si="65"/>
        <v>1.3075208654823383</v>
      </c>
      <c r="AE67" s="16">
        <f t="shared" si="65"/>
        <v>1.329286284842053</v>
      </c>
      <c r="AF67" s="16">
        <f t="shared" si="65"/>
        <v>1.3514140184809584</v>
      </c>
      <c r="AG67" s="16">
        <f t="shared" si="65"/>
        <v>1.3739100976008771</v>
      </c>
      <c r="AH67" s="16">
        <f t="shared" si="65"/>
        <v>1.3967806538009866</v>
      </c>
      <c r="AI67" s="16">
        <f t="shared" si="65"/>
        <v>1.4200319207490668</v>
      </c>
      <c r="AJ67" s="16">
        <f t="shared" si="65"/>
        <v>1.4436702358805678</v>
      </c>
      <c r="AK67" s="16">
        <f t="shared" si="65"/>
        <v>1.4677020421259594</v>
      </c>
      <c r="AL67" s="16">
        <f t="shared" si="65"/>
        <v>1.4921338896668372</v>
      </c>
      <c r="AM67" s="16">
        <f t="shared" si="65"/>
        <v>1.5169724377212579</v>
      </c>
      <c r="AN67" s="16">
        <f t="shared" si="65"/>
        <v>1.5422244563587972</v>
      </c>
      <c r="AO67" s="16">
        <f t="shared" si="65"/>
        <v>1.5678968283458206</v>
      </c>
      <c r="AP67" s="16">
        <f t="shared" si="65"/>
        <v>1.5939965510214691</v>
      </c>
      <c r="AQ67" s="16">
        <f t="shared" si="65"/>
        <v>1.6205307382048779</v>
      </c>
      <c r="AR67" s="16">
        <f t="shared" si="65"/>
        <v>1.6475066221341379</v>
      </c>
    </row>
    <row r="68" spans="1:44" ht="15" x14ac:dyDescent="0.25">
      <c r="A68" s="2"/>
      <c r="B68" s="1" t="s">
        <v>106</v>
      </c>
      <c r="C68" s="235" t="s">
        <v>235</v>
      </c>
      <c r="D68" s="75">
        <f>SUM(F68:AR68)</f>
        <v>53.738717067108837</v>
      </c>
      <c r="F68" s="16">
        <f>F$53*$D59</f>
        <v>0.98974576464366459</v>
      </c>
      <c r="G68" s="16">
        <f t="shared" ref="G68:AR68" si="66">G$53*$D59</f>
        <v>1.0062213958903017</v>
      </c>
      <c r="H68" s="16">
        <f t="shared" si="66"/>
        <v>1.0229712858755682</v>
      </c>
      <c r="I68" s="16">
        <f t="shared" si="66"/>
        <v>1.04</v>
      </c>
      <c r="J68" s="16">
        <f t="shared" si="66"/>
        <v>1.0573121796612805</v>
      </c>
      <c r="K68" s="16">
        <f t="shared" si="66"/>
        <v>1.0749125435193152</v>
      </c>
      <c r="L68" s="16">
        <f t="shared" si="66"/>
        <v>1.0928058887823635</v>
      </c>
      <c r="M68" s="16">
        <f t="shared" si="66"/>
        <v>1.1109970925145805</v>
      </c>
      <c r="N68" s="16">
        <f t="shared" si="66"/>
        <v>1.1294911129653233</v>
      </c>
      <c r="O68" s="16">
        <f t="shared" si="66"/>
        <v>1.1482929909205881</v>
      </c>
      <c r="P68" s="16">
        <f t="shared" si="66"/>
        <v>1.1674078510769403</v>
      </c>
      <c r="Q68" s="16">
        <f t="shared" si="66"/>
        <v>1.1868409034383187</v>
      </c>
      <c r="R68" s="16">
        <f t="shared" si="66"/>
        <v>1.2065974447360885</v>
      </c>
      <c r="S68" s="16">
        <f t="shared" si="66"/>
        <v>1.2266828598727357</v>
      </c>
      <c r="T68" s="16">
        <f t="shared" si="66"/>
        <v>1.2471026233895917</v>
      </c>
      <c r="U68" s="16">
        <f t="shared" si="66"/>
        <v>1.2678623009589904</v>
      </c>
      <c r="V68" s="16">
        <f t="shared" si="66"/>
        <v>1.2889675509012659</v>
      </c>
      <c r="W68" s="16">
        <f t="shared" si="66"/>
        <v>1.3104241257270002</v>
      </c>
      <c r="X68" s="16">
        <f t="shared" si="66"/>
        <v>1.3322378737049445</v>
      </c>
      <c r="Y68" s="16">
        <f t="shared" si="66"/>
        <v>1.3544147404560429</v>
      </c>
      <c r="Z68" s="16">
        <f t="shared" si="66"/>
        <v>1.3769607705739868</v>
      </c>
      <c r="AA68" s="16">
        <f t="shared" si="66"/>
        <v>1.3998821092727485</v>
      </c>
      <c r="AB68" s="16">
        <f t="shared" si="66"/>
        <v>1.423185004061539</v>
      </c>
      <c r="AC68" s="16">
        <f t="shared" si="66"/>
        <v>1.4468758064476481</v>
      </c>
      <c r="AD68" s="16">
        <f t="shared" si="66"/>
        <v>1.4709609736676306</v>
      </c>
      <c r="AE68" s="16">
        <f t="shared" si="66"/>
        <v>1.4954470704473097</v>
      </c>
      <c r="AF68" s="16">
        <f t="shared" si="66"/>
        <v>1.5203407707910783</v>
      </c>
      <c r="AG68" s="16">
        <f t="shared" si="66"/>
        <v>1.5456488598009868</v>
      </c>
      <c r="AH68" s="16">
        <f t="shared" si="66"/>
        <v>1.5713782355261099</v>
      </c>
      <c r="AI68" s="16">
        <f t="shared" si="66"/>
        <v>1.5975359108427001</v>
      </c>
      <c r="AJ68" s="16">
        <f t="shared" si="66"/>
        <v>1.6241290153656387</v>
      </c>
      <c r="AK68" s="16">
        <f t="shared" si="66"/>
        <v>1.6511647973917045</v>
      </c>
      <c r="AL68" s="16">
        <f t="shared" si="66"/>
        <v>1.6786506258751919</v>
      </c>
      <c r="AM68" s="16">
        <f t="shared" si="66"/>
        <v>1.7065939924364153</v>
      </c>
      <c r="AN68" s="16">
        <f t="shared" si="66"/>
        <v>1.7350025134036471</v>
      </c>
      <c r="AO68" s="16">
        <f t="shared" si="66"/>
        <v>1.763883931889048</v>
      </c>
      <c r="AP68" s="16">
        <f t="shared" si="66"/>
        <v>1.7932461198991527</v>
      </c>
      <c r="AQ68" s="16">
        <f t="shared" si="66"/>
        <v>1.8230970804804876</v>
      </c>
      <c r="AR68" s="16">
        <f t="shared" si="66"/>
        <v>1.8534449499009051</v>
      </c>
    </row>
    <row r="69" spans="1:44" ht="15" x14ac:dyDescent="0.25">
      <c r="A69" s="2"/>
      <c r="B69" s="1" t="s">
        <v>231</v>
      </c>
      <c r="C69" s="235" t="s">
        <v>235</v>
      </c>
      <c r="D69" s="75">
        <f>SUM(F69:AR69)</f>
        <v>101.50646557120557</v>
      </c>
      <c r="F69" s="16">
        <f>SUM(F67:F68)</f>
        <v>1.8695197776602552</v>
      </c>
      <c r="G69" s="16">
        <f t="shared" ref="G69:AR69" si="67">SUM(G67:G68)</f>
        <v>1.9006404144594586</v>
      </c>
      <c r="H69" s="16">
        <f t="shared" si="67"/>
        <v>1.9322790955427398</v>
      </c>
      <c r="I69" s="16">
        <f t="shared" si="67"/>
        <v>1.9644444444444444</v>
      </c>
      <c r="J69" s="16">
        <f t="shared" si="67"/>
        <v>1.9971452282490854</v>
      </c>
      <c r="K69" s="16">
        <f t="shared" si="67"/>
        <v>2.0303903599809288</v>
      </c>
      <c r="L69" s="16">
        <f t="shared" si="67"/>
        <v>2.0641889010333534</v>
      </c>
      <c r="M69" s="16">
        <f t="shared" si="67"/>
        <v>2.098550063638652</v>
      </c>
      <c r="N69" s="16">
        <f t="shared" si="67"/>
        <v>2.1334832133789439</v>
      </c>
      <c r="O69" s="16">
        <f t="shared" si="67"/>
        <v>2.1689978717388887</v>
      </c>
      <c r="P69" s="16">
        <f t="shared" si="67"/>
        <v>2.2051037187008875</v>
      </c>
      <c r="Q69" s="16">
        <f t="shared" si="67"/>
        <v>2.241810595383491</v>
      </c>
      <c r="R69" s="16">
        <f t="shared" si="67"/>
        <v>2.2791285067237226</v>
      </c>
      <c r="S69" s="16">
        <f t="shared" si="67"/>
        <v>2.3170676242040562</v>
      </c>
      <c r="T69" s="16">
        <f t="shared" si="67"/>
        <v>2.3556382886247844</v>
      </c>
      <c r="U69" s="16">
        <f t="shared" si="67"/>
        <v>2.3948510129225378</v>
      </c>
      <c r="V69" s="16">
        <f t="shared" si="67"/>
        <v>2.4347164850357244</v>
      </c>
      <c r="W69" s="16">
        <f t="shared" si="67"/>
        <v>2.4752455708176671</v>
      </c>
      <c r="X69" s="16">
        <f t="shared" si="67"/>
        <v>2.5164493169982283</v>
      </c>
      <c r="Y69" s="16">
        <f t="shared" si="67"/>
        <v>2.5583389541947481</v>
      </c>
      <c r="Z69" s="16">
        <f t="shared" si="67"/>
        <v>2.6009258999730864</v>
      </c>
      <c r="AA69" s="16">
        <f t="shared" si="67"/>
        <v>2.6442217619596358</v>
      </c>
      <c r="AB69" s="16">
        <f t="shared" si="67"/>
        <v>2.6882383410051292</v>
      </c>
      <c r="AC69" s="16">
        <f t="shared" si="67"/>
        <v>2.7329876344011135</v>
      </c>
      <c r="AD69" s="16">
        <f t="shared" si="67"/>
        <v>2.7784818391499688</v>
      </c>
      <c r="AE69" s="16">
        <f t="shared" si="67"/>
        <v>2.8247333552893625</v>
      </c>
      <c r="AF69" s="16">
        <f t="shared" si="67"/>
        <v>2.8717547892720368</v>
      </c>
      <c r="AG69" s="16">
        <f t="shared" si="67"/>
        <v>2.9195589574018639</v>
      </c>
      <c r="AH69" s="16">
        <f t="shared" si="67"/>
        <v>2.9681588893270963</v>
      </c>
      <c r="AI69" s="16">
        <f t="shared" si="67"/>
        <v>3.0175678315917667</v>
      </c>
      <c r="AJ69" s="16">
        <f t="shared" si="67"/>
        <v>3.0677992512462064</v>
      </c>
      <c r="AK69" s="16">
        <f t="shared" si="67"/>
        <v>3.118866839517664</v>
      </c>
      <c r="AL69" s="16">
        <f t="shared" si="67"/>
        <v>3.1707845155420289</v>
      </c>
      <c r="AM69" s="16">
        <f t="shared" si="67"/>
        <v>3.223566430157673</v>
      </c>
      <c r="AN69" s="16">
        <f t="shared" si="67"/>
        <v>3.2772269697624443</v>
      </c>
      <c r="AO69" s="16">
        <f t="shared" si="67"/>
        <v>3.3317807602348686</v>
      </c>
      <c r="AP69" s="16">
        <f t="shared" si="67"/>
        <v>3.3872426709206218</v>
      </c>
      <c r="AQ69" s="16">
        <f t="shared" si="67"/>
        <v>3.4436278186853655</v>
      </c>
      <c r="AR69" s="16">
        <f t="shared" si="67"/>
        <v>3.500951572035043</v>
      </c>
    </row>
    <row r="70" spans="1:44" ht="15" x14ac:dyDescent="0.25">
      <c r="A70" s="2"/>
      <c r="B70" s="1" t="s">
        <v>1022</v>
      </c>
      <c r="C70" s="235" t="s">
        <v>235</v>
      </c>
      <c r="D70" s="75">
        <f>SUM(F70:AR70)</f>
        <v>50.976409413124031</v>
      </c>
      <c r="F70" s="16">
        <f t="shared" ref="F70" si="68">F69*F$11</f>
        <v>0</v>
      </c>
      <c r="G70" s="16">
        <f t="shared" ref="G70" si="69">G69*G$11</f>
        <v>0</v>
      </c>
      <c r="H70" s="16">
        <f>H69*H$11</f>
        <v>0</v>
      </c>
      <c r="I70" s="16">
        <f t="shared" ref="I70" si="70">I69*I$11</f>
        <v>0</v>
      </c>
      <c r="J70" s="16">
        <f t="shared" ref="J70" si="71">J69*J$11</f>
        <v>0</v>
      </c>
      <c r="K70" s="16">
        <f t="shared" ref="K70" si="72">K69*K$11</f>
        <v>0</v>
      </c>
      <c r="L70" s="16">
        <f t="shared" ref="L70" si="73">L69*L$11</f>
        <v>0</v>
      </c>
      <c r="M70" s="16">
        <f t="shared" ref="M70" si="74">M69*M$11</f>
        <v>0</v>
      </c>
      <c r="N70" s="16">
        <f t="shared" ref="N70" si="75">N69*N$11</f>
        <v>0</v>
      </c>
      <c r="O70" s="16">
        <f t="shared" ref="O70" si="76">O69*O$11</f>
        <v>2.1689978717388887</v>
      </c>
      <c r="P70" s="16">
        <f t="shared" ref="P70" si="77">P69*P$11</f>
        <v>2.2051037187008875</v>
      </c>
      <c r="Q70" s="16">
        <f t="shared" ref="Q70" si="78">Q69*Q$11</f>
        <v>2.241810595383491</v>
      </c>
      <c r="R70" s="16">
        <f t="shared" ref="R70" si="79">R69*R$11</f>
        <v>2.2791285067237226</v>
      </c>
      <c r="S70" s="16">
        <f t="shared" ref="S70" si="80">S69*S$11</f>
        <v>2.3170676242040562</v>
      </c>
      <c r="T70" s="16">
        <f t="shared" ref="T70" si="81">T69*T$11</f>
        <v>2.3556382886247844</v>
      </c>
      <c r="U70" s="16">
        <f t="shared" ref="U70" si="82">U69*U$11</f>
        <v>2.3948510129225378</v>
      </c>
      <c r="V70" s="16">
        <f t="shared" ref="V70" si="83">V69*V$11</f>
        <v>2.4347164850357244</v>
      </c>
      <c r="W70" s="16">
        <f t="shared" ref="W70" si="84">W69*W$11</f>
        <v>2.4752455708176671</v>
      </c>
      <c r="X70" s="16">
        <f t="shared" ref="X70" si="85">X69*X$11</f>
        <v>2.5164493169982283</v>
      </c>
      <c r="Y70" s="16">
        <f t="shared" ref="Y70" si="86">Y69*Y$11</f>
        <v>2.5583389541947481</v>
      </c>
      <c r="Z70" s="16">
        <f t="shared" ref="Z70" si="87">Z69*Z$11</f>
        <v>2.6009258999730864</v>
      </c>
      <c r="AA70" s="16">
        <f t="shared" ref="AA70" si="88">AA69*AA$11</f>
        <v>2.6442217619596358</v>
      </c>
      <c r="AB70" s="16">
        <f t="shared" ref="AB70" si="89">AB69*AB$11</f>
        <v>2.6882383410051292</v>
      </c>
      <c r="AC70" s="16">
        <f t="shared" ref="AC70" si="90">AC69*AC$11</f>
        <v>2.7329876344011135</v>
      </c>
      <c r="AD70" s="16">
        <f t="shared" ref="AD70" si="91">AD69*AD$11</f>
        <v>2.7784818391499688</v>
      </c>
      <c r="AE70" s="16">
        <f t="shared" ref="AE70" si="92">AE69*AE$11</f>
        <v>2.8247333552893625</v>
      </c>
      <c r="AF70" s="16">
        <f t="shared" ref="AF70" si="93">AF69*AF$11</f>
        <v>2.8717547892720368</v>
      </c>
      <c r="AG70" s="16">
        <f t="shared" ref="AG70" si="94">AG69*AG$11</f>
        <v>2.9195589574018639</v>
      </c>
      <c r="AH70" s="16">
        <f t="shared" ref="AH70" si="95">AH69*AH$11</f>
        <v>2.9681588893270963</v>
      </c>
      <c r="AI70" s="16">
        <f t="shared" ref="AI70" si="96">AI69*AI$11</f>
        <v>0</v>
      </c>
      <c r="AJ70" s="16">
        <f t="shared" ref="AJ70" si="97">AJ69*AJ$11</f>
        <v>0</v>
      </c>
      <c r="AK70" s="16">
        <f t="shared" ref="AK70" si="98">AK69*AK$11</f>
        <v>0</v>
      </c>
      <c r="AL70" s="16">
        <f t="shared" ref="AL70" si="99">AL69*AL$11</f>
        <v>0</v>
      </c>
      <c r="AM70" s="16">
        <f t="shared" ref="AM70" si="100">AM69*AM$11</f>
        <v>0</v>
      </c>
      <c r="AN70" s="16">
        <f t="shared" ref="AN70" si="101">AN69*AN$11</f>
        <v>0</v>
      </c>
      <c r="AO70" s="16">
        <f t="shared" ref="AO70" si="102">AO69*AO$11</f>
        <v>0</v>
      </c>
      <c r="AP70" s="16">
        <f t="shared" ref="AP70" si="103">AP69*AP$11</f>
        <v>0</v>
      </c>
      <c r="AQ70" s="16">
        <f t="shared" ref="AQ70" si="104">AQ69*AQ$11</f>
        <v>0</v>
      </c>
      <c r="AR70" s="16">
        <f t="shared" ref="AR70" si="105">AR69*AR$11</f>
        <v>0</v>
      </c>
    </row>
    <row r="71" spans="1:44" ht="15" x14ac:dyDescent="0.25">
      <c r="A71" s="2"/>
      <c r="C71" s="235"/>
      <c r="D71" s="94"/>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row>
    <row r="72" spans="1:44" ht="15" x14ac:dyDescent="0.25">
      <c r="A72" s="2" t="s">
        <v>236</v>
      </c>
      <c r="C72" s="235"/>
      <c r="D72" s="75"/>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row>
    <row r="73" spans="1:44" ht="15" x14ac:dyDescent="0.25">
      <c r="A73" s="2"/>
      <c r="B73" s="1" t="s">
        <v>103</v>
      </c>
      <c r="C73" s="235" t="s">
        <v>72</v>
      </c>
      <c r="D73" s="75">
        <f>SUM(F73:AR73)</f>
        <v>11168099.600257816</v>
      </c>
      <c r="F73" s="16">
        <f>F67*$D$63</f>
        <v>205691.16424327891</v>
      </c>
      <c r="G73" s="16">
        <f t="shared" ref="G73:AR73" si="106">G67*$D$63</f>
        <v>209115.16654146891</v>
      </c>
      <c r="H73" s="16">
        <f t="shared" si="106"/>
        <v>212596.16590018474</v>
      </c>
      <c r="I73" s="16">
        <f t="shared" si="106"/>
        <v>216135.11111111109</v>
      </c>
      <c r="J73" s="16">
        <f t="shared" si="106"/>
        <v>219732.96675982876</v>
      </c>
      <c r="K73" s="16">
        <f t="shared" si="106"/>
        <v>223390.71348872525</v>
      </c>
      <c r="L73" s="16">
        <f t="shared" si="106"/>
        <v>227109.34826428143</v>
      </c>
      <c r="M73" s="16">
        <f t="shared" si="106"/>
        <v>230889.8846488079</v>
      </c>
      <c r="N73" s="16">
        <f t="shared" si="106"/>
        <v>234733.35307670454</v>
      </c>
      <c r="O73" s="16">
        <f t="shared" si="106"/>
        <v>238640.80113531867</v>
      </c>
      <c r="P73" s="16">
        <f t="shared" si="106"/>
        <v>242613.2938504788</v>
      </c>
      <c r="Q73" s="16">
        <f t="shared" si="106"/>
        <v>246651.91397678124</v>
      </c>
      <c r="R73" s="16">
        <f t="shared" si="106"/>
        <v>250757.76229270888</v>
      </c>
      <c r="S73" s="16">
        <f t="shared" si="106"/>
        <v>254931.95790066279</v>
      </c>
      <c r="T73" s="16">
        <f t="shared" si="106"/>
        <v>259175.63853198802</v>
      </c>
      <c r="U73" s="16">
        <f t="shared" si="106"/>
        <v>263489.96085707733</v>
      </c>
      <c r="V73" s="16">
        <f t="shared" si="106"/>
        <v>267876.10080063646</v>
      </c>
      <c r="W73" s="16">
        <f t="shared" si="106"/>
        <v>272335.25386219792</v>
      </c>
      <c r="X73" s="16">
        <f t="shared" si="106"/>
        <v>276868.63544196979</v>
      </c>
      <c r="Y73" s="16">
        <f t="shared" si="106"/>
        <v>281477.4811721092</v>
      </c>
      <c r="Z73" s="16">
        <f t="shared" si="106"/>
        <v>286163.04725350946</v>
      </c>
      <c r="AA73" s="16">
        <f t="shared" si="106"/>
        <v>290926.61079819431</v>
      </c>
      <c r="AB73" s="16">
        <f t="shared" si="106"/>
        <v>295769.47017741145</v>
      </c>
      <c r="AC73" s="16">
        <f t="shared" si="106"/>
        <v>300692.94537552015</v>
      </c>
      <c r="AD73" s="16">
        <f t="shared" si="106"/>
        <v>305698.37834977068</v>
      </c>
      <c r="AE73" s="16">
        <f t="shared" si="106"/>
        <v>310787.13339607202</v>
      </c>
      <c r="AF73" s="16">
        <f t="shared" si="106"/>
        <v>315960.5975208481</v>
      </c>
      <c r="AG73" s="16">
        <f t="shared" si="106"/>
        <v>321220.18081908504</v>
      </c>
      <c r="AH73" s="16">
        <f t="shared" si="106"/>
        <v>326567.31685867067</v>
      </c>
      <c r="AI73" s="16">
        <f t="shared" si="106"/>
        <v>332003.46307113185</v>
      </c>
      <c r="AJ73" s="16">
        <f t="shared" si="106"/>
        <v>337530.10114887677</v>
      </c>
      <c r="AK73" s="16">
        <f t="shared" si="106"/>
        <v>343148.73744904931</v>
      </c>
      <c r="AL73" s="16">
        <f t="shared" si="106"/>
        <v>348860.90340410656</v>
      </c>
      <c r="AM73" s="16">
        <f t="shared" si="106"/>
        <v>354668.15593923011</v>
      </c>
      <c r="AN73" s="16">
        <f t="shared" si="106"/>
        <v>360572.07789668679</v>
      </c>
      <c r="AO73" s="16">
        <f t="shared" si="106"/>
        <v>366574.27846725285</v>
      </c>
      <c r="AP73" s="16">
        <f t="shared" si="106"/>
        <v>372676.3936288195</v>
      </c>
      <c r="AQ73" s="16">
        <f t="shared" si="106"/>
        <v>378880.08659230045</v>
      </c>
      <c r="AR73" s="16">
        <f t="shared" si="106"/>
        <v>385187.04825496144</v>
      </c>
    </row>
    <row r="74" spans="1:44" ht="15" x14ac:dyDescent="0.25">
      <c r="A74" s="2"/>
      <c r="B74" s="58" t="s">
        <v>106</v>
      </c>
      <c r="C74" s="240" t="s">
        <v>72</v>
      </c>
      <c r="D74" s="85">
        <f>SUM(F74:AR74)</f>
        <v>489022.32531069033</v>
      </c>
      <c r="E74" s="58"/>
      <c r="F74" s="86">
        <f>F68*$D$64</f>
        <v>9006.6864582573471</v>
      </c>
      <c r="G74" s="86">
        <f t="shared" ref="G74:AR74" si="107">G68*$D$64</f>
        <v>9156.6147026017461</v>
      </c>
      <c r="H74" s="86">
        <f t="shared" si="107"/>
        <v>9309.0387014676708</v>
      </c>
      <c r="I74" s="86">
        <f t="shared" si="107"/>
        <v>9464</v>
      </c>
      <c r="J74" s="86">
        <f t="shared" si="107"/>
        <v>9621.5408349176523</v>
      </c>
      <c r="K74" s="86">
        <f t="shared" si="107"/>
        <v>9781.7041460257678</v>
      </c>
      <c r="L74" s="86">
        <f t="shared" si="107"/>
        <v>9944.5335879195081</v>
      </c>
      <c r="M74" s="86">
        <f t="shared" si="107"/>
        <v>10110.073541882683</v>
      </c>
      <c r="N74" s="86">
        <f t="shared" si="107"/>
        <v>10278.369127984442</v>
      </c>
      <c r="O74" s="86">
        <f t="shared" si="107"/>
        <v>10449.466217377352</v>
      </c>
      <c r="P74" s="86">
        <f t="shared" si="107"/>
        <v>10623.411444800156</v>
      </c>
      <c r="Q74" s="86">
        <f t="shared" si="107"/>
        <v>10800.2522212887</v>
      </c>
      <c r="R74" s="86">
        <f t="shared" si="107"/>
        <v>10980.036747098406</v>
      </c>
      <c r="S74" s="86">
        <f t="shared" si="107"/>
        <v>11162.814024841895</v>
      </c>
      <c r="T74" s="86">
        <f t="shared" si="107"/>
        <v>11348.633872845285</v>
      </c>
      <c r="U74" s="86">
        <f t="shared" si="107"/>
        <v>11537.546938726813</v>
      </c>
      <c r="V74" s="86">
        <f t="shared" si="107"/>
        <v>11729.604713201519</v>
      </c>
      <c r="W74" s="86">
        <f t="shared" si="107"/>
        <v>11924.859544115701</v>
      </c>
      <c r="X74" s="86">
        <f t="shared" si="107"/>
        <v>12123.364650714995</v>
      </c>
      <c r="Y74" s="86">
        <f t="shared" si="107"/>
        <v>12325.174138149991</v>
      </c>
      <c r="Z74" s="86">
        <f t="shared" si="107"/>
        <v>12530.34301222328</v>
      </c>
      <c r="AA74" s="86">
        <f t="shared" si="107"/>
        <v>12738.927194382011</v>
      </c>
      <c r="AB74" s="86">
        <f t="shared" si="107"/>
        <v>12950.983536960006</v>
      </c>
      <c r="AC74" s="86">
        <f t="shared" si="107"/>
        <v>13166.569838673598</v>
      </c>
      <c r="AD74" s="86">
        <f t="shared" si="107"/>
        <v>13385.744860375438</v>
      </c>
      <c r="AE74" s="86">
        <f t="shared" si="107"/>
        <v>13608.568341070519</v>
      </c>
      <c r="AF74" s="86">
        <f t="shared" si="107"/>
        <v>13835.101014198814</v>
      </c>
      <c r="AG74" s="86">
        <f t="shared" si="107"/>
        <v>14065.404624188979</v>
      </c>
      <c r="AH74" s="86">
        <f t="shared" si="107"/>
        <v>14299.541943287601</v>
      </c>
      <c r="AI74" s="86">
        <f t="shared" si="107"/>
        <v>14537.57678866857</v>
      </c>
      <c r="AJ74" s="86">
        <f t="shared" si="107"/>
        <v>14779.574039827312</v>
      </c>
      <c r="AK74" s="86">
        <f t="shared" si="107"/>
        <v>15025.59965626451</v>
      </c>
      <c r="AL74" s="86">
        <f t="shared" si="107"/>
        <v>15275.720695464246</v>
      </c>
      <c r="AM74" s="86">
        <f t="shared" si="107"/>
        <v>15530.00533117138</v>
      </c>
      <c r="AN74" s="86">
        <f t="shared" si="107"/>
        <v>15788.522871973188</v>
      </c>
      <c r="AO74" s="86">
        <f t="shared" si="107"/>
        <v>16051.343780190336</v>
      </c>
      <c r="AP74" s="86">
        <f t="shared" si="107"/>
        <v>16318.539691082289</v>
      </c>
      <c r="AQ74" s="86">
        <f t="shared" si="107"/>
        <v>16590.183432372436</v>
      </c>
      <c r="AR74" s="86">
        <f t="shared" si="107"/>
        <v>16866.349044098235</v>
      </c>
    </row>
    <row r="75" spans="1:44" ht="15" x14ac:dyDescent="0.25">
      <c r="A75" s="2"/>
      <c r="B75" s="1" t="s">
        <v>231</v>
      </c>
      <c r="C75" s="235" t="s">
        <v>72</v>
      </c>
      <c r="D75" s="75">
        <f>SUM(F75:AR75)</f>
        <v>11657121.925568506</v>
      </c>
      <c r="F75" s="16">
        <f>SUM(F73:F74)</f>
        <v>214697.85070153626</v>
      </c>
      <c r="G75" s="16">
        <f t="shared" ref="G75:AR75" si="108">SUM(G73:G74)</f>
        <v>218271.78124407065</v>
      </c>
      <c r="H75" s="16">
        <f t="shared" si="108"/>
        <v>221905.20460165243</v>
      </c>
      <c r="I75" s="16">
        <f t="shared" si="108"/>
        <v>225599.11111111109</v>
      </c>
      <c r="J75" s="16">
        <f t="shared" si="108"/>
        <v>229354.50759474642</v>
      </c>
      <c r="K75" s="16">
        <f t="shared" si="108"/>
        <v>233172.41763475101</v>
      </c>
      <c r="L75" s="16">
        <f t="shared" si="108"/>
        <v>237053.88185220095</v>
      </c>
      <c r="M75" s="16">
        <f t="shared" si="108"/>
        <v>240999.95819069058</v>
      </c>
      <c r="N75" s="16">
        <f t="shared" si="108"/>
        <v>245011.72220468899</v>
      </c>
      <c r="O75" s="16">
        <f t="shared" si="108"/>
        <v>249090.26735269601</v>
      </c>
      <c r="P75" s="16">
        <f t="shared" si="108"/>
        <v>253236.70529527895</v>
      </c>
      <c r="Q75" s="16">
        <f t="shared" si="108"/>
        <v>257452.16619806996</v>
      </c>
      <c r="R75" s="16">
        <f t="shared" si="108"/>
        <v>261737.79903980729</v>
      </c>
      <c r="S75" s="16">
        <f t="shared" si="108"/>
        <v>266094.77192550467</v>
      </c>
      <c r="T75" s="16">
        <f t="shared" si="108"/>
        <v>270524.27240483329</v>
      </c>
      <c r="U75" s="16">
        <f t="shared" si="108"/>
        <v>275027.50779580412</v>
      </c>
      <c r="V75" s="16">
        <f t="shared" si="108"/>
        <v>279605.70551383798</v>
      </c>
      <c r="W75" s="16">
        <f t="shared" si="108"/>
        <v>284260.11340631364</v>
      </c>
      <c r="X75" s="16">
        <f t="shared" si="108"/>
        <v>288992.00009268476</v>
      </c>
      <c r="Y75" s="16">
        <f t="shared" si="108"/>
        <v>293802.6553102592</v>
      </c>
      <c r="Z75" s="16">
        <f t="shared" si="108"/>
        <v>298693.39026573271</v>
      </c>
      <c r="AA75" s="16">
        <f t="shared" si="108"/>
        <v>303665.53799257631</v>
      </c>
      <c r="AB75" s="16">
        <f t="shared" si="108"/>
        <v>308720.45371437148</v>
      </c>
      <c r="AC75" s="16">
        <f t="shared" si="108"/>
        <v>313859.51521419373</v>
      </c>
      <c r="AD75" s="16">
        <f t="shared" si="108"/>
        <v>319084.12321014609</v>
      </c>
      <c r="AE75" s="16">
        <f t="shared" si="108"/>
        <v>324395.70173714252</v>
      </c>
      <c r="AF75" s="16">
        <f t="shared" si="108"/>
        <v>329795.69853504689</v>
      </c>
      <c r="AG75" s="16">
        <f t="shared" si="108"/>
        <v>335285.585443274</v>
      </c>
      <c r="AH75" s="16">
        <f t="shared" si="108"/>
        <v>340866.85880195827</v>
      </c>
      <c r="AI75" s="16">
        <f t="shared" si="108"/>
        <v>346541.03985980042</v>
      </c>
      <c r="AJ75" s="16">
        <f t="shared" si="108"/>
        <v>352309.6751887041</v>
      </c>
      <c r="AK75" s="16">
        <f t="shared" si="108"/>
        <v>358174.33710531384</v>
      </c>
      <c r="AL75" s="16">
        <f t="shared" si="108"/>
        <v>364136.62409957079</v>
      </c>
      <c r="AM75" s="16">
        <f t="shared" si="108"/>
        <v>370198.1612704015</v>
      </c>
      <c r="AN75" s="16">
        <f t="shared" si="108"/>
        <v>376360.60076865996</v>
      </c>
      <c r="AO75" s="16">
        <f t="shared" si="108"/>
        <v>382625.62224744319</v>
      </c>
      <c r="AP75" s="16">
        <f t="shared" si="108"/>
        <v>388994.93331990181</v>
      </c>
      <c r="AQ75" s="16">
        <f t="shared" si="108"/>
        <v>395470.27002467291</v>
      </c>
      <c r="AR75" s="16">
        <f t="shared" si="108"/>
        <v>402053.39729905967</v>
      </c>
    </row>
    <row r="76" spans="1:44" ht="15" x14ac:dyDescent="0.25">
      <c r="A76" s="2"/>
      <c r="C76" s="235"/>
      <c r="D76" s="75"/>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row>
    <row r="77" spans="1:44" s="9" customFormat="1" x14ac:dyDescent="0.2">
      <c r="A77" s="8" t="s">
        <v>238</v>
      </c>
      <c r="B77" s="8"/>
      <c r="C77" s="236"/>
    </row>
    <row r="78" spans="1:44" ht="15" x14ac:dyDescent="0.25">
      <c r="A78" s="2" t="s">
        <v>239</v>
      </c>
      <c r="C78" s="18"/>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row>
    <row r="79" spans="1:44" x14ac:dyDescent="0.2">
      <c r="B79" s="1" t="s">
        <v>209</v>
      </c>
      <c r="C79" s="235" t="s">
        <v>72</v>
      </c>
      <c r="D79" s="75">
        <f>SUM(F79:AR79)</f>
        <v>5403868.4577687969</v>
      </c>
      <c r="F79" s="16">
        <f t="shared" ref="F79:AR79" si="109">F$11*F15*(F$48-F$75)</f>
        <v>0</v>
      </c>
      <c r="G79" s="16">
        <f t="shared" si="109"/>
        <v>0</v>
      </c>
      <c r="H79" s="16">
        <f t="shared" si="109"/>
        <v>0</v>
      </c>
      <c r="I79" s="16">
        <f t="shared" si="109"/>
        <v>0</v>
      </c>
      <c r="J79" s="16">
        <f t="shared" si="109"/>
        <v>0</v>
      </c>
      <c r="K79" s="16">
        <f t="shared" si="109"/>
        <v>0</v>
      </c>
      <c r="L79" s="16">
        <f t="shared" si="109"/>
        <v>0</v>
      </c>
      <c r="M79" s="16">
        <f t="shared" si="109"/>
        <v>0</v>
      </c>
      <c r="N79" s="16">
        <f t="shared" si="109"/>
        <v>0</v>
      </c>
      <c r="O79" s="16">
        <f t="shared" si="109"/>
        <v>229929.47755633478</v>
      </c>
      <c r="P79" s="16">
        <f t="shared" si="109"/>
        <v>233756.95873410368</v>
      </c>
      <c r="Q79" s="16">
        <f t="shared" si="109"/>
        <v>237648.15341360305</v>
      </c>
      <c r="R79" s="16">
        <f t="shared" si="109"/>
        <v>241604.12219059136</v>
      </c>
      <c r="S79" s="16">
        <f t="shared" si="109"/>
        <v>245625.94331585045</v>
      </c>
      <c r="T79" s="16">
        <f t="shared" si="109"/>
        <v>249714.71298907691</v>
      </c>
      <c r="U79" s="16">
        <f t="shared" si="109"/>
        <v>253871.54565766529</v>
      </c>
      <c r="V79" s="16">
        <f t="shared" si="109"/>
        <v>258097.57432046568</v>
      </c>
      <c r="W79" s="16">
        <f t="shared" si="109"/>
        <v>262393.95083659719</v>
      </c>
      <c r="X79" s="16">
        <f t="shared" si="109"/>
        <v>266761.84623940138</v>
      </c>
      <c r="Y79" s="16">
        <f t="shared" si="109"/>
        <v>271202.45105562382</v>
      </c>
      <c r="Z79" s="16">
        <f t="shared" si="109"/>
        <v>275716.97562990716</v>
      </c>
      <c r="AA79" s="16">
        <f t="shared" si="109"/>
        <v>280306.65045468573</v>
      </c>
      <c r="AB79" s="16">
        <f t="shared" si="109"/>
        <v>284972.72650557355</v>
      </c>
      <c r="AC79" s="16">
        <f t="shared" si="109"/>
        <v>289716.4755823327</v>
      </c>
      <c r="AD79" s="16">
        <f t="shared" si="109"/>
        <v>294539.1906555196</v>
      </c>
      <c r="AE79" s="16">
        <f t="shared" si="109"/>
        <v>299442.18621890072</v>
      </c>
      <c r="AF79" s="16">
        <f t="shared" si="109"/>
        <v>304426.79864773562</v>
      </c>
      <c r="AG79" s="16">
        <f t="shared" si="109"/>
        <v>309494.38656302216</v>
      </c>
      <c r="AH79" s="16">
        <f t="shared" si="109"/>
        <v>314646.33120180748</v>
      </c>
      <c r="AI79" s="16">
        <f t="shared" si="109"/>
        <v>0</v>
      </c>
      <c r="AJ79" s="16">
        <f t="shared" si="109"/>
        <v>0</v>
      </c>
      <c r="AK79" s="16">
        <f t="shared" si="109"/>
        <v>0</v>
      </c>
      <c r="AL79" s="16">
        <f t="shared" si="109"/>
        <v>0</v>
      </c>
      <c r="AM79" s="16">
        <f t="shared" si="109"/>
        <v>0</v>
      </c>
      <c r="AN79" s="16">
        <f t="shared" si="109"/>
        <v>0</v>
      </c>
      <c r="AO79" s="16">
        <f t="shared" si="109"/>
        <v>0</v>
      </c>
      <c r="AP79" s="16">
        <f t="shared" si="109"/>
        <v>0</v>
      </c>
      <c r="AQ79" s="16">
        <f t="shared" si="109"/>
        <v>0</v>
      </c>
      <c r="AR79" s="16">
        <f t="shared" si="109"/>
        <v>0</v>
      </c>
    </row>
    <row r="80" spans="1:44" x14ac:dyDescent="0.2">
      <c r="B80" s="1" t="str">
        <f>Inputs!$C$30</f>
        <v>2% Discount Factor</v>
      </c>
      <c r="C80" s="235" t="s">
        <v>72</v>
      </c>
      <c r="D80" s="75">
        <f>SUM(F80:AR80)</f>
        <v>3958351.0086512989</v>
      </c>
      <c r="F80" s="16">
        <f t="shared" ref="F80:AR80" si="110">F$11*F16*(F$48-F$75)</f>
        <v>0</v>
      </c>
      <c r="G80" s="16">
        <f t="shared" si="110"/>
        <v>0</v>
      </c>
      <c r="H80" s="16">
        <f t="shared" si="110"/>
        <v>0</v>
      </c>
      <c r="I80" s="16">
        <f t="shared" si="110"/>
        <v>0</v>
      </c>
      <c r="J80" s="16">
        <f t="shared" si="110"/>
        <v>0</v>
      </c>
      <c r="K80" s="16">
        <f t="shared" si="110"/>
        <v>0</v>
      </c>
      <c r="L80" s="16">
        <f t="shared" si="110"/>
        <v>0</v>
      </c>
      <c r="M80" s="16">
        <f t="shared" si="110"/>
        <v>0</v>
      </c>
      <c r="N80" s="16">
        <f t="shared" si="110"/>
        <v>0</v>
      </c>
      <c r="O80" s="16">
        <f t="shared" si="110"/>
        <v>204170.79599104761</v>
      </c>
      <c r="P80" s="16">
        <f t="shared" si="110"/>
        <v>203499.49974780661</v>
      </c>
      <c r="Q80" s="16">
        <f t="shared" si="110"/>
        <v>202830.41066962067</v>
      </c>
      <c r="R80" s="16">
        <f t="shared" si="110"/>
        <v>202163.52149951854</v>
      </c>
      <c r="S80" s="16">
        <f t="shared" si="110"/>
        <v>201498.82500438919</v>
      </c>
      <c r="T80" s="16">
        <f t="shared" si="110"/>
        <v>200836.31397490358</v>
      </c>
      <c r="U80" s="16">
        <f t="shared" si="110"/>
        <v>200175.981225436</v>
      </c>
      <c r="V80" s="16">
        <f t="shared" si="110"/>
        <v>199517.81959398685</v>
      </c>
      <c r="W80" s="16">
        <f t="shared" si="110"/>
        <v>198861.82194210452</v>
      </c>
      <c r="X80" s="16">
        <f t="shared" si="110"/>
        <v>198207.9811548077</v>
      </c>
      <c r="Y80" s="16">
        <f t="shared" si="110"/>
        <v>197556.29014050873</v>
      </c>
      <c r="Z80" s="16">
        <f t="shared" si="110"/>
        <v>196906.74183093672</v>
      </c>
      <c r="AA80" s="16">
        <f t="shared" si="110"/>
        <v>196259.32918106022</v>
      </c>
      <c r="AB80" s="16">
        <f t="shared" si="110"/>
        <v>195614.04516901166</v>
      </c>
      <c r="AC80" s="16">
        <f t="shared" si="110"/>
        <v>194970.8827960105</v>
      </c>
      <c r="AD80" s="16">
        <f t="shared" si="110"/>
        <v>194329.83508628767</v>
      </c>
      <c r="AE80" s="16">
        <f t="shared" si="110"/>
        <v>193690.8950870097</v>
      </c>
      <c r="AF80" s="16">
        <f t="shared" si="110"/>
        <v>193054.05586820393</v>
      </c>
      <c r="AG80" s="16">
        <f t="shared" si="110"/>
        <v>192419.31052268218</v>
      </c>
      <c r="AH80" s="16">
        <f t="shared" si="110"/>
        <v>191786.65216596701</v>
      </c>
      <c r="AI80" s="16">
        <f t="shared" si="110"/>
        <v>0</v>
      </c>
      <c r="AJ80" s="16">
        <f t="shared" si="110"/>
        <v>0</v>
      </c>
      <c r="AK80" s="16">
        <f t="shared" si="110"/>
        <v>0</v>
      </c>
      <c r="AL80" s="16">
        <f t="shared" si="110"/>
        <v>0</v>
      </c>
      <c r="AM80" s="16">
        <f t="shared" si="110"/>
        <v>0</v>
      </c>
      <c r="AN80" s="16">
        <f t="shared" si="110"/>
        <v>0</v>
      </c>
      <c r="AO80" s="16">
        <f t="shared" si="110"/>
        <v>0</v>
      </c>
      <c r="AP80" s="16">
        <f t="shared" si="110"/>
        <v>0</v>
      </c>
      <c r="AQ80" s="16">
        <f t="shared" si="110"/>
        <v>0</v>
      </c>
      <c r="AR80" s="16">
        <f t="shared" si="110"/>
        <v>0</v>
      </c>
    </row>
    <row r="81" spans="2:44" x14ac:dyDescent="0.2">
      <c r="B81" s="1" t="str">
        <f>Inputs!$C$31</f>
        <v>3.1% Discount Factor</v>
      </c>
      <c r="C81" s="235" t="s">
        <v>72</v>
      </c>
      <c r="D81" s="75">
        <f>SUM(F81:AR81)</f>
        <v>3362386.1773837046</v>
      </c>
      <c r="F81" s="16">
        <f t="shared" ref="F81:AR81" si="111">F$11*F17*(F$48-F$75)</f>
        <v>0</v>
      </c>
      <c r="G81" s="16">
        <f t="shared" si="111"/>
        <v>0</v>
      </c>
      <c r="H81" s="16">
        <f t="shared" si="111"/>
        <v>0</v>
      </c>
      <c r="I81" s="16">
        <f t="shared" si="111"/>
        <v>0</v>
      </c>
      <c r="J81" s="16">
        <f t="shared" si="111"/>
        <v>0</v>
      </c>
      <c r="K81" s="16">
        <f t="shared" si="111"/>
        <v>0</v>
      </c>
      <c r="L81" s="16">
        <f t="shared" si="111"/>
        <v>0</v>
      </c>
      <c r="M81" s="16">
        <f t="shared" si="111"/>
        <v>0</v>
      </c>
      <c r="N81" s="16">
        <f t="shared" si="111"/>
        <v>0</v>
      </c>
      <c r="O81" s="16">
        <f t="shared" si="111"/>
        <v>191444.39719308008</v>
      </c>
      <c r="P81" s="16">
        <f t="shared" si="111"/>
        <v>188779.09132298318</v>
      </c>
      <c r="Q81" s="16">
        <f t="shared" si="111"/>
        <v>186150.89207750064</v>
      </c>
      <c r="R81" s="16">
        <f t="shared" si="111"/>
        <v>183559.28285491496</v>
      </c>
      <c r="S81" s="16">
        <f t="shared" si="111"/>
        <v>181003.75424568346</v>
      </c>
      <c r="T81" s="16">
        <f t="shared" si="111"/>
        <v>178483.80393230839</v>
      </c>
      <c r="U81" s="16">
        <f t="shared" si="111"/>
        <v>175998.93659060058</v>
      </c>
      <c r="V81" s="16">
        <f t="shared" si="111"/>
        <v>173548.66379231826</v>
      </c>
      <c r="W81" s="16">
        <f t="shared" si="111"/>
        <v>171132.50390916114</v>
      </c>
      <c r="X81" s="16">
        <f t="shared" si="111"/>
        <v>168749.98201810021</v>
      </c>
      <c r="Y81" s="16">
        <f t="shared" si="111"/>
        <v>166400.62980802744</v>
      </c>
      <c r="Z81" s="16">
        <f t="shared" si="111"/>
        <v>164083.98548770367</v>
      </c>
      <c r="AA81" s="16">
        <f t="shared" si="111"/>
        <v>161799.59369498791</v>
      </c>
      <c r="AB81" s="16">
        <f t="shared" si="111"/>
        <v>159547.00540733166</v>
      </c>
      <c r="AC81" s="16">
        <f t="shared" si="111"/>
        <v>157325.77785351788</v>
      </c>
      <c r="AD81" s="16">
        <f t="shared" si="111"/>
        <v>155135.47442662969</v>
      </c>
      <c r="AE81" s="16">
        <f t="shared" si="111"/>
        <v>152975.66459823045</v>
      </c>
      <c r="AF81" s="16">
        <f t="shared" si="111"/>
        <v>150845.92383373875</v>
      </c>
      <c r="AG81" s="16">
        <f t="shared" si="111"/>
        <v>148745.83350898104</v>
      </c>
      <c r="AH81" s="16">
        <f t="shared" si="111"/>
        <v>146674.98082790666</v>
      </c>
      <c r="AI81" s="16">
        <f t="shared" si="111"/>
        <v>0</v>
      </c>
      <c r="AJ81" s="16">
        <f t="shared" si="111"/>
        <v>0</v>
      </c>
      <c r="AK81" s="16">
        <f t="shared" si="111"/>
        <v>0</v>
      </c>
      <c r="AL81" s="16">
        <f t="shared" si="111"/>
        <v>0</v>
      </c>
      <c r="AM81" s="16">
        <f t="shared" si="111"/>
        <v>0</v>
      </c>
      <c r="AN81" s="16">
        <f t="shared" si="111"/>
        <v>0</v>
      </c>
      <c r="AO81" s="16">
        <f t="shared" si="111"/>
        <v>0</v>
      </c>
      <c r="AP81" s="16">
        <f t="shared" si="111"/>
        <v>0</v>
      </c>
      <c r="AQ81" s="16">
        <f t="shared" si="111"/>
        <v>0</v>
      </c>
      <c r="AR81" s="16">
        <f t="shared" si="111"/>
        <v>0</v>
      </c>
    </row>
    <row r="82" spans="2:44" x14ac:dyDescent="0.2">
      <c r="C82" s="235"/>
      <c r="D82" s="7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4CD0-86FA-43CD-AE33-31957FAF9407}">
  <sheetPr>
    <tabColor theme="9"/>
  </sheetPr>
  <dimension ref="A1:AS108"/>
  <sheetViews>
    <sheetView workbookViewId="0">
      <pane xSplit="4" ySplit="11" topLeftCell="E12" activePane="bottomRight" state="frozen"/>
      <selection pane="topRight" activeCell="E1" sqref="E1"/>
      <selection pane="bottomLeft" activeCell="A12" sqref="A12"/>
      <selection pane="bottomRight" activeCell="C3" sqref="C3:D3"/>
    </sheetView>
  </sheetViews>
  <sheetFormatPr defaultColWidth="0" defaultRowHeight="14.25" x14ac:dyDescent="0.2"/>
  <cols>
    <col min="1" max="1" width="10.5703125"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240</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216</v>
      </c>
      <c r="C21" s="18"/>
    </row>
    <row r="22" spans="1:44" x14ac:dyDescent="0.2">
      <c r="C22" s="235"/>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ht="15" x14ac:dyDescent="0.25">
      <c r="B23" s="2" t="s">
        <v>241</v>
      </c>
      <c r="C23" s="235"/>
      <c r="D23" s="7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x14ac:dyDescent="0.2">
      <c r="B24" s="1" t="s">
        <v>135</v>
      </c>
      <c r="C24" s="235" t="s">
        <v>136</v>
      </c>
      <c r="D24" s="92">
        <f>Inputs!$E$89</f>
        <v>136.5</v>
      </c>
      <c r="F24" s="96">
        <f t="shared" ref="F24:AR24" si="13">IF(F7=$D$25,$D$24,0)</f>
        <v>0</v>
      </c>
      <c r="G24" s="96">
        <f t="shared" si="13"/>
        <v>0</v>
      </c>
      <c r="H24" s="96">
        <f t="shared" si="13"/>
        <v>0</v>
      </c>
      <c r="I24" s="96">
        <f t="shared" si="13"/>
        <v>0</v>
      </c>
      <c r="J24" s="96">
        <f t="shared" si="13"/>
        <v>0</v>
      </c>
      <c r="K24" s="96">
        <f t="shared" si="13"/>
        <v>136.5</v>
      </c>
      <c r="L24" s="96">
        <f t="shared" si="13"/>
        <v>0</v>
      </c>
      <c r="M24" s="96">
        <f t="shared" si="13"/>
        <v>0</v>
      </c>
      <c r="N24" s="96">
        <f t="shared" si="13"/>
        <v>0</v>
      </c>
      <c r="O24" s="96">
        <f t="shared" si="13"/>
        <v>0</v>
      </c>
      <c r="P24" s="96">
        <f t="shared" si="13"/>
        <v>0</v>
      </c>
      <c r="Q24" s="96">
        <f t="shared" si="13"/>
        <v>0</v>
      </c>
      <c r="R24" s="96">
        <f t="shared" si="13"/>
        <v>0</v>
      </c>
      <c r="S24" s="96">
        <f t="shared" si="13"/>
        <v>0</v>
      </c>
      <c r="T24" s="96">
        <f t="shared" si="13"/>
        <v>0</v>
      </c>
      <c r="U24" s="96">
        <f t="shared" si="13"/>
        <v>0</v>
      </c>
      <c r="V24" s="96">
        <f t="shared" si="13"/>
        <v>0</v>
      </c>
      <c r="W24" s="96">
        <f t="shared" si="13"/>
        <v>0</v>
      </c>
      <c r="X24" s="96">
        <f t="shared" si="13"/>
        <v>0</v>
      </c>
      <c r="Y24" s="96">
        <f t="shared" si="13"/>
        <v>0</v>
      </c>
      <c r="Z24" s="96">
        <f t="shared" si="13"/>
        <v>0</v>
      </c>
      <c r="AA24" s="96">
        <f t="shared" si="13"/>
        <v>0</v>
      </c>
      <c r="AB24" s="96">
        <f t="shared" si="13"/>
        <v>0</v>
      </c>
      <c r="AC24" s="96">
        <f t="shared" si="13"/>
        <v>0</v>
      </c>
      <c r="AD24" s="96">
        <f t="shared" si="13"/>
        <v>0</v>
      </c>
      <c r="AE24" s="96">
        <f t="shared" si="13"/>
        <v>0</v>
      </c>
      <c r="AF24" s="96">
        <f t="shared" si="13"/>
        <v>0</v>
      </c>
      <c r="AG24" s="96">
        <f t="shared" si="13"/>
        <v>0</v>
      </c>
      <c r="AH24" s="96">
        <f t="shared" si="13"/>
        <v>0</v>
      </c>
      <c r="AI24" s="96">
        <f t="shared" si="13"/>
        <v>0</v>
      </c>
      <c r="AJ24" s="96">
        <f t="shared" si="13"/>
        <v>0</v>
      </c>
      <c r="AK24" s="96">
        <f t="shared" si="13"/>
        <v>0</v>
      </c>
      <c r="AL24" s="96">
        <f t="shared" si="13"/>
        <v>0</v>
      </c>
      <c r="AM24" s="96">
        <f t="shared" si="13"/>
        <v>0</v>
      </c>
      <c r="AN24" s="96">
        <f t="shared" si="13"/>
        <v>0</v>
      </c>
      <c r="AO24" s="96">
        <f t="shared" si="13"/>
        <v>0</v>
      </c>
      <c r="AP24" s="96">
        <f t="shared" si="13"/>
        <v>0</v>
      </c>
      <c r="AQ24" s="96">
        <f t="shared" si="13"/>
        <v>0</v>
      </c>
      <c r="AR24" s="96">
        <f t="shared" si="13"/>
        <v>0</v>
      </c>
    </row>
    <row r="25" spans="1:44" x14ac:dyDescent="0.2">
      <c r="B25" s="1" t="s">
        <v>101</v>
      </c>
      <c r="C25" s="235" t="s">
        <v>102</v>
      </c>
      <c r="D25" s="20">
        <f>Inputs!$E$90</f>
        <v>2023</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1:44" x14ac:dyDescent="0.2">
      <c r="B26" s="1" t="s">
        <v>138</v>
      </c>
      <c r="C26" s="235" t="s">
        <v>136</v>
      </c>
      <c r="D26" s="92">
        <f>Inputs!$E$91</f>
        <v>642</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1:44" x14ac:dyDescent="0.2">
      <c r="B27" s="1" t="s">
        <v>140</v>
      </c>
      <c r="C27" s="235" t="s">
        <v>102</v>
      </c>
      <c r="D27" s="20">
        <f>Inputs!$E$93</f>
        <v>2046</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x14ac:dyDescent="0.2">
      <c r="B28" s="1" t="s">
        <v>242</v>
      </c>
      <c r="C28" s="235" t="s">
        <v>136</v>
      </c>
      <c r="D28" s="15">
        <f>(D26-D24)/(D27-D25)</f>
        <v>21.978260869565219</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1:44" x14ac:dyDescent="0.2">
      <c r="B29" s="1" t="s">
        <v>243</v>
      </c>
      <c r="C29" s="235" t="s">
        <v>244</v>
      </c>
      <c r="D29" s="17"/>
      <c r="F29" s="16">
        <f t="shared" ref="F29:AR29" si="14">IF(F7&gt;$D$25,1,0)</f>
        <v>0</v>
      </c>
      <c r="G29" s="16">
        <f t="shared" si="14"/>
        <v>0</v>
      </c>
      <c r="H29" s="16">
        <f t="shared" si="14"/>
        <v>0</v>
      </c>
      <c r="I29" s="16">
        <f t="shared" si="14"/>
        <v>0</v>
      </c>
      <c r="J29" s="16">
        <f t="shared" si="14"/>
        <v>0</v>
      </c>
      <c r="K29" s="16">
        <f t="shared" si="14"/>
        <v>0</v>
      </c>
      <c r="L29" s="16">
        <f t="shared" si="14"/>
        <v>1</v>
      </c>
      <c r="M29" s="16">
        <f t="shared" si="14"/>
        <v>1</v>
      </c>
      <c r="N29" s="16">
        <f t="shared" si="14"/>
        <v>1</v>
      </c>
      <c r="O29" s="16">
        <f t="shared" si="14"/>
        <v>1</v>
      </c>
      <c r="P29" s="16">
        <f t="shared" si="14"/>
        <v>1</v>
      </c>
      <c r="Q29" s="16">
        <f t="shared" si="14"/>
        <v>1</v>
      </c>
      <c r="R29" s="16">
        <f t="shared" si="14"/>
        <v>1</v>
      </c>
      <c r="S29" s="16">
        <f t="shared" si="14"/>
        <v>1</v>
      </c>
      <c r="T29" s="16">
        <f t="shared" si="14"/>
        <v>1</v>
      </c>
      <c r="U29" s="16">
        <f t="shared" si="14"/>
        <v>1</v>
      </c>
      <c r="V29" s="16">
        <f t="shared" si="14"/>
        <v>1</v>
      </c>
      <c r="W29" s="16">
        <f t="shared" si="14"/>
        <v>1</v>
      </c>
      <c r="X29" s="16">
        <f t="shared" si="14"/>
        <v>1</v>
      </c>
      <c r="Y29" s="16">
        <f t="shared" si="14"/>
        <v>1</v>
      </c>
      <c r="Z29" s="16">
        <f t="shared" si="14"/>
        <v>1</v>
      </c>
      <c r="AA29" s="16">
        <f t="shared" si="14"/>
        <v>1</v>
      </c>
      <c r="AB29" s="16">
        <f t="shared" si="14"/>
        <v>1</v>
      </c>
      <c r="AC29" s="16">
        <f t="shared" si="14"/>
        <v>1</v>
      </c>
      <c r="AD29" s="16">
        <f t="shared" si="14"/>
        <v>1</v>
      </c>
      <c r="AE29" s="16">
        <f t="shared" si="14"/>
        <v>1</v>
      </c>
      <c r="AF29" s="16">
        <f t="shared" si="14"/>
        <v>1</v>
      </c>
      <c r="AG29" s="16">
        <f t="shared" si="14"/>
        <v>1</v>
      </c>
      <c r="AH29" s="16">
        <f t="shared" si="14"/>
        <v>1</v>
      </c>
      <c r="AI29" s="16">
        <f t="shared" si="14"/>
        <v>1</v>
      </c>
      <c r="AJ29" s="16">
        <f t="shared" si="14"/>
        <v>1</v>
      </c>
      <c r="AK29" s="16">
        <f t="shared" si="14"/>
        <v>1</v>
      </c>
      <c r="AL29" s="16">
        <f t="shared" si="14"/>
        <v>1</v>
      </c>
      <c r="AM29" s="16">
        <f t="shared" si="14"/>
        <v>1</v>
      </c>
      <c r="AN29" s="16">
        <f t="shared" si="14"/>
        <v>1</v>
      </c>
      <c r="AO29" s="16">
        <f t="shared" si="14"/>
        <v>1</v>
      </c>
      <c r="AP29" s="16">
        <f t="shared" si="14"/>
        <v>1</v>
      </c>
      <c r="AQ29" s="16">
        <f t="shared" si="14"/>
        <v>1</v>
      </c>
      <c r="AR29" s="16">
        <f t="shared" si="14"/>
        <v>1</v>
      </c>
    </row>
    <row r="30" spans="1:44" ht="15" x14ac:dyDescent="0.25">
      <c r="A30" s="2"/>
      <c r="B30" s="1" t="s">
        <v>245</v>
      </c>
      <c r="C30" s="235" t="s">
        <v>136</v>
      </c>
      <c r="D30" s="92">
        <f>SUM(F30:AR30)</f>
        <v>16970.804347826095</v>
      </c>
      <c r="F30" s="92">
        <f t="shared" ref="F30:AR30" si="15">E30+F24+F29*$D$28</f>
        <v>0</v>
      </c>
      <c r="G30" s="92">
        <f t="shared" si="15"/>
        <v>0</v>
      </c>
      <c r="H30" s="92">
        <f t="shared" si="15"/>
        <v>0</v>
      </c>
      <c r="I30" s="92">
        <f t="shared" si="15"/>
        <v>0</v>
      </c>
      <c r="J30" s="92">
        <f t="shared" si="15"/>
        <v>0</v>
      </c>
      <c r="K30" s="92">
        <f t="shared" si="15"/>
        <v>136.5</v>
      </c>
      <c r="L30" s="92">
        <f t="shared" si="15"/>
        <v>158.47826086956522</v>
      </c>
      <c r="M30" s="92">
        <f t="shared" si="15"/>
        <v>180.45652173913044</v>
      </c>
      <c r="N30" s="92">
        <f t="shared" si="15"/>
        <v>202.43478260869566</v>
      </c>
      <c r="O30" s="92">
        <f t="shared" si="15"/>
        <v>224.41304347826087</v>
      </c>
      <c r="P30" s="92">
        <f t="shared" si="15"/>
        <v>246.39130434782609</v>
      </c>
      <c r="Q30" s="92">
        <f t="shared" si="15"/>
        <v>268.36956521739131</v>
      </c>
      <c r="R30" s="92">
        <f t="shared" si="15"/>
        <v>290.3478260869565</v>
      </c>
      <c r="S30" s="92">
        <f t="shared" si="15"/>
        <v>312.32608695652175</v>
      </c>
      <c r="T30" s="92">
        <f t="shared" si="15"/>
        <v>334.304347826087</v>
      </c>
      <c r="U30" s="92">
        <f t="shared" si="15"/>
        <v>356.28260869565224</v>
      </c>
      <c r="V30" s="92">
        <f t="shared" si="15"/>
        <v>378.26086956521749</v>
      </c>
      <c r="W30" s="92">
        <f t="shared" si="15"/>
        <v>400.23913043478274</v>
      </c>
      <c r="X30" s="92">
        <f t="shared" si="15"/>
        <v>422.21739130434798</v>
      </c>
      <c r="Y30" s="92">
        <f t="shared" si="15"/>
        <v>444.19565217391323</v>
      </c>
      <c r="Z30" s="92">
        <f t="shared" si="15"/>
        <v>466.17391304347848</v>
      </c>
      <c r="AA30" s="92">
        <f t="shared" si="15"/>
        <v>488.15217391304373</v>
      </c>
      <c r="AB30" s="92">
        <f t="shared" si="15"/>
        <v>510.13043478260897</v>
      </c>
      <c r="AC30" s="92">
        <f t="shared" si="15"/>
        <v>532.10869565217422</v>
      </c>
      <c r="AD30" s="92">
        <f t="shared" si="15"/>
        <v>554.08695652173947</v>
      </c>
      <c r="AE30" s="92">
        <f t="shared" si="15"/>
        <v>576.06521739130471</v>
      </c>
      <c r="AF30" s="92">
        <f t="shared" si="15"/>
        <v>598.04347826086996</v>
      </c>
      <c r="AG30" s="92">
        <f t="shared" si="15"/>
        <v>620.02173913043521</v>
      </c>
      <c r="AH30" s="92">
        <f t="shared" si="15"/>
        <v>642.00000000000045</v>
      </c>
      <c r="AI30" s="92">
        <f t="shared" si="15"/>
        <v>663.9782608695657</v>
      </c>
      <c r="AJ30" s="92">
        <f t="shared" si="15"/>
        <v>685.95652173913095</v>
      </c>
      <c r="AK30" s="92">
        <f t="shared" si="15"/>
        <v>707.9347826086962</v>
      </c>
      <c r="AL30" s="92">
        <f t="shared" si="15"/>
        <v>729.91304347826144</v>
      </c>
      <c r="AM30" s="92">
        <f t="shared" si="15"/>
        <v>751.89130434782669</v>
      </c>
      <c r="AN30" s="92">
        <f t="shared" si="15"/>
        <v>773.86956521739194</v>
      </c>
      <c r="AO30" s="92">
        <f t="shared" si="15"/>
        <v>795.84782608695718</v>
      </c>
      <c r="AP30" s="92">
        <f t="shared" si="15"/>
        <v>817.82608695652243</v>
      </c>
      <c r="AQ30" s="92">
        <f t="shared" si="15"/>
        <v>839.80434782608768</v>
      </c>
      <c r="AR30" s="92">
        <f t="shared" si="15"/>
        <v>861.78260869565293</v>
      </c>
    </row>
    <row r="31" spans="1:44" x14ac:dyDescent="0.2">
      <c r="C31" s="235"/>
      <c r="D31" s="92"/>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44" ht="15" x14ac:dyDescent="0.25">
      <c r="B32" s="2" t="s">
        <v>246</v>
      </c>
      <c r="C32" s="235"/>
      <c r="D32" s="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1:44" ht="15" x14ac:dyDescent="0.25">
      <c r="A33" s="2"/>
      <c r="B33" s="2" t="s">
        <v>221</v>
      </c>
      <c r="C33" s="235"/>
      <c r="D33" s="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x14ac:dyDescent="0.2">
      <c r="B34" s="1" t="s">
        <v>247</v>
      </c>
      <c r="C34" s="235" t="s">
        <v>116</v>
      </c>
      <c r="D34" s="97">
        <f>Inputs!$E$76</f>
        <v>19.600000000000001</v>
      </c>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ht="15" x14ac:dyDescent="0.25">
      <c r="A35" s="2"/>
      <c r="B35" s="1" t="s">
        <v>248</v>
      </c>
      <c r="C35" s="19" t="s">
        <v>127</v>
      </c>
      <c r="D35" s="15">
        <f>Inputs!$E$86</f>
        <v>1.67</v>
      </c>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ht="15" x14ac:dyDescent="0.25">
      <c r="A36" s="2"/>
      <c r="B36" s="1" t="s">
        <v>249</v>
      </c>
      <c r="C36" s="19" t="s">
        <v>60</v>
      </c>
      <c r="D36" s="247">
        <f>1-Inputs!$E$47</f>
        <v>0.97</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1:44" ht="15" x14ac:dyDescent="0.25">
      <c r="A37" s="2"/>
      <c r="B37" s="1" t="s">
        <v>250</v>
      </c>
      <c r="C37" s="19" t="s">
        <v>72</v>
      </c>
      <c r="D37" s="16">
        <f>SUM(F37:AR37)</f>
        <v>538823.71687565255</v>
      </c>
      <c r="F37" s="16">
        <f>F$30*$D$34*$D$35*$D$36</f>
        <v>0</v>
      </c>
      <c r="G37" s="16">
        <f t="shared" ref="G37:AR37" si="16">G$30*$D$34*$D$35*$D$36</f>
        <v>0</v>
      </c>
      <c r="H37" s="16">
        <f t="shared" si="16"/>
        <v>0</v>
      </c>
      <c r="I37" s="16">
        <f t="shared" si="16"/>
        <v>0</v>
      </c>
      <c r="J37" s="16">
        <f t="shared" si="16"/>
        <v>0</v>
      </c>
      <c r="K37" s="16">
        <f t="shared" si="16"/>
        <v>4333.8804599999994</v>
      </c>
      <c r="L37" s="16">
        <f t="shared" si="16"/>
        <v>5031.6911217391307</v>
      </c>
      <c r="M37" s="16">
        <f t="shared" si="16"/>
        <v>5729.5017834782611</v>
      </c>
      <c r="N37" s="16">
        <f t="shared" si="16"/>
        <v>6427.3124452173915</v>
      </c>
      <c r="O37" s="16">
        <f t="shared" si="16"/>
        <v>7125.123106956521</v>
      </c>
      <c r="P37" s="16">
        <f t="shared" si="16"/>
        <v>7822.9337686956524</v>
      </c>
      <c r="Q37" s="16">
        <f t="shared" si="16"/>
        <v>8520.7444304347828</v>
      </c>
      <c r="R37" s="16">
        <f t="shared" si="16"/>
        <v>9218.5550921739123</v>
      </c>
      <c r="S37" s="16">
        <f t="shared" si="16"/>
        <v>9916.3657539130454</v>
      </c>
      <c r="T37" s="16">
        <f t="shared" si="16"/>
        <v>10614.176415652177</v>
      </c>
      <c r="U37" s="16">
        <f t="shared" si="16"/>
        <v>11311.987077391308</v>
      </c>
      <c r="V37" s="16">
        <f t="shared" si="16"/>
        <v>12009.797739130439</v>
      </c>
      <c r="W37" s="16">
        <f t="shared" si="16"/>
        <v>12707.608400869569</v>
      </c>
      <c r="X37" s="16">
        <f t="shared" si="16"/>
        <v>13405.4190626087</v>
      </c>
      <c r="Y37" s="16">
        <f t="shared" si="16"/>
        <v>14103.229724347833</v>
      </c>
      <c r="Z37" s="16">
        <f t="shared" si="16"/>
        <v>14801.040386086965</v>
      </c>
      <c r="AA37" s="16">
        <f t="shared" si="16"/>
        <v>15498.851047826094</v>
      </c>
      <c r="AB37" s="16">
        <f t="shared" si="16"/>
        <v>16196.661709565224</v>
      </c>
      <c r="AC37" s="16">
        <f t="shared" si="16"/>
        <v>16894.47237130436</v>
      </c>
      <c r="AD37" s="16">
        <f t="shared" si="16"/>
        <v>17592.283033043488</v>
      </c>
      <c r="AE37" s="16">
        <f t="shared" si="16"/>
        <v>18290.093694782619</v>
      </c>
      <c r="AF37" s="16">
        <f t="shared" si="16"/>
        <v>18987.904356521747</v>
      </c>
      <c r="AG37" s="16">
        <f t="shared" si="16"/>
        <v>19685.715018260886</v>
      </c>
      <c r="AH37" s="16">
        <f t="shared" si="16"/>
        <v>20383.525680000013</v>
      </c>
      <c r="AI37" s="16">
        <f t="shared" si="16"/>
        <v>21081.336341739145</v>
      </c>
      <c r="AJ37" s="16">
        <f t="shared" si="16"/>
        <v>21779.147003478276</v>
      </c>
      <c r="AK37" s="16">
        <f t="shared" si="16"/>
        <v>22476.957665217411</v>
      </c>
      <c r="AL37" s="16">
        <f t="shared" si="16"/>
        <v>23174.768326956539</v>
      </c>
      <c r="AM37" s="16">
        <f t="shared" si="16"/>
        <v>23872.57898869567</v>
      </c>
      <c r="AN37" s="16">
        <f t="shared" si="16"/>
        <v>24570.389650434801</v>
      </c>
      <c r="AO37" s="16">
        <f t="shared" si="16"/>
        <v>25268.200312173936</v>
      </c>
      <c r="AP37" s="16">
        <f t="shared" si="16"/>
        <v>25966.010973913064</v>
      </c>
      <c r="AQ37" s="16">
        <f t="shared" si="16"/>
        <v>26663.821635652199</v>
      </c>
      <c r="AR37" s="16">
        <f t="shared" si="16"/>
        <v>27361.632297391327</v>
      </c>
    </row>
    <row r="38" spans="1:44" ht="15" x14ac:dyDescent="0.25">
      <c r="A38" s="2"/>
      <c r="C38" s="19"/>
      <c r="D38" s="247"/>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ht="15" x14ac:dyDescent="0.25">
      <c r="A39" s="2"/>
      <c r="B39" s="2" t="s">
        <v>222</v>
      </c>
      <c r="C39" s="235"/>
      <c r="D39" s="5"/>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1:44" ht="15" x14ac:dyDescent="0.25">
      <c r="A40" s="2"/>
      <c r="B40" s="1" t="s">
        <v>247</v>
      </c>
      <c r="C40" s="235" t="s">
        <v>116</v>
      </c>
      <c r="D40" s="97">
        <f>Inputs!$E$77</f>
        <v>35.799999999999997</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1:44" ht="15" x14ac:dyDescent="0.25">
      <c r="A41" s="2"/>
      <c r="B41" s="1" t="s">
        <v>248</v>
      </c>
      <c r="C41" s="19" t="s">
        <v>127</v>
      </c>
      <c r="D41" s="15">
        <f>Inputs!$E$87</f>
        <v>1</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1:44" ht="15" x14ac:dyDescent="0.25">
      <c r="A42" s="2"/>
      <c r="B42" s="1" t="s">
        <v>87</v>
      </c>
      <c r="C42" s="19" t="s">
        <v>60</v>
      </c>
      <c r="D42" s="247">
        <f>Inputs!$E$47</f>
        <v>0.03</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1:44" ht="15" x14ac:dyDescent="0.25">
      <c r="A43" s="2"/>
      <c r="B43" s="1" t="s">
        <v>250</v>
      </c>
      <c r="C43" s="19" t="s">
        <v>72</v>
      </c>
      <c r="D43" s="16">
        <f>SUM(F43:AR43)</f>
        <v>18226.643869565225</v>
      </c>
      <c r="F43" s="16">
        <f>F$30*$D$40*$D$41*$D$42</f>
        <v>0</v>
      </c>
      <c r="G43" s="16">
        <f t="shared" ref="G43:AR43" si="17">G$30*$D$40*$D$41*$D$42</f>
        <v>0</v>
      </c>
      <c r="H43" s="16">
        <f t="shared" si="17"/>
        <v>0</v>
      </c>
      <c r="I43" s="16">
        <f t="shared" si="17"/>
        <v>0</v>
      </c>
      <c r="J43" s="16">
        <f t="shared" si="17"/>
        <v>0</v>
      </c>
      <c r="K43" s="16">
        <f t="shared" si="17"/>
        <v>146.601</v>
      </c>
      <c r="L43" s="16">
        <f t="shared" si="17"/>
        <v>170.20565217391302</v>
      </c>
      <c r="M43" s="16">
        <f t="shared" si="17"/>
        <v>193.81030434782608</v>
      </c>
      <c r="N43" s="16">
        <f t="shared" si="17"/>
        <v>217.4149565217391</v>
      </c>
      <c r="O43" s="16">
        <f t="shared" si="17"/>
        <v>241.01960869565215</v>
      </c>
      <c r="P43" s="16">
        <f t="shared" si="17"/>
        <v>264.62426086956521</v>
      </c>
      <c r="Q43" s="16">
        <f t="shared" si="17"/>
        <v>288.22891304347826</v>
      </c>
      <c r="R43" s="16">
        <f t="shared" si="17"/>
        <v>311.83356521739125</v>
      </c>
      <c r="S43" s="16">
        <f t="shared" si="17"/>
        <v>335.43821739130436</v>
      </c>
      <c r="T43" s="16">
        <f t="shared" si="17"/>
        <v>359.04286956521742</v>
      </c>
      <c r="U43" s="16">
        <f t="shared" si="17"/>
        <v>382.64752173913047</v>
      </c>
      <c r="V43" s="16">
        <f t="shared" si="17"/>
        <v>406.25217391304358</v>
      </c>
      <c r="W43" s="16">
        <f t="shared" si="17"/>
        <v>429.85682608695663</v>
      </c>
      <c r="X43" s="16">
        <f t="shared" si="17"/>
        <v>453.46147826086968</v>
      </c>
      <c r="Y43" s="16">
        <f t="shared" si="17"/>
        <v>477.06613043478279</v>
      </c>
      <c r="Z43" s="16">
        <f t="shared" si="17"/>
        <v>500.67078260869584</v>
      </c>
      <c r="AA43" s="16">
        <f t="shared" si="17"/>
        <v>524.27543478260884</v>
      </c>
      <c r="AB43" s="16">
        <f t="shared" si="17"/>
        <v>547.88008695652195</v>
      </c>
      <c r="AC43" s="16">
        <f t="shared" si="17"/>
        <v>571.48473913043506</v>
      </c>
      <c r="AD43" s="16">
        <f t="shared" si="17"/>
        <v>595.08939130434817</v>
      </c>
      <c r="AE43" s="16">
        <f t="shared" si="17"/>
        <v>618.69404347826116</v>
      </c>
      <c r="AF43" s="16">
        <f t="shared" si="17"/>
        <v>642.29869565217427</v>
      </c>
      <c r="AG43" s="16">
        <f t="shared" si="17"/>
        <v>665.90334782608727</v>
      </c>
      <c r="AH43" s="16">
        <f t="shared" si="17"/>
        <v>689.50800000000038</v>
      </c>
      <c r="AI43" s="16">
        <f t="shared" si="17"/>
        <v>713.11265217391349</v>
      </c>
      <c r="AJ43" s="16">
        <f t="shared" si="17"/>
        <v>736.7173043478266</v>
      </c>
      <c r="AK43" s="16">
        <f t="shared" si="17"/>
        <v>760.32195652173959</v>
      </c>
      <c r="AL43" s="16">
        <f t="shared" si="17"/>
        <v>783.9266086956527</v>
      </c>
      <c r="AM43" s="16">
        <f t="shared" si="17"/>
        <v>807.5312608695657</v>
      </c>
      <c r="AN43" s="16">
        <f t="shared" si="17"/>
        <v>831.13591304347881</v>
      </c>
      <c r="AO43" s="16">
        <f t="shared" si="17"/>
        <v>854.74056521739192</v>
      </c>
      <c r="AP43" s="16">
        <f t="shared" si="17"/>
        <v>878.34521739130503</v>
      </c>
      <c r="AQ43" s="16">
        <f t="shared" si="17"/>
        <v>901.94986956521802</v>
      </c>
      <c r="AR43" s="16">
        <f t="shared" si="17"/>
        <v>925.55452173913113</v>
      </c>
    </row>
    <row r="44" spans="1:44" ht="15" x14ac:dyDescent="0.25">
      <c r="A44" s="2"/>
      <c r="C44" s="19"/>
      <c r="D44" s="15"/>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1:44" ht="15" x14ac:dyDescent="0.25">
      <c r="B45" s="2" t="s">
        <v>250</v>
      </c>
      <c r="C45" s="235"/>
      <c r="D45" s="7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1:44" ht="15" x14ac:dyDescent="0.25">
      <c r="A46" s="2"/>
      <c r="B46" s="1" t="s">
        <v>250</v>
      </c>
      <c r="C46" s="235" t="s">
        <v>251</v>
      </c>
      <c r="D46" s="75">
        <f>SUM(F46:AR46)</f>
        <v>557050.36074521777</v>
      </c>
      <c r="F46" s="16">
        <f>F37+F43</f>
        <v>0</v>
      </c>
      <c r="G46" s="16">
        <f t="shared" ref="G46:AR46" si="18">G37+G43</f>
        <v>0</v>
      </c>
      <c r="H46" s="16">
        <f t="shared" si="18"/>
        <v>0</v>
      </c>
      <c r="I46" s="16">
        <f t="shared" si="18"/>
        <v>0</v>
      </c>
      <c r="J46" s="16">
        <f t="shared" si="18"/>
        <v>0</v>
      </c>
      <c r="K46" s="16">
        <f t="shared" si="18"/>
        <v>4480.4814599999991</v>
      </c>
      <c r="L46" s="16">
        <f t="shared" si="18"/>
        <v>5201.8967739130439</v>
      </c>
      <c r="M46" s="16">
        <f t="shared" si="18"/>
        <v>5923.312087826087</v>
      </c>
      <c r="N46" s="16">
        <f t="shared" si="18"/>
        <v>6644.727401739131</v>
      </c>
      <c r="O46" s="16">
        <f t="shared" si="18"/>
        <v>7366.1427156521731</v>
      </c>
      <c r="P46" s="16">
        <f t="shared" si="18"/>
        <v>8087.558029565218</v>
      </c>
      <c r="Q46" s="16">
        <f t="shared" si="18"/>
        <v>8808.9733434782611</v>
      </c>
      <c r="R46" s="16">
        <f t="shared" si="18"/>
        <v>9530.3886573913042</v>
      </c>
      <c r="S46" s="16">
        <f t="shared" si="18"/>
        <v>10251.803971304349</v>
      </c>
      <c r="T46" s="16">
        <f t="shared" si="18"/>
        <v>10973.219285217394</v>
      </c>
      <c r="U46" s="16">
        <f t="shared" si="18"/>
        <v>11694.634599130439</v>
      </c>
      <c r="V46" s="16">
        <f t="shared" si="18"/>
        <v>12416.049913043484</v>
      </c>
      <c r="W46" s="16">
        <f t="shared" si="18"/>
        <v>13137.465226956525</v>
      </c>
      <c r="X46" s="16">
        <f t="shared" si="18"/>
        <v>13858.88054086957</v>
      </c>
      <c r="Y46" s="16">
        <f t="shared" si="18"/>
        <v>14580.295854782617</v>
      </c>
      <c r="Z46" s="16">
        <f t="shared" si="18"/>
        <v>15301.71116869566</v>
      </c>
      <c r="AA46" s="16">
        <f t="shared" si="18"/>
        <v>16023.126482608703</v>
      </c>
      <c r="AB46" s="16">
        <f t="shared" si="18"/>
        <v>16744.541796521746</v>
      </c>
      <c r="AC46" s="16">
        <f t="shared" si="18"/>
        <v>17465.957110434796</v>
      </c>
      <c r="AD46" s="16">
        <f t="shared" si="18"/>
        <v>18187.372424347835</v>
      </c>
      <c r="AE46" s="16">
        <f t="shared" si="18"/>
        <v>18908.787738260882</v>
      </c>
      <c r="AF46" s="16">
        <f t="shared" si="18"/>
        <v>19630.203052173922</v>
      </c>
      <c r="AG46" s="16">
        <f t="shared" si="18"/>
        <v>20351.618366086972</v>
      </c>
      <c r="AH46" s="16">
        <f t="shared" si="18"/>
        <v>21073.033680000015</v>
      </c>
      <c r="AI46" s="16">
        <f t="shared" si="18"/>
        <v>21794.448993913058</v>
      </c>
      <c r="AJ46" s="16">
        <f t="shared" si="18"/>
        <v>22515.864307826101</v>
      </c>
      <c r="AK46" s="16">
        <f t="shared" si="18"/>
        <v>23237.279621739151</v>
      </c>
      <c r="AL46" s="16">
        <f t="shared" si="18"/>
        <v>23958.694935652191</v>
      </c>
      <c r="AM46" s="16">
        <f t="shared" si="18"/>
        <v>24680.110249565234</v>
      </c>
      <c r="AN46" s="16">
        <f t="shared" si="18"/>
        <v>25401.525563478281</v>
      </c>
      <c r="AO46" s="16">
        <f t="shared" si="18"/>
        <v>26122.940877391327</v>
      </c>
      <c r="AP46" s="16">
        <f t="shared" si="18"/>
        <v>26844.35619130437</v>
      </c>
      <c r="AQ46" s="16">
        <f t="shared" si="18"/>
        <v>27565.771505217417</v>
      </c>
      <c r="AR46" s="16">
        <f t="shared" si="18"/>
        <v>28287.186819130457</v>
      </c>
    </row>
    <row r="47" spans="1:44" ht="15" x14ac:dyDescent="0.25">
      <c r="A47" s="2"/>
      <c r="B47" s="1" t="s">
        <v>66</v>
      </c>
      <c r="C47" s="235" t="s">
        <v>67</v>
      </c>
      <c r="D47" s="75">
        <f>Inputs!$E$32</f>
        <v>365</v>
      </c>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row>
    <row r="48" spans="1:44" x14ac:dyDescent="0.2">
      <c r="B48" s="1" t="s">
        <v>245</v>
      </c>
      <c r="C48" s="235" t="s">
        <v>252</v>
      </c>
      <c r="D48" s="75">
        <f>SUM(F48:AR48)</f>
        <v>203323381.67200446</v>
      </c>
      <c r="F48" s="16">
        <f>F46*$D$47</f>
        <v>0</v>
      </c>
      <c r="G48" s="16">
        <f t="shared" ref="G48:AR48" si="19">G46*$D$47</f>
        <v>0</v>
      </c>
      <c r="H48" s="16">
        <f t="shared" si="19"/>
        <v>0</v>
      </c>
      <c r="I48" s="16">
        <f t="shared" si="19"/>
        <v>0</v>
      </c>
      <c r="J48" s="16">
        <f t="shared" si="19"/>
        <v>0</v>
      </c>
      <c r="K48" s="16">
        <f t="shared" si="19"/>
        <v>1635375.7328999997</v>
      </c>
      <c r="L48" s="16">
        <f t="shared" si="19"/>
        <v>1898692.3224782611</v>
      </c>
      <c r="M48" s="16">
        <f t="shared" si="19"/>
        <v>2162008.912056522</v>
      </c>
      <c r="N48" s="16">
        <f t="shared" si="19"/>
        <v>2425325.5016347826</v>
      </c>
      <c r="O48" s="16">
        <f t="shared" si="19"/>
        <v>2688642.0912130433</v>
      </c>
      <c r="P48" s="16">
        <f t="shared" si="19"/>
        <v>2951958.6807913044</v>
      </c>
      <c r="Q48" s="16">
        <f t="shared" si="19"/>
        <v>3215275.2703695651</v>
      </c>
      <c r="R48" s="16">
        <f t="shared" si="19"/>
        <v>3478591.8599478258</v>
      </c>
      <c r="S48" s="16">
        <f t="shared" si="19"/>
        <v>3741908.4495260874</v>
      </c>
      <c r="T48" s="16">
        <f t="shared" si="19"/>
        <v>4005225.039104349</v>
      </c>
      <c r="U48" s="16">
        <f t="shared" si="19"/>
        <v>4268541.6286826106</v>
      </c>
      <c r="V48" s="16">
        <f t="shared" si="19"/>
        <v>4531858.2182608712</v>
      </c>
      <c r="W48" s="16">
        <f t="shared" si="19"/>
        <v>4795174.8078391319</v>
      </c>
      <c r="X48" s="16">
        <f t="shared" si="19"/>
        <v>5058491.3974173926</v>
      </c>
      <c r="Y48" s="16">
        <f t="shared" si="19"/>
        <v>5321807.9869956551</v>
      </c>
      <c r="Z48" s="16">
        <f t="shared" si="19"/>
        <v>5585124.5765739158</v>
      </c>
      <c r="AA48" s="16">
        <f t="shared" si="19"/>
        <v>5848441.1661521764</v>
      </c>
      <c r="AB48" s="16">
        <f t="shared" si="19"/>
        <v>6111757.7557304371</v>
      </c>
      <c r="AC48" s="16">
        <f t="shared" si="19"/>
        <v>6375074.3453087006</v>
      </c>
      <c r="AD48" s="16">
        <f t="shared" si="19"/>
        <v>6638390.9348869603</v>
      </c>
      <c r="AE48" s="16">
        <f t="shared" si="19"/>
        <v>6901707.5244652219</v>
      </c>
      <c r="AF48" s="16">
        <f t="shared" si="19"/>
        <v>7165024.1140434816</v>
      </c>
      <c r="AG48" s="16">
        <f t="shared" si="19"/>
        <v>7428340.7036217451</v>
      </c>
      <c r="AH48" s="16">
        <f t="shared" si="19"/>
        <v>7691657.2932000058</v>
      </c>
      <c r="AI48" s="16">
        <f t="shared" si="19"/>
        <v>7954973.8827782664</v>
      </c>
      <c r="AJ48" s="16">
        <f t="shared" si="19"/>
        <v>8218290.4723565271</v>
      </c>
      <c r="AK48" s="16">
        <f t="shared" si="19"/>
        <v>8481607.0619347896</v>
      </c>
      <c r="AL48" s="16">
        <f t="shared" si="19"/>
        <v>8744923.6515130494</v>
      </c>
      <c r="AM48" s="16">
        <f t="shared" si="19"/>
        <v>9008240.241091311</v>
      </c>
      <c r="AN48" s="16">
        <f t="shared" si="19"/>
        <v>9271556.8306695726</v>
      </c>
      <c r="AO48" s="16">
        <f t="shared" si="19"/>
        <v>9534873.4202478342</v>
      </c>
      <c r="AP48" s="16">
        <f t="shared" si="19"/>
        <v>9798190.0098260958</v>
      </c>
      <c r="AQ48" s="16">
        <f t="shared" si="19"/>
        <v>10061506.599404357</v>
      </c>
      <c r="AR48" s="16">
        <f t="shared" si="19"/>
        <v>10324823.188982617</v>
      </c>
    </row>
    <row r="49" spans="1:44" x14ac:dyDescent="0.2">
      <c r="C49" s="235"/>
      <c r="D49" s="75"/>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1:44" ht="15" x14ac:dyDescent="0.25">
      <c r="A50" s="2" t="s">
        <v>223</v>
      </c>
      <c r="C50" s="19"/>
      <c r="D50" s="15"/>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1:44" ht="15" x14ac:dyDescent="0.25">
      <c r="A51" s="2"/>
      <c r="B51" s="1" t="str">
        <f>Traffic!$B$52</f>
        <v>Pedestrian Forecast</v>
      </c>
      <c r="C51" s="19" t="s">
        <v>168</v>
      </c>
      <c r="D51" s="15"/>
      <c r="F51" s="16">
        <f>Traffic!F$52</f>
        <v>66.680335831680836</v>
      </c>
      <c r="G51" s="16">
        <f>Traffic!G$52</f>
        <v>67.040359895154836</v>
      </c>
      <c r="H51" s="16">
        <f>Traffic!H$52</f>
        <v>67.402327819958614</v>
      </c>
      <c r="I51" s="16">
        <f>Traffic!I$52</f>
        <v>67.766250101493057</v>
      </c>
      <c r="J51" s="16">
        <f>Traffic!J$52</f>
        <v>68.132137291826353</v>
      </c>
      <c r="K51" s="16">
        <f>Traffic!K$52</f>
        <v>68.500000000000014</v>
      </c>
      <c r="L51" s="16">
        <f>Traffic!L$52</f>
        <v>68.869848892336449</v>
      </c>
      <c r="M51" s="16">
        <f>Traffic!M$52</f>
        <v>69.241694692748254</v>
      </c>
      <c r="N51" s="16">
        <f>Traffic!N$52</f>
        <v>69.615548183049142</v>
      </c>
      <c r="O51" s="16">
        <f>Traffic!O$52</f>
        <v>69.991420203266586</v>
      </c>
      <c r="P51" s="16">
        <f>Traffic!P$52</f>
        <v>70.369321651956099</v>
      </c>
      <c r="Q51" s="16">
        <f>Traffic!Q$52</f>
        <v>70.749263486517293</v>
      </c>
      <c r="R51" s="16">
        <f>Traffic!R$52</f>
        <v>71.131256723511555</v>
      </c>
      <c r="S51" s="16">
        <f>Traffic!S$52</f>
        <v>71.515312438981468</v>
      </c>
      <c r="T51" s="16">
        <f>Traffic!T$52</f>
        <v>71.901441768772003</v>
      </c>
      <c r="U51" s="16">
        <f>Traffic!U$52</f>
        <v>72.289655908853362</v>
      </c>
      <c r="V51" s="16">
        <f>Traffic!V$52</f>
        <v>72.679966115645641</v>
      </c>
      <c r="W51" s="16">
        <f>Traffic!W$52</f>
        <v>73.072383706345221</v>
      </c>
      <c r="X51" s="16">
        <f>Traffic!X$52</f>
        <v>73.466920059252885</v>
      </c>
      <c r="Y51" s="16">
        <f>Traffic!Y$52</f>
        <v>73.863586614103752</v>
      </c>
      <c r="Z51" s="16">
        <f>Traffic!Z$52</f>
        <v>74.262394872398971</v>
      </c>
      <c r="AA51" s="16">
        <f>Traffic!AA$52</f>
        <v>74.663356397739236</v>
      </c>
      <c r="AB51" s="16">
        <f>Traffic!AB$52</f>
        <v>75.066482816160033</v>
      </c>
      <c r="AC51" s="16">
        <f>Traffic!AC$52</f>
        <v>75.471785816468767</v>
      </c>
      <c r="AD51" s="16">
        <f>Traffic!AD$52</f>
        <v>75.879277150583704</v>
      </c>
      <c r="AE51" s="16">
        <f>Traffic!AE$52</f>
        <v>76.288968633874688</v>
      </c>
      <c r="AF51" s="16">
        <f>Traffic!AF$52</f>
        <v>76.700872145505741</v>
      </c>
      <c r="AG51" s="16">
        <f>Traffic!AG$52</f>
        <v>77.114999628779515</v>
      </c>
      <c r="AH51" s="16">
        <f>Traffic!AH$52</f>
        <v>77.531363091483584</v>
      </c>
      <c r="AI51" s="16">
        <f>Traffic!AI$52</f>
        <v>77.949974606238612</v>
      </c>
      <c r="AJ51" s="16">
        <f>Traffic!AJ$52</f>
        <v>78.370846310848407</v>
      </c>
      <c r="AK51" s="16">
        <f>Traffic!AK$52</f>
        <v>78.793990408651851</v>
      </c>
      <c r="AL51" s="16">
        <f>Traffic!AL$52</f>
        <v>79.219419168876783</v>
      </c>
      <c r="AM51" s="16">
        <f>Traffic!AM$52</f>
        <v>79.647144926995679</v>
      </c>
      <c r="AN51" s="16">
        <f>Traffic!AN$52</f>
        <v>80.077180085083398</v>
      </c>
      <c r="AO51" s="16">
        <f>Traffic!AO$52</f>
        <v>80.50953711217673</v>
      </c>
      <c r="AP51" s="16">
        <f>Traffic!AP$52</f>
        <v>80.944228544635962</v>
      </c>
      <c r="AQ51" s="16">
        <f>Traffic!AQ$52</f>
        <v>81.381266986508379</v>
      </c>
      <c r="AR51" s="16">
        <f>Traffic!AR$52</f>
        <v>81.820665109893724</v>
      </c>
    </row>
    <row r="52" spans="1:44" ht="15" x14ac:dyDescent="0.25">
      <c r="A52" s="2"/>
      <c r="B52" s="1" t="s">
        <v>253</v>
      </c>
      <c r="C52" s="19" t="s">
        <v>85</v>
      </c>
      <c r="D52" s="15">
        <f>Inputs!$E$70</f>
        <v>0.26515151515151514</v>
      </c>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1:44" ht="15" x14ac:dyDescent="0.25">
      <c r="A53" s="2"/>
      <c r="B53" s="1" t="s">
        <v>254</v>
      </c>
      <c r="C53" s="19" t="s">
        <v>112</v>
      </c>
      <c r="D53" s="15">
        <f>Inputs!$E$72</f>
        <v>3.2</v>
      </c>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1:44" ht="15" x14ac:dyDescent="0.25">
      <c r="A54" s="2"/>
      <c r="B54" s="1" t="s">
        <v>255</v>
      </c>
      <c r="C54" s="19" t="s">
        <v>256</v>
      </c>
      <c r="D54" s="15">
        <f>D52/D53</f>
        <v>8.2859848484848481E-2</v>
      </c>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1:44" ht="15" x14ac:dyDescent="0.25">
      <c r="A55" s="2"/>
      <c r="B55" s="1" t="s">
        <v>257</v>
      </c>
      <c r="C55" s="19" t="s">
        <v>258</v>
      </c>
      <c r="D55" s="15"/>
      <c r="F55" s="16">
        <f>F51*$D$54</f>
        <v>5.5251225239318869</v>
      </c>
      <c r="G55" s="16">
        <f t="shared" ref="G55:AR55" si="20">G51*$D$54</f>
        <v>5.5549540632822421</v>
      </c>
      <c r="H55" s="16">
        <f t="shared" si="20"/>
        <v>5.5849466706878585</v>
      </c>
      <c r="I55" s="16">
        <f t="shared" si="20"/>
        <v>5.6151012157960629</v>
      </c>
      <c r="J55" s="16">
        <f t="shared" si="20"/>
        <v>5.6454185729496267</v>
      </c>
      <c r="K55" s="16">
        <f t="shared" si="20"/>
        <v>5.675899621212122</v>
      </c>
      <c r="L55" s="16">
        <f t="shared" si="20"/>
        <v>5.7065452443934079</v>
      </c>
      <c r="M55" s="16">
        <f t="shared" si="20"/>
        <v>5.7373563310752571</v>
      </c>
      <c r="N55" s="16">
        <f t="shared" si="20"/>
        <v>5.7683337746371208</v>
      </c>
      <c r="O55" s="16">
        <f t="shared" si="20"/>
        <v>5.7994784732820319</v>
      </c>
      <c r="P55" s="16">
        <f t="shared" si="20"/>
        <v>5.8307913300626497</v>
      </c>
      <c r="Q55" s="16">
        <f t="shared" si="20"/>
        <v>5.8622732529074462</v>
      </c>
      <c r="R55" s="16">
        <f t="shared" si="20"/>
        <v>5.893925154647027</v>
      </c>
      <c r="S55" s="16">
        <f t="shared" si="20"/>
        <v>5.9257479530406041</v>
      </c>
      <c r="T55" s="16">
        <f t="shared" si="20"/>
        <v>5.9577425708026039</v>
      </c>
      <c r="U55" s="16">
        <f t="shared" si="20"/>
        <v>5.989909935629421</v>
      </c>
      <c r="V55" s="16">
        <f t="shared" si="20"/>
        <v>6.0222509802263193</v>
      </c>
      <c r="W55" s="16">
        <f t="shared" si="20"/>
        <v>6.0547666423344761</v>
      </c>
      <c r="X55" s="16">
        <f t="shared" si="20"/>
        <v>6.0874578647581696</v>
      </c>
      <c r="Y55" s="16">
        <f t="shared" si="20"/>
        <v>6.120325595392119</v>
      </c>
      <c r="Z55" s="16">
        <f t="shared" si="20"/>
        <v>6.1533707872489671</v>
      </c>
      <c r="AA55" s="16">
        <f t="shared" si="20"/>
        <v>6.1865943984869158</v>
      </c>
      <c r="AB55" s="16">
        <f t="shared" si="20"/>
        <v>6.2199973924375023</v>
      </c>
      <c r="AC55" s="16">
        <f t="shared" si="20"/>
        <v>6.2535807376335386</v>
      </c>
      <c r="AD55" s="16">
        <f t="shared" si="20"/>
        <v>6.2873454078371909</v>
      </c>
      <c r="AE55" s="16">
        <f t="shared" si="20"/>
        <v>6.321292382068215</v>
      </c>
      <c r="AF55" s="16">
        <f t="shared" si="20"/>
        <v>6.3554226446323412</v>
      </c>
      <c r="AG55" s="16">
        <f t="shared" si="20"/>
        <v>6.3897371851498175</v>
      </c>
      <c r="AH55" s="16">
        <f t="shared" si="20"/>
        <v>6.4242369985841039</v>
      </c>
      <c r="AI55" s="16">
        <f t="shared" si="20"/>
        <v>6.458923085270718</v>
      </c>
      <c r="AJ55" s="16">
        <f t="shared" si="20"/>
        <v>6.4937964509462454</v>
      </c>
      <c r="AK55" s="16">
        <f t="shared" si="20"/>
        <v>6.5288581067774967</v>
      </c>
      <c r="AL55" s="16">
        <f t="shared" si="20"/>
        <v>6.5641090693908319</v>
      </c>
      <c r="AM55" s="16">
        <f t="shared" si="20"/>
        <v>6.5995503609016302</v>
      </c>
      <c r="AN55" s="16">
        <f t="shared" si="20"/>
        <v>6.6351830089439368</v>
      </c>
      <c r="AO55" s="16">
        <f t="shared" si="20"/>
        <v>6.6710080467002495</v>
      </c>
      <c r="AP55" s="16">
        <f t="shared" si="20"/>
        <v>6.707026512931483</v>
      </c>
      <c r="AQ55" s="16">
        <f t="shared" si="20"/>
        <v>6.743239452007086</v>
      </c>
      <c r="AR55" s="16">
        <f t="shared" si="20"/>
        <v>6.7796479139353227</v>
      </c>
    </row>
    <row r="56" spans="1:44" ht="15" x14ac:dyDescent="0.25">
      <c r="A56" s="2"/>
      <c r="C56" s="19"/>
      <c r="D56" s="15"/>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1:44" ht="15" x14ac:dyDescent="0.25">
      <c r="A57" s="2"/>
      <c r="B57" s="2" t="s">
        <v>246</v>
      </c>
      <c r="C57" s="19"/>
      <c r="D57" s="1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1:44" ht="15" x14ac:dyDescent="0.25">
      <c r="A58" s="2"/>
      <c r="B58" s="1" t="str">
        <f>Inputs!C77</f>
        <v>Walking, Cycling, Waiting, Standing, and Transfer Time</v>
      </c>
      <c r="C58" s="19" t="s">
        <v>116</v>
      </c>
      <c r="D58" s="98">
        <f>Inputs!$E$77</f>
        <v>35.799999999999997</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1:44" x14ac:dyDescent="0.2">
      <c r="B59" s="1" t="s">
        <v>259</v>
      </c>
      <c r="C59" s="19" t="s">
        <v>260</v>
      </c>
      <c r="D59" s="75">
        <f>SUM(F59:AR59)</f>
        <v>8560.8993841229658</v>
      </c>
      <c r="F59" s="16">
        <f>F55*$D$58</f>
        <v>197.79938635676154</v>
      </c>
      <c r="G59" s="16">
        <f t="shared" ref="G59:AR59" si="21">G55*$D$58</f>
        <v>198.86735546550426</v>
      </c>
      <c r="H59" s="16">
        <f t="shared" si="21"/>
        <v>199.94109081062533</v>
      </c>
      <c r="I59" s="16">
        <f t="shared" si="21"/>
        <v>201.02062352549905</v>
      </c>
      <c r="J59" s="16">
        <f t="shared" si="21"/>
        <v>202.10598491159661</v>
      </c>
      <c r="K59" s="16">
        <f t="shared" si="21"/>
        <v>203.19720643939394</v>
      </c>
      <c r="L59" s="16">
        <f t="shared" si="21"/>
        <v>204.294319749284</v>
      </c>
      <c r="M59" s="16">
        <f t="shared" si="21"/>
        <v>205.39735665249418</v>
      </c>
      <c r="N59" s="16">
        <f t="shared" si="21"/>
        <v>206.50634913200892</v>
      </c>
      <c r="O59" s="16">
        <f t="shared" si="21"/>
        <v>207.62132934349674</v>
      </c>
      <c r="P59" s="16">
        <f t="shared" si="21"/>
        <v>208.74232961624284</v>
      </c>
      <c r="Q59" s="16">
        <f t="shared" si="21"/>
        <v>209.86938245408655</v>
      </c>
      <c r="R59" s="16">
        <f t="shared" si="21"/>
        <v>211.00252053636356</v>
      </c>
      <c r="S59" s="16">
        <f t="shared" si="21"/>
        <v>212.14177671885361</v>
      </c>
      <c r="T59" s="16">
        <f t="shared" si="21"/>
        <v>213.2871840347332</v>
      </c>
      <c r="U59" s="16">
        <f t="shared" si="21"/>
        <v>214.43877569553325</v>
      </c>
      <c r="V59" s="16">
        <f t="shared" si="21"/>
        <v>215.5965850921022</v>
      </c>
      <c r="W59" s="16">
        <f t="shared" si="21"/>
        <v>216.76064579557422</v>
      </c>
      <c r="X59" s="16">
        <f t="shared" si="21"/>
        <v>217.93099155834247</v>
      </c>
      <c r="Y59" s="16">
        <f t="shared" si="21"/>
        <v>219.10765631503784</v>
      </c>
      <c r="Z59" s="16">
        <f t="shared" si="21"/>
        <v>220.290674183513</v>
      </c>
      <c r="AA59" s="16">
        <f t="shared" si="21"/>
        <v>221.48007946583158</v>
      </c>
      <c r="AB59" s="16">
        <f t="shared" si="21"/>
        <v>222.67590664926257</v>
      </c>
      <c r="AC59" s="16">
        <f t="shared" si="21"/>
        <v>223.87819040728067</v>
      </c>
      <c r="AD59" s="16">
        <f t="shared" si="21"/>
        <v>225.0869656005714</v>
      </c>
      <c r="AE59" s="16">
        <f t="shared" si="21"/>
        <v>226.30226727804208</v>
      </c>
      <c r="AF59" s="16">
        <f t="shared" si="21"/>
        <v>227.5241306778378</v>
      </c>
      <c r="AG59" s="16">
        <f t="shared" si="21"/>
        <v>228.75259122836346</v>
      </c>
      <c r="AH59" s="16">
        <f t="shared" si="21"/>
        <v>229.9876845493109</v>
      </c>
      <c r="AI59" s="16">
        <f t="shared" si="21"/>
        <v>231.22944645269169</v>
      </c>
      <c r="AJ59" s="16">
        <f t="shared" si="21"/>
        <v>232.47791294387557</v>
      </c>
      <c r="AK59" s="16">
        <f t="shared" si="21"/>
        <v>233.73312022263437</v>
      </c>
      <c r="AL59" s="16">
        <f t="shared" si="21"/>
        <v>234.99510468419177</v>
      </c>
      <c r="AM59" s="16">
        <f t="shared" si="21"/>
        <v>236.26390292027835</v>
      </c>
      <c r="AN59" s="16">
        <f t="shared" si="21"/>
        <v>237.53955172019292</v>
      </c>
      <c r="AO59" s="16">
        <f t="shared" si="21"/>
        <v>238.8220880718689</v>
      </c>
      <c r="AP59" s="16">
        <f t="shared" si="21"/>
        <v>240.11154916294709</v>
      </c>
      <c r="AQ59" s="16">
        <f t="shared" si="21"/>
        <v>241.40797238185365</v>
      </c>
      <c r="AR59" s="16">
        <f t="shared" si="21"/>
        <v>242.71139531888454</v>
      </c>
    </row>
    <row r="60" spans="1:44" x14ac:dyDescent="0.2">
      <c r="B60" s="1" t="s">
        <v>66</v>
      </c>
      <c r="C60" s="235" t="s">
        <v>67</v>
      </c>
      <c r="D60" s="75">
        <f>Inputs!$E$32</f>
        <v>365</v>
      </c>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1:44" x14ac:dyDescent="0.2">
      <c r="B61" s="1" t="s">
        <v>259</v>
      </c>
      <c r="C61" s="19" t="s">
        <v>252</v>
      </c>
      <c r="D61" s="75">
        <f>SUM(F61:AR61)</f>
        <v>3124728.2752048825</v>
      </c>
      <c r="F61" s="16">
        <f>F59*$D$60</f>
        <v>72196.776020217963</v>
      </c>
      <c r="G61" s="16">
        <f t="shared" ref="G61:AR61" si="22">G59*$D$60</f>
        <v>72586.584744909051</v>
      </c>
      <c r="H61" s="16">
        <f t="shared" si="22"/>
        <v>72978.498145878242</v>
      </c>
      <c r="I61" s="16">
        <f t="shared" si="22"/>
        <v>73372.527586807148</v>
      </c>
      <c r="J61" s="16">
        <f t="shared" si="22"/>
        <v>73768.684492732762</v>
      </c>
      <c r="K61" s="16">
        <f t="shared" si="22"/>
        <v>74166.980350378784</v>
      </c>
      <c r="L61" s="16">
        <f t="shared" si="22"/>
        <v>74567.426708488667</v>
      </c>
      <c r="M61" s="16">
        <f t="shared" si="22"/>
        <v>74970.035178160382</v>
      </c>
      <c r="N61" s="16">
        <f t="shared" si="22"/>
        <v>75374.817433183256</v>
      </c>
      <c r="O61" s="16">
        <f t="shared" si="22"/>
        <v>75781.785210376314</v>
      </c>
      <c r="P61" s="16">
        <f t="shared" si="22"/>
        <v>76190.950309928638</v>
      </c>
      <c r="Q61" s="16">
        <f t="shared" si="22"/>
        <v>76602.324595741593</v>
      </c>
      <c r="R61" s="16">
        <f t="shared" si="22"/>
        <v>77015.919995772696</v>
      </c>
      <c r="S61" s="16">
        <f t="shared" si="22"/>
        <v>77431.748502381568</v>
      </c>
      <c r="T61" s="16">
        <f t="shared" si="22"/>
        <v>77849.822172677625</v>
      </c>
      <c r="U61" s="16">
        <f t="shared" si="22"/>
        <v>78270.153128869642</v>
      </c>
      <c r="V61" s="16">
        <f t="shared" si="22"/>
        <v>78692.753558617303</v>
      </c>
      <c r="W61" s="16">
        <f t="shared" si="22"/>
        <v>79117.635715384589</v>
      </c>
      <c r="X61" s="16">
        <f t="shared" si="22"/>
        <v>79544.811918795007</v>
      </c>
      <c r="Y61" s="16">
        <f t="shared" si="22"/>
        <v>79974.29455498881</v>
      </c>
      <c r="Z61" s="16">
        <f t="shared" si="22"/>
        <v>80406.096076982241</v>
      </c>
      <c r="AA61" s="16">
        <f t="shared" si="22"/>
        <v>80840.229005028523</v>
      </c>
      <c r="AB61" s="16">
        <f t="shared" si="22"/>
        <v>81276.705926980838</v>
      </c>
      <c r="AC61" s="16">
        <f t="shared" si="22"/>
        <v>81715.539498657439</v>
      </c>
      <c r="AD61" s="16">
        <f t="shared" si="22"/>
        <v>82156.742444208561</v>
      </c>
      <c r="AE61" s="16">
        <f t="shared" si="22"/>
        <v>82600.327556485354</v>
      </c>
      <c r="AF61" s="16">
        <f t="shared" si="22"/>
        <v>83046.307697410797</v>
      </c>
      <c r="AG61" s="16">
        <f t="shared" si="22"/>
        <v>83494.695798352666</v>
      </c>
      <c r="AH61" s="16">
        <f t="shared" si="22"/>
        <v>83945.504860498477</v>
      </c>
      <c r="AI61" s="16">
        <f t="shared" si="22"/>
        <v>84398.747955232466</v>
      </c>
      <c r="AJ61" s="16">
        <f t="shared" si="22"/>
        <v>84854.438224514583</v>
      </c>
      <c r="AK61" s="16">
        <f t="shared" si="22"/>
        <v>85312.588881261545</v>
      </c>
      <c r="AL61" s="16">
        <f t="shared" si="22"/>
        <v>85773.213209729991</v>
      </c>
      <c r="AM61" s="16">
        <f t="shared" si="22"/>
        <v>86236.324565901596</v>
      </c>
      <c r="AN61" s="16">
        <f t="shared" si="22"/>
        <v>86701.936377870414</v>
      </c>
      <c r="AO61" s="16">
        <f t="shared" si="22"/>
        <v>87170.062146232143</v>
      </c>
      <c r="AP61" s="16">
        <f t="shared" si="22"/>
        <v>87640.715444475689</v>
      </c>
      <c r="AQ61" s="16">
        <f t="shared" si="22"/>
        <v>88113.909919376587</v>
      </c>
      <c r="AR61" s="16">
        <f t="shared" si="22"/>
        <v>88589.659291392862</v>
      </c>
    </row>
    <row r="62" spans="1:44" x14ac:dyDescent="0.2">
      <c r="C62" s="18"/>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row>
    <row r="63" spans="1:44" ht="15" x14ac:dyDescent="0.25">
      <c r="A63" s="2" t="s">
        <v>261</v>
      </c>
      <c r="C63" s="235"/>
      <c r="D63" s="75"/>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row>
    <row r="64" spans="1:44" x14ac:dyDescent="0.2">
      <c r="B64" s="1" t="s">
        <v>262</v>
      </c>
      <c r="C64" s="19" t="s">
        <v>252</v>
      </c>
      <c r="D64" s="75">
        <f>SUM(F64:AR64)</f>
        <v>206448109.94720936</v>
      </c>
      <c r="F64" s="16">
        <f>F48+F61</f>
        <v>72196.776020217963</v>
      </c>
      <c r="G64" s="16">
        <f t="shared" ref="G64:AR64" si="23">G48+G61</f>
        <v>72586.584744909051</v>
      </c>
      <c r="H64" s="16">
        <f t="shared" si="23"/>
        <v>72978.498145878242</v>
      </c>
      <c r="I64" s="16">
        <f t="shared" si="23"/>
        <v>73372.527586807148</v>
      </c>
      <c r="J64" s="16">
        <f t="shared" si="23"/>
        <v>73768.684492732762</v>
      </c>
      <c r="K64" s="16">
        <f t="shared" si="23"/>
        <v>1709542.7132503786</v>
      </c>
      <c r="L64" s="16">
        <f t="shared" si="23"/>
        <v>1973259.7491867498</v>
      </c>
      <c r="M64" s="16">
        <f t="shared" si="23"/>
        <v>2236978.9472346823</v>
      </c>
      <c r="N64" s="16">
        <f t="shared" si="23"/>
        <v>2500700.3190679657</v>
      </c>
      <c r="O64" s="16">
        <f t="shared" si="23"/>
        <v>2764423.8764234195</v>
      </c>
      <c r="P64" s="16">
        <f t="shared" si="23"/>
        <v>3028149.631101233</v>
      </c>
      <c r="Q64" s="16">
        <f t="shared" si="23"/>
        <v>3291877.5949653066</v>
      </c>
      <c r="R64" s="16">
        <f t="shared" si="23"/>
        <v>3555607.7799435984</v>
      </c>
      <c r="S64" s="16">
        <f t="shared" si="23"/>
        <v>3819340.198028469</v>
      </c>
      <c r="T64" s="16">
        <f t="shared" si="23"/>
        <v>4083074.8612770266</v>
      </c>
      <c r="U64" s="16">
        <f t="shared" si="23"/>
        <v>4346811.7818114804</v>
      </c>
      <c r="V64" s="16">
        <f t="shared" si="23"/>
        <v>4610550.9718194883</v>
      </c>
      <c r="W64" s="16">
        <f t="shared" si="23"/>
        <v>4874292.4435545169</v>
      </c>
      <c r="X64" s="16">
        <f t="shared" si="23"/>
        <v>5138036.2093361877</v>
      </c>
      <c r="Y64" s="16">
        <f t="shared" si="23"/>
        <v>5401782.281550644</v>
      </c>
      <c r="Z64" s="16">
        <f t="shared" si="23"/>
        <v>5665530.6726508979</v>
      </c>
      <c r="AA64" s="16">
        <f t="shared" si="23"/>
        <v>5929281.3951572049</v>
      </c>
      <c r="AB64" s="16">
        <f t="shared" si="23"/>
        <v>6193034.4616574179</v>
      </c>
      <c r="AC64" s="16">
        <f t="shared" si="23"/>
        <v>6456789.8848073576</v>
      </c>
      <c r="AD64" s="16">
        <f t="shared" si="23"/>
        <v>6720547.6773311691</v>
      </c>
      <c r="AE64" s="16">
        <f t="shared" si="23"/>
        <v>6984307.8520217072</v>
      </c>
      <c r="AF64" s="16">
        <f t="shared" si="23"/>
        <v>7248070.4217408923</v>
      </c>
      <c r="AG64" s="16">
        <f t="shared" si="23"/>
        <v>7511835.3994200975</v>
      </c>
      <c r="AH64" s="16">
        <f t="shared" si="23"/>
        <v>7775602.7980605047</v>
      </c>
      <c r="AI64" s="16">
        <f t="shared" si="23"/>
        <v>8039372.6307334993</v>
      </c>
      <c r="AJ64" s="16">
        <f t="shared" si="23"/>
        <v>8303144.9105810421</v>
      </c>
      <c r="AK64" s="16">
        <f t="shared" si="23"/>
        <v>8566919.6508160513</v>
      </c>
      <c r="AL64" s="16">
        <f t="shared" si="23"/>
        <v>8830696.864722779</v>
      </c>
      <c r="AM64" s="16">
        <f t="shared" si="23"/>
        <v>9094476.5656572133</v>
      </c>
      <c r="AN64" s="16">
        <f t="shared" si="23"/>
        <v>9358258.7670474425</v>
      </c>
      <c r="AO64" s="16">
        <f t="shared" si="23"/>
        <v>9622043.4823940657</v>
      </c>
      <c r="AP64" s="16">
        <f t="shared" si="23"/>
        <v>9885830.7252705712</v>
      </c>
      <c r="AQ64" s="16">
        <f t="shared" si="23"/>
        <v>10149620.509323735</v>
      </c>
      <c r="AR64" s="16">
        <f t="shared" si="23"/>
        <v>10413412.848274009</v>
      </c>
    </row>
    <row r="65" spans="1:44" x14ac:dyDescent="0.2">
      <c r="C65" s="19"/>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row>
    <row r="66" spans="1:44" s="9" customFormat="1" x14ac:dyDescent="0.2">
      <c r="A66" s="8" t="s">
        <v>211</v>
      </c>
      <c r="B66" s="13"/>
      <c r="C66" s="236"/>
    </row>
    <row r="67" spans="1:44" ht="15" x14ac:dyDescent="0.25">
      <c r="A67" s="2" t="s">
        <v>228</v>
      </c>
      <c r="C67" s="18"/>
    </row>
    <row r="68" spans="1:44" x14ac:dyDescent="0.2">
      <c r="B68" s="1" t="s">
        <v>216</v>
      </c>
      <c r="C68" s="235" t="s">
        <v>91</v>
      </c>
      <c r="D68" s="75">
        <f t="shared" ref="D68" si="24">SUM(F68:AR68)</f>
        <v>985873.22936411866</v>
      </c>
      <c r="F68" s="16">
        <f>Traffic!F56</f>
        <v>18157.5576510354</v>
      </c>
      <c r="G68" s="16">
        <f>Traffic!G56</f>
        <v>18459.814285905384</v>
      </c>
      <c r="H68" s="16">
        <f>Traffic!H56</f>
        <v>18767.102383435638</v>
      </c>
      <c r="I68" s="16">
        <f>Traffic!I56</f>
        <v>19079.505698996873</v>
      </c>
      <c r="J68" s="16">
        <f>Traffic!J56</f>
        <v>19397.109382179045</v>
      </c>
      <c r="K68" s="16">
        <f>Traffic!K56</f>
        <v>19720</v>
      </c>
      <c r="L68" s="16">
        <f>Traffic!L56</f>
        <v>20048.265560500433</v>
      </c>
      <c r="M68" s="16">
        <f>Traffic!M56</f>
        <v>20381.995536731629</v>
      </c>
      <c r="N68" s="16">
        <f>Traffic!N56</f>
        <v>20721.280891142509</v>
      </c>
      <c r="O68" s="16">
        <f>Traffic!O56</f>
        <v>21066.214100372621</v>
      </c>
      <c r="P68" s="16">
        <f>Traffic!P56</f>
        <v>21416.889180457863</v>
      </c>
      <c r="Q68" s="16">
        <f>Traffic!Q56</f>
        <v>21773.401712455769</v>
      </c>
      <c r="R68" s="16">
        <f>Traffic!R56</f>
        <v>22135.848868497371</v>
      </c>
      <c r="S68" s="16">
        <f>Traffic!S56</f>
        <v>22504.329438272736</v>
      </c>
      <c r="T68" s="16">
        <f>Traffic!T56</f>
        <v>22878.943855957372</v>
      </c>
      <c r="U68" s="16">
        <f>Traffic!U56</f>
        <v>23259.794227586874</v>
      </c>
      <c r="V68" s="16">
        <f>Traffic!V56</f>
        <v>23646.984358887257</v>
      </c>
      <c r="W68" s="16">
        <f>Traffic!W56</f>
        <v>24040.619783568553</v>
      </c>
      <c r="X68" s="16">
        <f>Traffic!X56</f>
        <v>24440.807792089392</v>
      </c>
      <c r="Y68" s="16">
        <f>Traffic!Y56</f>
        <v>24847.657460900427</v>
      </c>
      <c r="Z68" s="16">
        <f>Traffic!Z56</f>
        <v>25261.279682174529</v>
      </c>
      <c r="AA68" s="16">
        <f>Traffic!AA56</f>
        <v>25681.787194031895</v>
      </c>
      <c r="AB68" s="16">
        <f>Traffic!AB56</f>
        <v>26109.294611268291</v>
      </c>
      <c r="AC68" s="16">
        <f>Traffic!AC56</f>
        <v>26543.918456594809</v>
      </c>
      <c r="AD68" s="16">
        <f>Traffic!AD56</f>
        <v>26985.777192397643</v>
      </c>
      <c r="AE68" s="16">
        <f>Traffic!AE56</f>
        <v>27434.991253026561</v>
      </c>
      <c r="AF68" s="16">
        <f>Traffic!AF56</f>
        <v>27891.683077620844</v>
      </c>
      <c r="AG68" s="16">
        <f>Traffic!AG56</f>
        <v>28355.977143481679</v>
      </c>
      <c r="AH68" s="16">
        <f>Traffic!AH56</f>
        <v>28828.000000000062</v>
      </c>
      <c r="AI68" s="16">
        <f>Traffic!AI56</f>
        <v>29307.880303149479</v>
      </c>
      <c r="AJ68" s="16">
        <f>Traffic!AJ56</f>
        <v>29795.748850552773</v>
      </c>
      <c r="AK68" s="16">
        <f>Traffic!AK56</f>
        <v>30291.738617132734</v>
      </c>
      <c r="AL68" s="16">
        <f>Traffic!AL56</f>
        <v>30795.984791356146</v>
      </c>
      <c r="AM68" s="16">
        <f>Traffic!AM56</f>
        <v>31308.624812081165</v>
      </c>
      <c r="AN68" s="16">
        <f>Traffic!AN56</f>
        <v>31829.798406018061</v>
      </c>
      <c r="AO68" s="16">
        <f>Traffic!AO56</f>
        <v>32359.647625813563</v>
      </c>
      <c r="AP68" s="16">
        <f>Traffic!AP56</f>
        <v>32898.31688876915</v>
      </c>
      <c r="AQ68" s="16">
        <f>Traffic!AQ56</f>
        <v>33445.953016203872</v>
      </c>
      <c r="AR68" s="16">
        <f>Traffic!AR56</f>
        <v>34002.705273472398</v>
      </c>
    </row>
    <row r="69" spans="1:44" x14ac:dyDescent="0.2">
      <c r="C69" s="235"/>
      <c r="D69" s="75"/>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row>
    <row r="70" spans="1:44" ht="15" x14ac:dyDescent="0.25">
      <c r="B70" s="2" t="s">
        <v>241</v>
      </c>
      <c r="C70" s="235"/>
      <c r="D70" s="75"/>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row>
    <row r="71" spans="1:44" x14ac:dyDescent="0.2">
      <c r="B71" s="1" t="s">
        <v>135</v>
      </c>
      <c r="C71" s="235" t="s">
        <v>136</v>
      </c>
      <c r="D71" s="92">
        <f>Inputs!$E$95</f>
        <v>88.5</v>
      </c>
      <c r="F71" s="96">
        <f t="shared" ref="F71:AR71" si="25">IF(F7=$D$72,$D$71,0)</f>
        <v>0</v>
      </c>
      <c r="G71" s="96">
        <f t="shared" si="25"/>
        <v>0</v>
      </c>
      <c r="H71" s="96">
        <f t="shared" si="25"/>
        <v>0</v>
      </c>
      <c r="I71" s="96">
        <f t="shared" si="25"/>
        <v>0</v>
      </c>
      <c r="J71" s="96">
        <f t="shared" si="25"/>
        <v>0</v>
      </c>
      <c r="K71" s="96">
        <f t="shared" si="25"/>
        <v>88.5</v>
      </c>
      <c r="L71" s="96">
        <f t="shared" si="25"/>
        <v>0</v>
      </c>
      <c r="M71" s="96">
        <f t="shared" si="25"/>
        <v>0</v>
      </c>
      <c r="N71" s="96">
        <f t="shared" si="25"/>
        <v>0</v>
      </c>
      <c r="O71" s="96">
        <f t="shared" si="25"/>
        <v>0</v>
      </c>
      <c r="P71" s="96">
        <f t="shared" si="25"/>
        <v>0</v>
      </c>
      <c r="Q71" s="96">
        <f t="shared" si="25"/>
        <v>0</v>
      </c>
      <c r="R71" s="96">
        <f t="shared" si="25"/>
        <v>0</v>
      </c>
      <c r="S71" s="96">
        <f t="shared" si="25"/>
        <v>0</v>
      </c>
      <c r="T71" s="96">
        <f t="shared" si="25"/>
        <v>0</v>
      </c>
      <c r="U71" s="96">
        <f t="shared" si="25"/>
        <v>0</v>
      </c>
      <c r="V71" s="96">
        <f t="shared" si="25"/>
        <v>0</v>
      </c>
      <c r="W71" s="96">
        <f t="shared" si="25"/>
        <v>0</v>
      </c>
      <c r="X71" s="96">
        <f t="shared" si="25"/>
        <v>0</v>
      </c>
      <c r="Y71" s="96">
        <f t="shared" si="25"/>
        <v>0</v>
      </c>
      <c r="Z71" s="96">
        <f t="shared" si="25"/>
        <v>0</v>
      </c>
      <c r="AA71" s="96">
        <f t="shared" si="25"/>
        <v>0</v>
      </c>
      <c r="AB71" s="96">
        <f t="shared" si="25"/>
        <v>0</v>
      </c>
      <c r="AC71" s="96">
        <f t="shared" si="25"/>
        <v>0</v>
      </c>
      <c r="AD71" s="96">
        <f t="shared" si="25"/>
        <v>0</v>
      </c>
      <c r="AE71" s="96">
        <f t="shared" si="25"/>
        <v>0</v>
      </c>
      <c r="AF71" s="96">
        <f t="shared" si="25"/>
        <v>0</v>
      </c>
      <c r="AG71" s="96">
        <f t="shared" si="25"/>
        <v>0</v>
      </c>
      <c r="AH71" s="96">
        <f t="shared" si="25"/>
        <v>0</v>
      </c>
      <c r="AI71" s="96">
        <f t="shared" si="25"/>
        <v>0</v>
      </c>
      <c r="AJ71" s="96">
        <f t="shared" si="25"/>
        <v>0</v>
      </c>
      <c r="AK71" s="96">
        <f t="shared" si="25"/>
        <v>0</v>
      </c>
      <c r="AL71" s="96">
        <f t="shared" si="25"/>
        <v>0</v>
      </c>
      <c r="AM71" s="96">
        <f t="shared" si="25"/>
        <v>0</v>
      </c>
      <c r="AN71" s="96">
        <f t="shared" si="25"/>
        <v>0</v>
      </c>
      <c r="AO71" s="96">
        <f t="shared" si="25"/>
        <v>0</v>
      </c>
      <c r="AP71" s="96">
        <f t="shared" si="25"/>
        <v>0</v>
      </c>
      <c r="AQ71" s="96">
        <f t="shared" si="25"/>
        <v>0</v>
      </c>
      <c r="AR71" s="96">
        <f t="shared" si="25"/>
        <v>0</v>
      </c>
    </row>
    <row r="72" spans="1:44" x14ac:dyDescent="0.2">
      <c r="B72" s="1" t="s">
        <v>101</v>
      </c>
      <c r="C72" s="235" t="s">
        <v>102</v>
      </c>
      <c r="D72" s="20">
        <f>Inputs!$E$96</f>
        <v>2023</v>
      </c>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row>
    <row r="73" spans="1:44" x14ac:dyDescent="0.2">
      <c r="B73" s="1" t="s">
        <v>138</v>
      </c>
      <c r="C73" s="235" t="s">
        <v>136</v>
      </c>
      <c r="D73" s="92">
        <f>Inputs!$E$97</f>
        <v>345</v>
      </c>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row>
    <row r="74" spans="1:44" x14ac:dyDescent="0.2">
      <c r="B74" s="1" t="s">
        <v>140</v>
      </c>
      <c r="C74" s="235" t="s">
        <v>102</v>
      </c>
      <c r="D74" s="20">
        <f>Inputs!$E$99</f>
        <v>2046</v>
      </c>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row>
    <row r="75" spans="1:44" x14ac:dyDescent="0.2">
      <c r="B75" s="1" t="s">
        <v>242</v>
      </c>
      <c r="C75" s="235" t="s">
        <v>136</v>
      </c>
      <c r="D75" s="15">
        <f>(D73-D71)/(D74-D72)</f>
        <v>11.152173913043478</v>
      </c>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row>
    <row r="76" spans="1:44" x14ac:dyDescent="0.2">
      <c r="B76" s="1" t="s">
        <v>243</v>
      </c>
      <c r="C76" s="235" t="s">
        <v>244</v>
      </c>
      <c r="D76" s="17"/>
      <c r="F76" s="16">
        <f t="shared" ref="F76:AR76" si="26">IF(F7&gt;$D$72,1,0)</f>
        <v>0</v>
      </c>
      <c r="G76" s="16">
        <f t="shared" si="26"/>
        <v>0</v>
      </c>
      <c r="H76" s="16">
        <f t="shared" si="26"/>
        <v>0</v>
      </c>
      <c r="I76" s="16">
        <f t="shared" si="26"/>
        <v>0</v>
      </c>
      <c r="J76" s="16">
        <f t="shared" si="26"/>
        <v>0</v>
      </c>
      <c r="K76" s="16">
        <f t="shared" si="26"/>
        <v>0</v>
      </c>
      <c r="L76" s="16">
        <f t="shared" si="26"/>
        <v>1</v>
      </c>
      <c r="M76" s="16">
        <f t="shared" si="26"/>
        <v>1</v>
      </c>
      <c r="N76" s="16">
        <f t="shared" si="26"/>
        <v>1</v>
      </c>
      <c r="O76" s="16">
        <f t="shared" si="26"/>
        <v>1</v>
      </c>
      <c r="P76" s="16">
        <f t="shared" si="26"/>
        <v>1</v>
      </c>
      <c r="Q76" s="16">
        <f t="shared" si="26"/>
        <v>1</v>
      </c>
      <c r="R76" s="16">
        <f t="shared" si="26"/>
        <v>1</v>
      </c>
      <c r="S76" s="16">
        <f t="shared" si="26"/>
        <v>1</v>
      </c>
      <c r="T76" s="16">
        <f t="shared" si="26"/>
        <v>1</v>
      </c>
      <c r="U76" s="16">
        <f t="shared" si="26"/>
        <v>1</v>
      </c>
      <c r="V76" s="16">
        <f t="shared" si="26"/>
        <v>1</v>
      </c>
      <c r="W76" s="16">
        <f t="shared" si="26"/>
        <v>1</v>
      </c>
      <c r="X76" s="16">
        <f t="shared" si="26"/>
        <v>1</v>
      </c>
      <c r="Y76" s="16">
        <f t="shared" si="26"/>
        <v>1</v>
      </c>
      <c r="Z76" s="16">
        <f t="shared" si="26"/>
        <v>1</v>
      </c>
      <c r="AA76" s="16">
        <f t="shared" si="26"/>
        <v>1</v>
      </c>
      <c r="AB76" s="16">
        <f t="shared" si="26"/>
        <v>1</v>
      </c>
      <c r="AC76" s="16">
        <f t="shared" si="26"/>
        <v>1</v>
      </c>
      <c r="AD76" s="16">
        <f t="shared" si="26"/>
        <v>1</v>
      </c>
      <c r="AE76" s="16">
        <f t="shared" si="26"/>
        <v>1</v>
      </c>
      <c r="AF76" s="16">
        <f t="shared" si="26"/>
        <v>1</v>
      </c>
      <c r="AG76" s="16">
        <f t="shared" si="26"/>
        <v>1</v>
      </c>
      <c r="AH76" s="16">
        <f t="shared" si="26"/>
        <v>1</v>
      </c>
      <c r="AI76" s="16">
        <f t="shared" si="26"/>
        <v>1</v>
      </c>
      <c r="AJ76" s="16">
        <f t="shared" si="26"/>
        <v>1</v>
      </c>
      <c r="AK76" s="16">
        <f t="shared" si="26"/>
        <v>1</v>
      </c>
      <c r="AL76" s="16">
        <f t="shared" si="26"/>
        <v>1</v>
      </c>
      <c r="AM76" s="16">
        <f t="shared" si="26"/>
        <v>1</v>
      </c>
      <c r="AN76" s="16">
        <f t="shared" si="26"/>
        <v>1</v>
      </c>
      <c r="AO76" s="16">
        <f t="shared" si="26"/>
        <v>1</v>
      </c>
      <c r="AP76" s="16">
        <f t="shared" si="26"/>
        <v>1</v>
      </c>
      <c r="AQ76" s="16">
        <f t="shared" si="26"/>
        <v>1</v>
      </c>
      <c r="AR76" s="16">
        <f t="shared" si="26"/>
        <v>1</v>
      </c>
    </row>
    <row r="77" spans="1:44" ht="15" x14ac:dyDescent="0.25">
      <c r="A77" s="2"/>
      <c r="B77" s="1" t="s">
        <v>245</v>
      </c>
      <c r="C77" s="235" t="s">
        <v>136</v>
      </c>
      <c r="D77" s="92">
        <f>SUM(F77:AR77)</f>
        <v>9265.3695652173956</v>
      </c>
      <c r="F77" s="92">
        <f t="shared" ref="F77:J77" si="27">E77+F71+F76*$D$75</f>
        <v>0</v>
      </c>
      <c r="G77" s="92">
        <f t="shared" si="27"/>
        <v>0</v>
      </c>
      <c r="H77" s="92">
        <f t="shared" si="27"/>
        <v>0</v>
      </c>
      <c r="I77" s="92">
        <f t="shared" si="27"/>
        <v>0</v>
      </c>
      <c r="J77" s="92">
        <f t="shared" si="27"/>
        <v>0</v>
      </c>
      <c r="K77" s="92">
        <f>J77+K71+K76*$D$75</f>
        <v>88.5</v>
      </c>
      <c r="L77" s="92">
        <f t="shared" ref="L77:AR77" si="28">K77+L71+L76*$D$75</f>
        <v>99.652173913043484</v>
      </c>
      <c r="M77" s="92">
        <f t="shared" si="28"/>
        <v>110.80434782608697</v>
      </c>
      <c r="N77" s="92">
        <f t="shared" si="28"/>
        <v>121.95652173913045</v>
      </c>
      <c r="O77" s="92">
        <f t="shared" si="28"/>
        <v>133.10869565217394</v>
      </c>
      <c r="P77" s="92">
        <f t="shared" si="28"/>
        <v>144.2608695652174</v>
      </c>
      <c r="Q77" s="92">
        <f t="shared" si="28"/>
        <v>155.41304347826087</v>
      </c>
      <c r="R77" s="92">
        <f t="shared" si="28"/>
        <v>166.56521739130434</v>
      </c>
      <c r="S77" s="92">
        <f t="shared" si="28"/>
        <v>177.71739130434781</v>
      </c>
      <c r="T77" s="92">
        <f t="shared" si="28"/>
        <v>188.86956521739128</v>
      </c>
      <c r="U77" s="92">
        <f t="shared" si="28"/>
        <v>200.02173913043475</v>
      </c>
      <c r="V77" s="92">
        <f t="shared" si="28"/>
        <v>211.17391304347822</v>
      </c>
      <c r="W77" s="92">
        <f t="shared" si="28"/>
        <v>222.32608695652169</v>
      </c>
      <c r="X77" s="92">
        <f t="shared" si="28"/>
        <v>233.47826086956516</v>
      </c>
      <c r="Y77" s="92">
        <f t="shared" si="28"/>
        <v>244.63043478260863</v>
      </c>
      <c r="Z77" s="92">
        <f t="shared" si="28"/>
        <v>255.7826086956521</v>
      </c>
      <c r="AA77" s="92">
        <f t="shared" si="28"/>
        <v>266.93478260869557</v>
      </c>
      <c r="AB77" s="92">
        <f t="shared" si="28"/>
        <v>278.08695652173907</v>
      </c>
      <c r="AC77" s="92">
        <f t="shared" si="28"/>
        <v>289.23913043478257</v>
      </c>
      <c r="AD77" s="92">
        <f t="shared" si="28"/>
        <v>300.39130434782606</v>
      </c>
      <c r="AE77" s="92">
        <f t="shared" si="28"/>
        <v>311.54347826086956</v>
      </c>
      <c r="AF77" s="92">
        <f t="shared" si="28"/>
        <v>322.69565217391306</v>
      </c>
      <c r="AG77" s="92">
        <f t="shared" si="28"/>
        <v>333.84782608695656</v>
      </c>
      <c r="AH77" s="92">
        <f t="shared" si="28"/>
        <v>345.00000000000006</v>
      </c>
      <c r="AI77" s="92">
        <f t="shared" si="28"/>
        <v>356.15217391304355</v>
      </c>
      <c r="AJ77" s="92">
        <f t="shared" si="28"/>
        <v>367.30434782608705</v>
      </c>
      <c r="AK77" s="92">
        <f t="shared" si="28"/>
        <v>378.45652173913055</v>
      </c>
      <c r="AL77" s="92">
        <f t="shared" si="28"/>
        <v>389.60869565217405</v>
      </c>
      <c r="AM77" s="92">
        <f t="shared" si="28"/>
        <v>400.76086956521755</v>
      </c>
      <c r="AN77" s="92">
        <f t="shared" si="28"/>
        <v>411.91304347826105</v>
      </c>
      <c r="AO77" s="92">
        <f t="shared" si="28"/>
        <v>423.06521739130454</v>
      </c>
      <c r="AP77" s="92">
        <f t="shared" si="28"/>
        <v>434.21739130434804</v>
      </c>
      <c r="AQ77" s="92">
        <f t="shared" si="28"/>
        <v>445.36956521739154</v>
      </c>
      <c r="AR77" s="92">
        <f t="shared" si="28"/>
        <v>456.52173913043504</v>
      </c>
    </row>
    <row r="78" spans="1:44" x14ac:dyDescent="0.2">
      <c r="C78" s="235"/>
      <c r="D78" s="92"/>
      <c r="F78" s="16"/>
      <c r="G78" s="16"/>
      <c r="H78" s="16"/>
      <c r="I78" s="16"/>
      <c r="J78" s="16"/>
      <c r="K78" s="16"/>
      <c r="L78" s="16"/>
      <c r="M78" s="16"/>
      <c r="N78" s="16"/>
      <c r="O78" s="16">
        <f>O77/2*365</f>
        <v>24292.336956521744</v>
      </c>
      <c r="P78" s="16">
        <f t="shared" ref="P78:AH78" si="29">P77/2</f>
        <v>72.130434782608702</v>
      </c>
      <c r="Q78" s="16">
        <f t="shared" si="29"/>
        <v>77.706521739130437</v>
      </c>
      <c r="R78" s="16">
        <f t="shared" si="29"/>
        <v>83.282608695652172</v>
      </c>
      <c r="S78" s="16">
        <f t="shared" si="29"/>
        <v>88.858695652173907</v>
      </c>
      <c r="T78" s="16">
        <f t="shared" si="29"/>
        <v>94.434782608695642</v>
      </c>
      <c r="U78" s="16">
        <f t="shared" si="29"/>
        <v>100.01086956521738</v>
      </c>
      <c r="V78" s="16">
        <f t="shared" si="29"/>
        <v>105.58695652173911</v>
      </c>
      <c r="W78" s="16">
        <f t="shared" si="29"/>
        <v>111.16304347826085</v>
      </c>
      <c r="X78" s="16">
        <f t="shared" si="29"/>
        <v>116.73913043478258</v>
      </c>
      <c r="Y78" s="16">
        <f t="shared" si="29"/>
        <v>122.31521739130432</v>
      </c>
      <c r="Z78" s="16">
        <f t="shared" si="29"/>
        <v>127.89130434782605</v>
      </c>
      <c r="AA78" s="16">
        <f t="shared" si="29"/>
        <v>133.46739130434779</v>
      </c>
      <c r="AB78" s="16">
        <f t="shared" si="29"/>
        <v>139.04347826086953</v>
      </c>
      <c r="AC78" s="16">
        <f t="shared" si="29"/>
        <v>144.61956521739128</v>
      </c>
      <c r="AD78" s="16">
        <f t="shared" si="29"/>
        <v>150.19565217391303</v>
      </c>
      <c r="AE78" s="16">
        <f t="shared" si="29"/>
        <v>155.77173913043478</v>
      </c>
      <c r="AF78" s="16">
        <f t="shared" si="29"/>
        <v>161.34782608695653</v>
      </c>
      <c r="AG78" s="16">
        <f t="shared" si="29"/>
        <v>166.92391304347828</v>
      </c>
      <c r="AH78" s="16">
        <f t="shared" si="29"/>
        <v>172.50000000000003</v>
      </c>
      <c r="AI78" s="16"/>
      <c r="AJ78" s="16"/>
      <c r="AK78" s="16"/>
      <c r="AL78" s="16"/>
      <c r="AM78" s="16"/>
      <c r="AN78" s="16"/>
      <c r="AO78" s="16"/>
      <c r="AP78" s="16"/>
      <c r="AQ78" s="16"/>
      <c r="AR78" s="16"/>
    </row>
    <row r="79" spans="1:44" ht="15" x14ac:dyDescent="0.25">
      <c r="B79" s="2" t="s">
        <v>246</v>
      </c>
      <c r="C79" s="235"/>
      <c r="D79" s="5"/>
      <c r="F79" s="16"/>
      <c r="G79" s="16"/>
      <c r="H79" s="16"/>
      <c r="I79" s="16"/>
      <c r="J79" s="16"/>
      <c r="K79" s="16"/>
      <c r="L79" s="16"/>
      <c r="M79" s="16"/>
      <c r="N79" s="16"/>
      <c r="O79" s="16">
        <f>O78*8.887*10^-3*O80</f>
        <v>13169.045910489132</v>
      </c>
      <c r="P79" s="16">
        <f t="shared" ref="P79:AH79" si="30">P78*8.887*10^-3*P80</f>
        <v>39.806257053652182</v>
      </c>
      <c r="Q79" s="16">
        <f t="shared" si="30"/>
        <v>43.655406938929701</v>
      </c>
      <c r="R79" s="16">
        <f t="shared" si="30"/>
        <v>47.630228992791828</v>
      </c>
      <c r="S79" s="16">
        <f t="shared" si="30"/>
        <v>51.734000288744781</v>
      </c>
      <c r="T79" s="16">
        <f t="shared" si="30"/>
        <v>55.970075157158369</v>
      </c>
      <c r="U79" s="16">
        <f t="shared" si="30"/>
        <v>60.341886904741301</v>
      </c>
      <c r="V79" s="16">
        <f t="shared" si="30"/>
        <v>64.852949570886295</v>
      </c>
      <c r="W79" s="16">
        <f t="shared" si="30"/>
        <v>69.506859721655374</v>
      </c>
      <c r="X79" s="16">
        <f t="shared" si="30"/>
        <v>74.307298282191169</v>
      </c>
      <c r="Y79" s="16">
        <f t="shared" si="30"/>
        <v>79.258032408356442</v>
      </c>
      <c r="Z79" s="16">
        <f t="shared" si="30"/>
        <v>84.362917398420237</v>
      </c>
      <c r="AA79" s="16">
        <f t="shared" si="30"/>
        <v>89.625898645626023</v>
      </c>
      <c r="AB79" s="16">
        <f t="shared" si="30"/>
        <v>95.051013632494133</v>
      </c>
      <c r="AC79" s="16">
        <f t="shared" si="30"/>
        <v>100.6423939677283</v>
      </c>
      <c r="AD79" s="16">
        <f t="shared" si="30"/>
        <v>106.40426746661399</v>
      </c>
      <c r="AE79" s="16">
        <f t="shared" si="30"/>
        <v>112.34096027581401</v>
      </c>
      <c r="AF79" s="16">
        <f t="shared" si="30"/>
        <v>118.45689904348603</v>
      </c>
      <c r="AG79" s="16">
        <f t="shared" si="30"/>
        <v>124.75661313566489</v>
      </c>
      <c r="AH79" s="16">
        <f t="shared" si="30"/>
        <v>131.24473689987212</v>
      </c>
      <c r="AI79" s="16"/>
      <c r="AJ79" s="16"/>
      <c r="AK79" s="16"/>
      <c r="AL79" s="16"/>
      <c r="AM79" s="16"/>
      <c r="AN79" s="16"/>
      <c r="AO79" s="16"/>
      <c r="AP79" s="16"/>
      <c r="AQ79" s="16"/>
      <c r="AR79" s="16"/>
    </row>
    <row r="80" spans="1:44" x14ac:dyDescent="0.2">
      <c r="B80" s="1" t="s">
        <v>247</v>
      </c>
      <c r="C80" s="235" t="s">
        <v>116</v>
      </c>
      <c r="D80" s="97">
        <f>Inputs!$E$76</f>
        <v>19.600000000000001</v>
      </c>
      <c r="F80" s="16"/>
      <c r="G80" s="16"/>
      <c r="H80" s="16"/>
      <c r="I80" s="16"/>
      <c r="J80" s="16"/>
      <c r="K80" s="16"/>
      <c r="L80" s="16"/>
      <c r="M80" s="16"/>
      <c r="N80" s="100">
        <v>1.7999999999999999E-2</v>
      </c>
      <c r="O80" s="16">
        <v>61</v>
      </c>
      <c r="P80" s="16">
        <f t="shared" ref="P80:AH80" si="31">O80*(1+$N$80)</f>
        <v>62.097999999999999</v>
      </c>
      <c r="Q80" s="16">
        <f t="shared" si="31"/>
        <v>63.215764</v>
      </c>
      <c r="R80" s="16">
        <f t="shared" si="31"/>
        <v>64.353647752000001</v>
      </c>
      <c r="S80" s="16">
        <f t="shared" si="31"/>
        <v>65.512013411536003</v>
      </c>
      <c r="T80" s="16">
        <f t="shared" si="31"/>
        <v>66.691229652943647</v>
      </c>
      <c r="U80" s="16">
        <f t="shared" si="31"/>
        <v>67.891671786696634</v>
      </c>
      <c r="V80" s="16">
        <f t="shared" si="31"/>
        <v>69.113721878857177</v>
      </c>
      <c r="W80" s="16">
        <f t="shared" si="31"/>
        <v>70.357768872676601</v>
      </c>
      <c r="X80" s="16">
        <f t="shared" si="31"/>
        <v>71.624208712384785</v>
      </c>
      <c r="Y80" s="16">
        <f t="shared" si="31"/>
        <v>72.913444469207718</v>
      </c>
      <c r="Z80" s="16">
        <f t="shared" si="31"/>
        <v>74.22588646965346</v>
      </c>
      <c r="AA80" s="16">
        <f t="shared" si="31"/>
        <v>75.561952426107226</v>
      </c>
      <c r="AB80" s="16">
        <f t="shared" si="31"/>
        <v>76.922067569777155</v>
      </c>
      <c r="AC80" s="16">
        <f t="shared" si="31"/>
        <v>78.306664786033139</v>
      </c>
      <c r="AD80" s="16">
        <f t="shared" si="31"/>
        <v>79.716184752181732</v>
      </c>
      <c r="AE80" s="16">
        <f t="shared" si="31"/>
        <v>81.151076077721001</v>
      </c>
      <c r="AF80" s="16">
        <f t="shared" si="31"/>
        <v>82.611795447119974</v>
      </c>
      <c r="AG80" s="16">
        <f t="shared" si="31"/>
        <v>84.098807765168132</v>
      </c>
      <c r="AH80" s="16">
        <f t="shared" si="31"/>
        <v>85.612586304941161</v>
      </c>
      <c r="AI80" s="16"/>
      <c r="AJ80" s="16"/>
      <c r="AK80" s="16"/>
      <c r="AL80" s="16"/>
      <c r="AM80" s="16"/>
      <c r="AN80" s="16"/>
      <c r="AO80" s="16"/>
      <c r="AP80" s="16"/>
      <c r="AQ80" s="16"/>
      <c r="AR80" s="16"/>
    </row>
    <row r="81" spans="1:44" ht="15" x14ac:dyDescent="0.25">
      <c r="A81" s="2"/>
      <c r="B81" s="1" t="s">
        <v>248</v>
      </c>
      <c r="C81" s="19" t="s">
        <v>127</v>
      </c>
      <c r="D81" s="15">
        <f>Inputs!$E$86</f>
        <v>1.67</v>
      </c>
      <c r="F81" s="16"/>
      <c r="G81" s="16"/>
      <c r="H81" s="16"/>
      <c r="I81" s="16"/>
      <c r="J81" s="16"/>
      <c r="K81" s="16"/>
      <c r="L81" s="16"/>
      <c r="M81" s="16"/>
      <c r="N81" s="16"/>
      <c r="O81" s="16">
        <f t="shared" ref="O81:AH81" si="32">O80*O16</f>
        <v>54.166254313357712</v>
      </c>
      <c r="P81" s="16">
        <f t="shared" si="32"/>
        <v>54.060045971566822</v>
      </c>
      <c r="Q81" s="16">
        <f t="shared" si="32"/>
        <v>53.954045881426495</v>
      </c>
      <c r="R81" s="16">
        <f t="shared" si="32"/>
        <v>53.848253634600169</v>
      </c>
      <c r="S81" s="16">
        <f t="shared" si="32"/>
        <v>53.742668823551938</v>
      </c>
      <c r="T81" s="16">
        <f t="shared" si="32"/>
        <v>53.637291041544977</v>
      </c>
      <c r="U81" s="16">
        <f t="shared" si="32"/>
        <v>53.532119882639982</v>
      </c>
      <c r="V81" s="16">
        <f t="shared" si="32"/>
        <v>53.42715494169363</v>
      </c>
      <c r="W81" s="16">
        <f t="shared" si="32"/>
        <v>53.322395814356966</v>
      </c>
      <c r="X81" s="16">
        <f t="shared" si="32"/>
        <v>53.217842097073927</v>
      </c>
      <c r="Y81" s="16">
        <f t="shared" si="32"/>
        <v>53.113493387079664</v>
      </c>
      <c r="Z81" s="16">
        <f t="shared" si="32"/>
        <v>53.009349282399114</v>
      </c>
      <c r="AA81" s="16">
        <f t="shared" si="32"/>
        <v>52.905409381845402</v>
      </c>
      <c r="AB81" s="16">
        <f t="shared" si="32"/>
        <v>52.801673285018254</v>
      </c>
      <c r="AC81" s="16">
        <f t="shared" si="32"/>
        <v>52.698140592302529</v>
      </c>
      <c r="AD81" s="16">
        <f t="shared" si="32"/>
        <v>52.594810904866634</v>
      </c>
      <c r="AE81" s="16">
        <f t="shared" si="32"/>
        <v>52.49168382466101</v>
      </c>
      <c r="AF81" s="16">
        <f t="shared" si="32"/>
        <v>52.388758954416581</v>
      </c>
      <c r="AG81" s="16">
        <f t="shared" si="32"/>
        <v>52.28603589764321</v>
      </c>
      <c r="AH81" s="16">
        <f t="shared" si="32"/>
        <v>52.183514258628236</v>
      </c>
      <c r="AI81" s="16"/>
      <c r="AJ81" s="16"/>
      <c r="AK81" s="16"/>
      <c r="AL81" s="16"/>
      <c r="AM81" s="16"/>
      <c r="AN81" s="16"/>
      <c r="AO81" s="16"/>
      <c r="AP81" s="16"/>
      <c r="AQ81" s="16"/>
      <c r="AR81" s="16"/>
    </row>
    <row r="82" spans="1:44" ht="15" x14ac:dyDescent="0.25">
      <c r="A82" s="2"/>
      <c r="C82" s="19"/>
      <c r="D82" s="1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row>
    <row r="83" spans="1:44" ht="15" x14ac:dyDescent="0.25">
      <c r="B83" s="2" t="s">
        <v>250</v>
      </c>
      <c r="C83" s="235"/>
      <c r="D83" s="7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row>
    <row r="84" spans="1:44" ht="15" x14ac:dyDescent="0.25">
      <c r="A84" s="2"/>
      <c r="B84" s="1" t="s">
        <v>250</v>
      </c>
      <c r="C84" s="235" t="s">
        <v>251</v>
      </c>
      <c r="D84" s="75">
        <f>SUM(F84:AR84)</f>
        <v>303274.07660869573</v>
      </c>
      <c r="F84" s="16">
        <f t="shared" ref="F84:J84" si="33">F77*$D$80*$D$81</f>
        <v>0</v>
      </c>
      <c r="G84" s="16">
        <f t="shared" si="33"/>
        <v>0</v>
      </c>
      <c r="H84" s="16">
        <f t="shared" si="33"/>
        <v>0</v>
      </c>
      <c r="I84" s="16">
        <f t="shared" si="33"/>
        <v>0</v>
      </c>
      <c r="J84" s="16">
        <f t="shared" si="33"/>
        <v>0</v>
      </c>
      <c r="K84" s="16">
        <f>K77*$D$80*$D$81</f>
        <v>2896.7820000000002</v>
      </c>
      <c r="L84" s="16">
        <f t="shared" ref="L84:AR84" si="34">L77*$D$80*$D$81</f>
        <v>3261.8149565217391</v>
      </c>
      <c r="M84" s="16">
        <f t="shared" si="34"/>
        <v>3626.8479130434789</v>
      </c>
      <c r="N84" s="16">
        <f t="shared" si="34"/>
        <v>3991.8808695652178</v>
      </c>
      <c r="O84" s="16">
        <f t="shared" si="34"/>
        <v>4356.9138260869568</v>
      </c>
      <c r="P84" s="16">
        <f t="shared" si="34"/>
        <v>4721.9467826086966</v>
      </c>
      <c r="Q84" s="16">
        <f t="shared" si="34"/>
        <v>5086.9797391304355</v>
      </c>
      <c r="R84" s="16">
        <f t="shared" si="34"/>
        <v>5452.0126956521735</v>
      </c>
      <c r="S84" s="16">
        <f t="shared" si="34"/>
        <v>5817.0456521739134</v>
      </c>
      <c r="T84" s="16">
        <f t="shared" si="34"/>
        <v>6182.0786086956514</v>
      </c>
      <c r="U84" s="16">
        <f t="shared" si="34"/>
        <v>6547.1115652173903</v>
      </c>
      <c r="V84" s="16">
        <f t="shared" si="34"/>
        <v>6912.1445217391292</v>
      </c>
      <c r="W84" s="16">
        <f t="shared" si="34"/>
        <v>7277.1774782608691</v>
      </c>
      <c r="X84" s="16">
        <f t="shared" si="34"/>
        <v>7642.2104347826062</v>
      </c>
      <c r="Y84" s="16">
        <f t="shared" si="34"/>
        <v>8007.243391304346</v>
      </c>
      <c r="Z84" s="16">
        <f t="shared" si="34"/>
        <v>8372.276347826084</v>
      </c>
      <c r="AA84" s="16">
        <f t="shared" si="34"/>
        <v>8737.3093043478239</v>
      </c>
      <c r="AB84" s="16">
        <f t="shared" si="34"/>
        <v>9102.3422608695637</v>
      </c>
      <c r="AC84" s="16">
        <f t="shared" si="34"/>
        <v>9467.3752173913035</v>
      </c>
      <c r="AD84" s="16">
        <f t="shared" si="34"/>
        <v>9832.4081739130434</v>
      </c>
      <c r="AE84" s="16">
        <f t="shared" si="34"/>
        <v>10197.441130434783</v>
      </c>
      <c r="AF84" s="16">
        <f t="shared" si="34"/>
        <v>10562.474086956523</v>
      </c>
      <c r="AG84" s="16">
        <f t="shared" si="34"/>
        <v>10927.507043478261</v>
      </c>
      <c r="AH84" s="16">
        <f t="shared" si="34"/>
        <v>11292.540000000003</v>
      </c>
      <c r="AI84" s="16">
        <f t="shared" si="34"/>
        <v>11657.572956521743</v>
      </c>
      <c r="AJ84" s="16">
        <f t="shared" si="34"/>
        <v>12022.605913043482</v>
      </c>
      <c r="AK84" s="16">
        <f t="shared" si="34"/>
        <v>12387.638869565222</v>
      </c>
      <c r="AL84" s="16">
        <f t="shared" si="34"/>
        <v>12752.67182608696</v>
      </c>
      <c r="AM84" s="16">
        <f t="shared" si="34"/>
        <v>13117.704782608702</v>
      </c>
      <c r="AN84" s="16">
        <f t="shared" si="34"/>
        <v>13482.73773913044</v>
      </c>
      <c r="AO84" s="16">
        <f t="shared" si="34"/>
        <v>13847.770695652182</v>
      </c>
      <c r="AP84" s="16">
        <f t="shared" si="34"/>
        <v>14212.803652173921</v>
      </c>
      <c r="AQ84" s="16">
        <f t="shared" si="34"/>
        <v>14577.836608695659</v>
      </c>
      <c r="AR84" s="16">
        <f t="shared" si="34"/>
        <v>14942.869565217401</v>
      </c>
    </row>
    <row r="85" spans="1:44" ht="15" x14ac:dyDescent="0.25">
      <c r="A85" s="2"/>
      <c r="B85" s="1" t="s">
        <v>66</v>
      </c>
      <c r="C85" s="235" t="s">
        <v>67</v>
      </c>
      <c r="D85" s="75">
        <f>Inputs!$E$32</f>
        <v>365</v>
      </c>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44" x14ac:dyDescent="0.2">
      <c r="B86" s="1" t="s">
        <v>245</v>
      </c>
      <c r="C86" s="235" t="s">
        <v>252</v>
      </c>
      <c r="D86" s="75">
        <f>SUM(F86:AR86)</f>
        <v>110695037.96217394</v>
      </c>
      <c r="F86" s="16">
        <f t="shared" ref="F86:J86" si="35">F84*$D$85</f>
        <v>0</v>
      </c>
      <c r="G86" s="16">
        <f t="shared" si="35"/>
        <v>0</v>
      </c>
      <c r="H86" s="16">
        <f t="shared" si="35"/>
        <v>0</v>
      </c>
      <c r="I86" s="16">
        <f t="shared" si="35"/>
        <v>0</v>
      </c>
      <c r="J86" s="16">
        <f t="shared" si="35"/>
        <v>0</v>
      </c>
      <c r="K86" s="16">
        <f>K84*$D$85</f>
        <v>1057325.4300000002</v>
      </c>
      <c r="L86" s="16">
        <f t="shared" ref="L86:AR86" si="36">L84*$D$85</f>
        <v>1190562.4591304348</v>
      </c>
      <c r="M86" s="16">
        <f t="shared" si="36"/>
        <v>1323799.4882608699</v>
      </c>
      <c r="N86" s="16">
        <f t="shared" si="36"/>
        <v>1457036.5173913045</v>
      </c>
      <c r="O86" s="16">
        <f t="shared" si="36"/>
        <v>1590273.5465217391</v>
      </c>
      <c r="P86" s="16">
        <f t="shared" si="36"/>
        <v>1723510.5756521742</v>
      </c>
      <c r="Q86" s="16">
        <f t="shared" si="36"/>
        <v>1856747.604782609</v>
      </c>
      <c r="R86" s="16">
        <f t="shared" si="36"/>
        <v>1989984.6339130434</v>
      </c>
      <c r="S86" s="16">
        <f t="shared" si="36"/>
        <v>2123221.6630434785</v>
      </c>
      <c r="T86" s="16">
        <f t="shared" si="36"/>
        <v>2256458.6921739127</v>
      </c>
      <c r="U86" s="16">
        <f t="shared" si="36"/>
        <v>2389695.7213043473</v>
      </c>
      <c r="V86" s="16">
        <f t="shared" si="36"/>
        <v>2522932.7504347824</v>
      </c>
      <c r="W86" s="16">
        <f t="shared" si="36"/>
        <v>2656169.7795652174</v>
      </c>
      <c r="X86" s="16">
        <f t="shared" si="36"/>
        <v>2789406.8086956511</v>
      </c>
      <c r="Y86" s="16">
        <f t="shared" si="36"/>
        <v>2922643.8378260862</v>
      </c>
      <c r="Z86" s="16">
        <f t="shared" si="36"/>
        <v>3055880.8669565208</v>
      </c>
      <c r="AA86" s="16">
        <f t="shared" si="36"/>
        <v>3189117.8960869559</v>
      </c>
      <c r="AB86" s="16">
        <f t="shared" si="36"/>
        <v>3322354.9252173905</v>
      </c>
      <c r="AC86" s="16">
        <f t="shared" si="36"/>
        <v>3455591.9543478256</v>
      </c>
      <c r="AD86" s="16">
        <f t="shared" si="36"/>
        <v>3588828.9834782607</v>
      </c>
      <c r="AE86" s="16">
        <f t="shared" si="36"/>
        <v>3722066.0126086958</v>
      </c>
      <c r="AF86" s="16">
        <f t="shared" si="36"/>
        <v>3855303.0417391309</v>
      </c>
      <c r="AG86" s="16">
        <f t="shared" si="36"/>
        <v>3988540.0708695655</v>
      </c>
      <c r="AH86" s="16">
        <f t="shared" si="36"/>
        <v>4121777.100000001</v>
      </c>
      <c r="AI86" s="16">
        <f t="shared" si="36"/>
        <v>4255014.1291304361</v>
      </c>
      <c r="AJ86" s="16">
        <f t="shared" si="36"/>
        <v>4388251.1582608707</v>
      </c>
      <c r="AK86" s="16">
        <f t="shared" si="36"/>
        <v>4521488.1873913063</v>
      </c>
      <c r="AL86" s="16">
        <f t="shared" si="36"/>
        <v>4654725.2165217409</v>
      </c>
      <c r="AM86" s="16">
        <f t="shared" si="36"/>
        <v>4787962.2456521764</v>
      </c>
      <c r="AN86" s="16">
        <f t="shared" si="36"/>
        <v>4921199.2747826101</v>
      </c>
      <c r="AO86" s="16">
        <f t="shared" si="36"/>
        <v>5054436.3039130466</v>
      </c>
      <c r="AP86" s="16">
        <f t="shared" si="36"/>
        <v>5187673.3330434812</v>
      </c>
      <c r="AQ86" s="16">
        <f t="shared" si="36"/>
        <v>5320910.3621739158</v>
      </c>
      <c r="AR86" s="16">
        <f t="shared" si="36"/>
        <v>5454147.3913043514</v>
      </c>
    </row>
    <row r="87" spans="1:44" x14ac:dyDescent="0.2">
      <c r="C87" s="235"/>
      <c r="D87" s="7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row>
    <row r="88" spans="1:44" ht="15" x14ac:dyDescent="0.25">
      <c r="A88" s="2" t="s">
        <v>223</v>
      </c>
      <c r="C88" s="19"/>
      <c r="D88" s="15"/>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row>
    <row r="89" spans="1:44" ht="15" x14ac:dyDescent="0.25">
      <c r="A89" s="2"/>
      <c r="B89" s="1" t="str">
        <f>Traffic!$B$52</f>
        <v>Pedestrian Forecast</v>
      </c>
      <c r="C89" s="19" t="s">
        <v>168</v>
      </c>
      <c r="D89" s="15"/>
      <c r="F89" s="16">
        <f>Traffic!F$52</f>
        <v>66.680335831680836</v>
      </c>
      <c r="G89" s="16">
        <f>Traffic!G$52</f>
        <v>67.040359895154836</v>
      </c>
      <c r="H89" s="16">
        <f>Traffic!H$52</f>
        <v>67.402327819958614</v>
      </c>
      <c r="I89" s="16">
        <f>Traffic!I$52</f>
        <v>67.766250101493057</v>
      </c>
      <c r="J89" s="16">
        <f>Traffic!J$52</f>
        <v>68.132137291826353</v>
      </c>
      <c r="K89" s="16">
        <f>Traffic!K$52</f>
        <v>68.500000000000014</v>
      </c>
      <c r="L89" s="16">
        <f>Traffic!L$52</f>
        <v>68.869848892336449</v>
      </c>
      <c r="M89" s="16">
        <f>Traffic!M$52</f>
        <v>69.241694692748254</v>
      </c>
      <c r="N89" s="16">
        <f>Traffic!N$52</f>
        <v>69.615548183049142</v>
      </c>
      <c r="O89" s="16">
        <f>Traffic!O$52</f>
        <v>69.991420203266586</v>
      </c>
      <c r="P89" s="16">
        <f>Traffic!P$52</f>
        <v>70.369321651956099</v>
      </c>
      <c r="Q89" s="16">
        <f>Traffic!Q$52</f>
        <v>70.749263486517293</v>
      </c>
      <c r="R89" s="16">
        <f>Traffic!R$52</f>
        <v>71.131256723511555</v>
      </c>
      <c r="S89" s="16">
        <f>Traffic!S$52</f>
        <v>71.515312438981468</v>
      </c>
      <c r="T89" s="16">
        <f>Traffic!T$52</f>
        <v>71.901441768772003</v>
      </c>
      <c r="U89" s="16">
        <f>Traffic!U$52</f>
        <v>72.289655908853362</v>
      </c>
      <c r="V89" s="16">
        <f>Traffic!V$52</f>
        <v>72.679966115645641</v>
      </c>
      <c r="W89" s="16">
        <f>Traffic!W$52</f>
        <v>73.072383706345221</v>
      </c>
      <c r="X89" s="16">
        <f>Traffic!X$52</f>
        <v>73.466920059252885</v>
      </c>
      <c r="Y89" s="16">
        <f>Traffic!Y$52</f>
        <v>73.863586614103752</v>
      </c>
      <c r="Z89" s="16">
        <f>Traffic!Z$52</f>
        <v>74.262394872398971</v>
      </c>
      <c r="AA89" s="16">
        <f>Traffic!AA$52</f>
        <v>74.663356397739236</v>
      </c>
      <c r="AB89" s="16">
        <f>Traffic!AB$52</f>
        <v>75.066482816160033</v>
      </c>
      <c r="AC89" s="16">
        <f>Traffic!AC$52</f>
        <v>75.471785816468767</v>
      </c>
      <c r="AD89" s="16">
        <f>Traffic!AD$52</f>
        <v>75.879277150583704</v>
      </c>
      <c r="AE89" s="16">
        <f>Traffic!AE$52</f>
        <v>76.288968633874688</v>
      </c>
      <c r="AF89" s="16">
        <f>Traffic!AF$52</f>
        <v>76.700872145505741</v>
      </c>
      <c r="AG89" s="16">
        <f>Traffic!AG$52</f>
        <v>77.114999628779515</v>
      </c>
      <c r="AH89" s="16">
        <f>Traffic!AH$52</f>
        <v>77.531363091483584</v>
      </c>
      <c r="AI89" s="16">
        <f>Traffic!AI$52</f>
        <v>77.949974606238612</v>
      </c>
      <c r="AJ89" s="16">
        <f>Traffic!AJ$52</f>
        <v>78.370846310848407</v>
      </c>
      <c r="AK89" s="16">
        <f>Traffic!AK$52</f>
        <v>78.793990408651851</v>
      </c>
      <c r="AL89" s="16">
        <f>Traffic!AL$52</f>
        <v>79.219419168876783</v>
      </c>
      <c r="AM89" s="16">
        <f>Traffic!AM$52</f>
        <v>79.647144926995679</v>
      </c>
      <c r="AN89" s="16">
        <f>Traffic!AN$52</f>
        <v>80.077180085083398</v>
      </c>
      <c r="AO89" s="16">
        <f>Traffic!AO$52</f>
        <v>80.50953711217673</v>
      </c>
      <c r="AP89" s="16">
        <f>Traffic!AP$52</f>
        <v>80.944228544635962</v>
      </c>
      <c r="AQ89" s="16">
        <f>Traffic!AQ$52</f>
        <v>81.381266986508379</v>
      </c>
      <c r="AR89" s="16">
        <f>Traffic!AR$52</f>
        <v>81.820665109893724</v>
      </c>
    </row>
    <row r="90" spans="1:44" ht="15" x14ac:dyDescent="0.25">
      <c r="A90" s="2"/>
      <c r="B90" s="1" t="s">
        <v>263</v>
      </c>
      <c r="C90" s="19" t="s">
        <v>85</v>
      </c>
      <c r="D90" s="15">
        <f>Inputs!E71</f>
        <v>0.26515151515151514</v>
      </c>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row>
    <row r="91" spans="1:44" ht="15" x14ac:dyDescent="0.25">
      <c r="A91" s="2"/>
      <c r="B91" s="1" t="s">
        <v>254</v>
      </c>
      <c r="C91" s="19" t="s">
        <v>112</v>
      </c>
      <c r="D91" s="15">
        <f>Inputs!$E$72</f>
        <v>3.2</v>
      </c>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row>
    <row r="92" spans="1:44" ht="15" x14ac:dyDescent="0.25">
      <c r="A92" s="2"/>
      <c r="B92" s="1" t="s">
        <v>255</v>
      </c>
      <c r="C92" s="19" t="s">
        <v>256</v>
      </c>
      <c r="D92" s="15">
        <f>D90/D91</f>
        <v>8.2859848484848481E-2</v>
      </c>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row>
    <row r="93" spans="1:44" ht="15" x14ac:dyDescent="0.25">
      <c r="A93" s="2"/>
      <c r="B93" s="1" t="s">
        <v>257</v>
      </c>
      <c r="C93" s="19" t="s">
        <v>258</v>
      </c>
      <c r="D93" s="15"/>
      <c r="F93" s="16">
        <f>F89*$D$92</f>
        <v>5.5251225239318869</v>
      </c>
      <c r="G93" s="16">
        <f t="shared" ref="G93:AR93" si="37">G89*$D$92</f>
        <v>5.5549540632822421</v>
      </c>
      <c r="H93" s="16">
        <f t="shared" si="37"/>
        <v>5.5849466706878585</v>
      </c>
      <c r="I93" s="16">
        <f t="shared" si="37"/>
        <v>5.6151012157960629</v>
      </c>
      <c r="J93" s="16">
        <f t="shared" si="37"/>
        <v>5.6454185729496267</v>
      </c>
      <c r="K93" s="16">
        <f t="shared" si="37"/>
        <v>5.675899621212122</v>
      </c>
      <c r="L93" s="16">
        <f t="shared" si="37"/>
        <v>5.7065452443934079</v>
      </c>
      <c r="M93" s="16">
        <f t="shared" si="37"/>
        <v>5.7373563310752571</v>
      </c>
      <c r="N93" s="16">
        <f t="shared" si="37"/>
        <v>5.7683337746371208</v>
      </c>
      <c r="O93" s="16">
        <f t="shared" si="37"/>
        <v>5.7994784732820319</v>
      </c>
      <c r="P93" s="16">
        <f t="shared" si="37"/>
        <v>5.8307913300626497</v>
      </c>
      <c r="Q93" s="16">
        <f t="shared" si="37"/>
        <v>5.8622732529074462</v>
      </c>
      <c r="R93" s="16">
        <f t="shared" si="37"/>
        <v>5.893925154647027</v>
      </c>
      <c r="S93" s="16">
        <f t="shared" si="37"/>
        <v>5.9257479530406041</v>
      </c>
      <c r="T93" s="16">
        <f t="shared" si="37"/>
        <v>5.9577425708026039</v>
      </c>
      <c r="U93" s="16">
        <f t="shared" si="37"/>
        <v>5.989909935629421</v>
      </c>
      <c r="V93" s="16">
        <f t="shared" si="37"/>
        <v>6.0222509802263193</v>
      </c>
      <c r="W93" s="16">
        <f t="shared" si="37"/>
        <v>6.0547666423344761</v>
      </c>
      <c r="X93" s="16">
        <f t="shared" si="37"/>
        <v>6.0874578647581696</v>
      </c>
      <c r="Y93" s="16">
        <f t="shared" si="37"/>
        <v>6.120325595392119</v>
      </c>
      <c r="Z93" s="16">
        <f t="shared" si="37"/>
        <v>6.1533707872489671</v>
      </c>
      <c r="AA93" s="16">
        <f t="shared" si="37"/>
        <v>6.1865943984869158</v>
      </c>
      <c r="AB93" s="16">
        <f t="shared" si="37"/>
        <v>6.2199973924375023</v>
      </c>
      <c r="AC93" s="16">
        <f t="shared" si="37"/>
        <v>6.2535807376335386</v>
      </c>
      <c r="AD93" s="16">
        <f t="shared" si="37"/>
        <v>6.2873454078371909</v>
      </c>
      <c r="AE93" s="16">
        <f t="shared" si="37"/>
        <v>6.321292382068215</v>
      </c>
      <c r="AF93" s="16">
        <f t="shared" si="37"/>
        <v>6.3554226446323412</v>
      </c>
      <c r="AG93" s="16">
        <f t="shared" si="37"/>
        <v>6.3897371851498175</v>
      </c>
      <c r="AH93" s="16">
        <f t="shared" si="37"/>
        <v>6.4242369985841039</v>
      </c>
      <c r="AI93" s="16">
        <f t="shared" si="37"/>
        <v>6.458923085270718</v>
      </c>
      <c r="AJ93" s="16">
        <f t="shared" si="37"/>
        <v>6.4937964509462454</v>
      </c>
      <c r="AK93" s="16">
        <f t="shared" si="37"/>
        <v>6.5288581067774967</v>
      </c>
      <c r="AL93" s="16">
        <f t="shared" si="37"/>
        <v>6.5641090693908319</v>
      </c>
      <c r="AM93" s="16">
        <f t="shared" si="37"/>
        <v>6.5995503609016302</v>
      </c>
      <c r="AN93" s="16">
        <f t="shared" si="37"/>
        <v>6.6351830089439368</v>
      </c>
      <c r="AO93" s="16">
        <f t="shared" si="37"/>
        <v>6.6710080467002495</v>
      </c>
      <c r="AP93" s="16">
        <f t="shared" si="37"/>
        <v>6.707026512931483</v>
      </c>
      <c r="AQ93" s="16">
        <f t="shared" si="37"/>
        <v>6.743239452007086</v>
      </c>
      <c r="AR93" s="16">
        <f t="shared" si="37"/>
        <v>6.7796479139353227</v>
      </c>
    </row>
    <row r="94" spans="1:44" ht="15" x14ac:dyDescent="0.25">
      <c r="A94" s="2"/>
      <c r="B94" s="2" t="s">
        <v>246</v>
      </c>
      <c r="C94" s="19"/>
      <c r="D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row>
    <row r="95" spans="1:44" ht="15" x14ac:dyDescent="0.25">
      <c r="A95" s="2"/>
      <c r="B95" s="1" t="str">
        <f>Inputs!C77</f>
        <v>Walking, Cycling, Waiting, Standing, and Transfer Time</v>
      </c>
      <c r="C95" s="19" t="s">
        <v>116</v>
      </c>
      <c r="D95" s="98">
        <f>Inputs!$E$77</f>
        <v>35.799999999999997</v>
      </c>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row>
    <row r="96" spans="1:44" x14ac:dyDescent="0.2">
      <c r="B96" s="1" t="s">
        <v>259</v>
      </c>
      <c r="C96" s="19" t="s">
        <v>260</v>
      </c>
      <c r="D96" s="75">
        <f>SUM(F96:AR96)</f>
        <v>8560.8993841229658</v>
      </c>
      <c r="F96" s="16">
        <f>F93*$D$95</f>
        <v>197.79938635676154</v>
      </c>
      <c r="G96" s="16">
        <f t="shared" ref="G96:AR96" si="38">G93*$D$95</f>
        <v>198.86735546550426</v>
      </c>
      <c r="H96" s="16">
        <f t="shared" si="38"/>
        <v>199.94109081062533</v>
      </c>
      <c r="I96" s="16">
        <f t="shared" si="38"/>
        <v>201.02062352549905</v>
      </c>
      <c r="J96" s="16">
        <f t="shared" si="38"/>
        <v>202.10598491159661</v>
      </c>
      <c r="K96" s="16">
        <f t="shared" si="38"/>
        <v>203.19720643939394</v>
      </c>
      <c r="L96" s="16">
        <f t="shared" si="38"/>
        <v>204.294319749284</v>
      </c>
      <c r="M96" s="16">
        <f t="shared" si="38"/>
        <v>205.39735665249418</v>
      </c>
      <c r="N96" s="16">
        <f t="shared" si="38"/>
        <v>206.50634913200892</v>
      </c>
      <c r="O96" s="16">
        <f t="shared" si="38"/>
        <v>207.62132934349674</v>
      </c>
      <c r="P96" s="16">
        <f t="shared" si="38"/>
        <v>208.74232961624284</v>
      </c>
      <c r="Q96" s="16">
        <f t="shared" si="38"/>
        <v>209.86938245408655</v>
      </c>
      <c r="R96" s="16">
        <f t="shared" si="38"/>
        <v>211.00252053636356</v>
      </c>
      <c r="S96" s="16">
        <f t="shared" si="38"/>
        <v>212.14177671885361</v>
      </c>
      <c r="T96" s="16">
        <f t="shared" si="38"/>
        <v>213.2871840347332</v>
      </c>
      <c r="U96" s="16">
        <f t="shared" si="38"/>
        <v>214.43877569553325</v>
      </c>
      <c r="V96" s="16">
        <f t="shared" si="38"/>
        <v>215.5965850921022</v>
      </c>
      <c r="W96" s="16">
        <f t="shared" si="38"/>
        <v>216.76064579557422</v>
      </c>
      <c r="X96" s="16">
        <f t="shared" si="38"/>
        <v>217.93099155834247</v>
      </c>
      <c r="Y96" s="16">
        <f t="shared" si="38"/>
        <v>219.10765631503784</v>
      </c>
      <c r="Z96" s="16">
        <f t="shared" si="38"/>
        <v>220.290674183513</v>
      </c>
      <c r="AA96" s="16">
        <f t="shared" si="38"/>
        <v>221.48007946583158</v>
      </c>
      <c r="AB96" s="16">
        <f t="shared" si="38"/>
        <v>222.67590664926257</v>
      </c>
      <c r="AC96" s="16">
        <f t="shared" si="38"/>
        <v>223.87819040728067</v>
      </c>
      <c r="AD96" s="16">
        <f t="shared" si="38"/>
        <v>225.0869656005714</v>
      </c>
      <c r="AE96" s="16">
        <f t="shared" si="38"/>
        <v>226.30226727804208</v>
      </c>
      <c r="AF96" s="16">
        <f t="shared" si="38"/>
        <v>227.5241306778378</v>
      </c>
      <c r="AG96" s="16">
        <f t="shared" si="38"/>
        <v>228.75259122836346</v>
      </c>
      <c r="AH96" s="16">
        <f t="shared" si="38"/>
        <v>229.9876845493109</v>
      </c>
      <c r="AI96" s="16">
        <f t="shared" si="38"/>
        <v>231.22944645269169</v>
      </c>
      <c r="AJ96" s="16">
        <f t="shared" si="38"/>
        <v>232.47791294387557</v>
      </c>
      <c r="AK96" s="16">
        <f t="shared" si="38"/>
        <v>233.73312022263437</v>
      </c>
      <c r="AL96" s="16">
        <f t="shared" si="38"/>
        <v>234.99510468419177</v>
      </c>
      <c r="AM96" s="16">
        <f t="shared" si="38"/>
        <v>236.26390292027835</v>
      </c>
      <c r="AN96" s="16">
        <f t="shared" si="38"/>
        <v>237.53955172019292</v>
      </c>
      <c r="AO96" s="16">
        <f t="shared" si="38"/>
        <v>238.8220880718689</v>
      </c>
      <c r="AP96" s="16">
        <f t="shared" si="38"/>
        <v>240.11154916294709</v>
      </c>
      <c r="AQ96" s="16">
        <f t="shared" si="38"/>
        <v>241.40797238185365</v>
      </c>
      <c r="AR96" s="16">
        <f t="shared" si="38"/>
        <v>242.71139531888454</v>
      </c>
    </row>
    <row r="97" spans="1:44" x14ac:dyDescent="0.2">
      <c r="B97" s="1" t="s">
        <v>66</v>
      </c>
      <c r="C97" s="235" t="s">
        <v>67</v>
      </c>
      <c r="D97" s="75">
        <f>Inputs!$E$32</f>
        <v>365</v>
      </c>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row>
    <row r="98" spans="1:44" x14ac:dyDescent="0.2">
      <c r="B98" s="1" t="s">
        <v>259</v>
      </c>
      <c r="C98" s="19" t="s">
        <v>252</v>
      </c>
      <c r="D98" s="75">
        <f>SUM(F98:AR98)</f>
        <v>3124728.2752048825</v>
      </c>
      <c r="F98" s="16">
        <f>F96*$D$60</f>
        <v>72196.776020217963</v>
      </c>
      <c r="G98" s="16">
        <f t="shared" ref="G98:AR98" si="39">G96*$D$60</f>
        <v>72586.584744909051</v>
      </c>
      <c r="H98" s="16">
        <f t="shared" si="39"/>
        <v>72978.498145878242</v>
      </c>
      <c r="I98" s="16">
        <f t="shared" si="39"/>
        <v>73372.527586807148</v>
      </c>
      <c r="J98" s="16">
        <f t="shared" si="39"/>
        <v>73768.684492732762</v>
      </c>
      <c r="K98" s="16">
        <f t="shared" si="39"/>
        <v>74166.980350378784</v>
      </c>
      <c r="L98" s="16">
        <f t="shared" si="39"/>
        <v>74567.426708488667</v>
      </c>
      <c r="M98" s="16">
        <f t="shared" si="39"/>
        <v>74970.035178160382</v>
      </c>
      <c r="N98" s="16">
        <f t="shared" si="39"/>
        <v>75374.817433183256</v>
      </c>
      <c r="O98" s="16">
        <f t="shared" si="39"/>
        <v>75781.785210376314</v>
      </c>
      <c r="P98" s="16">
        <f t="shared" si="39"/>
        <v>76190.950309928638</v>
      </c>
      <c r="Q98" s="16">
        <f t="shared" si="39"/>
        <v>76602.324595741593</v>
      </c>
      <c r="R98" s="16">
        <f t="shared" si="39"/>
        <v>77015.919995772696</v>
      </c>
      <c r="S98" s="16">
        <f t="shared" si="39"/>
        <v>77431.748502381568</v>
      </c>
      <c r="T98" s="16">
        <f t="shared" si="39"/>
        <v>77849.822172677625</v>
      </c>
      <c r="U98" s="16">
        <f t="shared" si="39"/>
        <v>78270.153128869642</v>
      </c>
      <c r="V98" s="16">
        <f t="shared" si="39"/>
        <v>78692.753558617303</v>
      </c>
      <c r="W98" s="16">
        <f t="shared" si="39"/>
        <v>79117.635715384589</v>
      </c>
      <c r="X98" s="16">
        <f t="shared" si="39"/>
        <v>79544.811918795007</v>
      </c>
      <c r="Y98" s="16">
        <f t="shared" si="39"/>
        <v>79974.29455498881</v>
      </c>
      <c r="Z98" s="16">
        <f t="shared" si="39"/>
        <v>80406.096076982241</v>
      </c>
      <c r="AA98" s="16">
        <f t="shared" si="39"/>
        <v>80840.229005028523</v>
      </c>
      <c r="AB98" s="16">
        <f t="shared" si="39"/>
        <v>81276.705926980838</v>
      </c>
      <c r="AC98" s="16">
        <f t="shared" si="39"/>
        <v>81715.539498657439</v>
      </c>
      <c r="AD98" s="16">
        <f t="shared" si="39"/>
        <v>82156.742444208561</v>
      </c>
      <c r="AE98" s="16">
        <f t="shared" si="39"/>
        <v>82600.327556485354</v>
      </c>
      <c r="AF98" s="16">
        <f t="shared" si="39"/>
        <v>83046.307697410797</v>
      </c>
      <c r="AG98" s="16">
        <f t="shared" si="39"/>
        <v>83494.695798352666</v>
      </c>
      <c r="AH98" s="16">
        <f t="shared" si="39"/>
        <v>83945.504860498477</v>
      </c>
      <c r="AI98" s="16">
        <f t="shared" si="39"/>
        <v>84398.747955232466</v>
      </c>
      <c r="AJ98" s="16">
        <f t="shared" si="39"/>
        <v>84854.438224514583</v>
      </c>
      <c r="AK98" s="16">
        <f t="shared" si="39"/>
        <v>85312.588881261545</v>
      </c>
      <c r="AL98" s="16">
        <f t="shared" si="39"/>
        <v>85773.213209729991</v>
      </c>
      <c r="AM98" s="16">
        <f t="shared" si="39"/>
        <v>86236.324565901596</v>
      </c>
      <c r="AN98" s="16">
        <f t="shared" si="39"/>
        <v>86701.936377870414</v>
      </c>
      <c r="AO98" s="16">
        <f t="shared" si="39"/>
        <v>87170.062146232143</v>
      </c>
      <c r="AP98" s="16">
        <f t="shared" si="39"/>
        <v>87640.715444475689</v>
      </c>
      <c r="AQ98" s="16">
        <f t="shared" si="39"/>
        <v>88113.909919376587</v>
      </c>
      <c r="AR98" s="16">
        <f t="shared" si="39"/>
        <v>88589.659291392862</v>
      </c>
    </row>
    <row r="99" spans="1:44" x14ac:dyDescent="0.2">
      <c r="C99" s="235"/>
      <c r="D99" s="75"/>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row>
    <row r="100" spans="1:44" ht="15" x14ac:dyDescent="0.25">
      <c r="A100" s="2" t="s">
        <v>261</v>
      </c>
      <c r="C100" s="235"/>
      <c r="D100" s="75"/>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row>
    <row r="101" spans="1:44" x14ac:dyDescent="0.2">
      <c r="B101" s="1" t="s">
        <v>262</v>
      </c>
      <c r="C101" s="19" t="s">
        <v>252</v>
      </c>
      <c r="D101" s="75">
        <f>SUM(F101:AR101)</f>
        <v>113819766.23737882</v>
      </c>
      <c r="F101" s="16">
        <f>F86+F98</f>
        <v>72196.776020217963</v>
      </c>
      <c r="G101" s="16">
        <f t="shared" ref="G101:AR101" si="40">G86+G98</f>
        <v>72586.584744909051</v>
      </c>
      <c r="H101" s="16">
        <f t="shared" si="40"/>
        <v>72978.498145878242</v>
      </c>
      <c r="I101" s="16">
        <f t="shared" si="40"/>
        <v>73372.527586807148</v>
      </c>
      <c r="J101" s="16">
        <f t="shared" si="40"/>
        <v>73768.684492732762</v>
      </c>
      <c r="K101" s="16">
        <f t="shared" si="40"/>
        <v>1131492.4103503791</v>
      </c>
      <c r="L101" s="16">
        <f t="shared" si="40"/>
        <v>1265129.8858389235</v>
      </c>
      <c r="M101" s="16">
        <f t="shared" si="40"/>
        <v>1398769.5234390302</v>
      </c>
      <c r="N101" s="16">
        <f t="shared" si="40"/>
        <v>1532411.3348244878</v>
      </c>
      <c r="O101" s="16">
        <f t="shared" si="40"/>
        <v>1666055.3317321155</v>
      </c>
      <c r="P101" s="16">
        <f t="shared" si="40"/>
        <v>1799701.5259621029</v>
      </c>
      <c r="Q101" s="16">
        <f t="shared" si="40"/>
        <v>1933349.9293783507</v>
      </c>
      <c r="R101" s="16">
        <f t="shared" si="40"/>
        <v>2067000.5539088161</v>
      </c>
      <c r="S101" s="16">
        <f t="shared" si="40"/>
        <v>2200653.4115458601</v>
      </c>
      <c r="T101" s="16">
        <f t="shared" si="40"/>
        <v>2334308.5143465903</v>
      </c>
      <c r="U101" s="16">
        <f t="shared" si="40"/>
        <v>2467965.8744332171</v>
      </c>
      <c r="V101" s="16">
        <f t="shared" si="40"/>
        <v>2601625.5039933994</v>
      </c>
      <c r="W101" s="16">
        <f t="shared" si="40"/>
        <v>2735287.4152806019</v>
      </c>
      <c r="X101" s="16">
        <f t="shared" si="40"/>
        <v>2868951.6206144462</v>
      </c>
      <c r="Y101" s="16">
        <f t="shared" si="40"/>
        <v>3002618.1323810751</v>
      </c>
      <c r="Z101" s="16">
        <f t="shared" si="40"/>
        <v>3136286.9630335029</v>
      </c>
      <c r="AA101" s="16">
        <f t="shared" si="40"/>
        <v>3269958.1250919844</v>
      </c>
      <c r="AB101" s="16">
        <f t="shared" si="40"/>
        <v>3403631.6311443713</v>
      </c>
      <c r="AC101" s="16">
        <f t="shared" si="40"/>
        <v>3537307.4938464831</v>
      </c>
      <c r="AD101" s="16">
        <f t="shared" si="40"/>
        <v>3670985.725922469</v>
      </c>
      <c r="AE101" s="16">
        <f t="shared" si="40"/>
        <v>3804666.3401651811</v>
      </c>
      <c r="AF101" s="16">
        <f t="shared" si="40"/>
        <v>3938349.3494365416</v>
      </c>
      <c r="AG101" s="16">
        <f t="shared" si="40"/>
        <v>4072034.7666679183</v>
      </c>
      <c r="AH101" s="16">
        <f t="shared" si="40"/>
        <v>4205722.6048604995</v>
      </c>
      <c r="AI101" s="16">
        <f t="shared" si="40"/>
        <v>4339412.877085669</v>
      </c>
      <c r="AJ101" s="16">
        <f t="shared" si="40"/>
        <v>4473105.5964853857</v>
      </c>
      <c r="AK101" s="16">
        <f t="shared" si="40"/>
        <v>4606800.7762725679</v>
      </c>
      <c r="AL101" s="16">
        <f t="shared" si="40"/>
        <v>4740498.4297314705</v>
      </c>
      <c r="AM101" s="16">
        <f t="shared" si="40"/>
        <v>4874198.5702180779</v>
      </c>
      <c r="AN101" s="16">
        <f t="shared" si="40"/>
        <v>5007901.211160481</v>
      </c>
      <c r="AO101" s="16">
        <f t="shared" si="40"/>
        <v>5141606.3660592791</v>
      </c>
      <c r="AP101" s="16">
        <f t="shared" si="40"/>
        <v>5275314.0484879566</v>
      </c>
      <c r="AQ101" s="16">
        <f t="shared" si="40"/>
        <v>5409024.2720932923</v>
      </c>
      <c r="AR101" s="16">
        <f t="shared" si="40"/>
        <v>5542737.0505957445</v>
      </c>
    </row>
    <row r="102" spans="1:44" x14ac:dyDescent="0.2">
      <c r="C102" s="235"/>
      <c r="D102" s="75"/>
    </row>
    <row r="103" spans="1:44" s="9" customFormat="1" x14ac:dyDescent="0.2">
      <c r="A103" s="8" t="s">
        <v>238</v>
      </c>
      <c r="B103" s="8"/>
      <c r="C103" s="236"/>
    </row>
    <row r="104" spans="1:44" ht="15" x14ac:dyDescent="0.25">
      <c r="A104" s="2" t="s">
        <v>239</v>
      </c>
      <c r="C104" s="18"/>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row>
    <row r="105" spans="1:44" x14ac:dyDescent="0.2">
      <c r="B105" s="1" t="s">
        <v>209</v>
      </c>
      <c r="C105" s="235" t="s">
        <v>72</v>
      </c>
      <c r="D105" s="75">
        <f>SUM(F105:AR105)</f>
        <v>46682487.378913097</v>
      </c>
      <c r="F105" s="16">
        <f t="shared" ref="F105:AR105" si="41">(F$64-F$101)*F$11*F15</f>
        <v>0</v>
      </c>
      <c r="G105" s="16">
        <f t="shared" si="41"/>
        <v>0</v>
      </c>
      <c r="H105" s="16">
        <f t="shared" si="41"/>
        <v>0</v>
      </c>
      <c r="I105" s="16">
        <f t="shared" si="41"/>
        <v>0</v>
      </c>
      <c r="J105" s="16">
        <f t="shared" si="41"/>
        <v>0</v>
      </c>
      <c r="K105" s="16">
        <f t="shared" si="41"/>
        <v>0</v>
      </c>
      <c r="L105" s="16">
        <f t="shared" si="41"/>
        <v>0</v>
      </c>
      <c r="M105" s="16">
        <f t="shared" si="41"/>
        <v>0</v>
      </c>
      <c r="N105" s="16">
        <f t="shared" si="41"/>
        <v>0</v>
      </c>
      <c r="O105" s="16">
        <f t="shared" si="41"/>
        <v>1098368.544691304</v>
      </c>
      <c r="P105" s="16">
        <f t="shared" si="41"/>
        <v>1228448.10513913</v>
      </c>
      <c r="Q105" s="16">
        <f t="shared" si="41"/>
        <v>1358527.6655869558</v>
      </c>
      <c r="R105" s="16">
        <f t="shared" si="41"/>
        <v>1488607.2260347824</v>
      </c>
      <c r="S105" s="16">
        <f t="shared" si="41"/>
        <v>1618686.7864826089</v>
      </c>
      <c r="T105" s="16">
        <f t="shared" si="41"/>
        <v>1748766.3469304363</v>
      </c>
      <c r="U105" s="16">
        <f t="shared" si="41"/>
        <v>1878845.9073782633</v>
      </c>
      <c r="V105" s="16">
        <f t="shared" si="41"/>
        <v>2008925.4678260889</v>
      </c>
      <c r="W105" s="16">
        <f t="shared" si="41"/>
        <v>2139005.0282739149</v>
      </c>
      <c r="X105" s="16">
        <f t="shared" si="41"/>
        <v>2269084.5887217415</v>
      </c>
      <c r="Y105" s="16">
        <f t="shared" si="41"/>
        <v>2399164.1491695689</v>
      </c>
      <c r="Z105" s="16">
        <f t="shared" si="41"/>
        <v>2529243.709617395</v>
      </c>
      <c r="AA105" s="16">
        <f t="shared" si="41"/>
        <v>2659323.2700652205</v>
      </c>
      <c r="AB105" s="16">
        <f t="shared" si="41"/>
        <v>2789402.8305130466</v>
      </c>
      <c r="AC105" s="16">
        <f t="shared" si="41"/>
        <v>2919482.3909608745</v>
      </c>
      <c r="AD105" s="16">
        <f t="shared" si="41"/>
        <v>3049561.9514087001</v>
      </c>
      <c r="AE105" s="16">
        <f t="shared" si="41"/>
        <v>3179641.5118565261</v>
      </c>
      <c r="AF105" s="16">
        <f t="shared" si="41"/>
        <v>3309721.0723043508</v>
      </c>
      <c r="AG105" s="16">
        <f t="shared" si="41"/>
        <v>3439800.6327521792</v>
      </c>
      <c r="AH105" s="16">
        <f t="shared" si="41"/>
        <v>3569880.1932000052</v>
      </c>
      <c r="AI105" s="16">
        <f t="shared" si="41"/>
        <v>0</v>
      </c>
      <c r="AJ105" s="16">
        <f t="shared" si="41"/>
        <v>0</v>
      </c>
      <c r="AK105" s="16">
        <f t="shared" si="41"/>
        <v>0</v>
      </c>
      <c r="AL105" s="16">
        <f t="shared" si="41"/>
        <v>0</v>
      </c>
      <c r="AM105" s="16">
        <f t="shared" si="41"/>
        <v>0</v>
      </c>
      <c r="AN105" s="16">
        <f t="shared" si="41"/>
        <v>0</v>
      </c>
      <c r="AO105" s="16">
        <f t="shared" si="41"/>
        <v>0</v>
      </c>
      <c r="AP105" s="16">
        <f t="shared" si="41"/>
        <v>0</v>
      </c>
      <c r="AQ105" s="16">
        <f t="shared" si="41"/>
        <v>0</v>
      </c>
      <c r="AR105" s="16">
        <f t="shared" si="41"/>
        <v>0</v>
      </c>
    </row>
    <row r="106" spans="1:44" x14ac:dyDescent="0.2">
      <c r="B106" s="1" t="str">
        <f>Inputs!$C$30</f>
        <v>2% Discount Factor</v>
      </c>
      <c r="C106" s="235" t="s">
        <v>72</v>
      </c>
      <c r="D106" s="75">
        <f>SUM(F106:AR106)</f>
        <v>33303221.868294433</v>
      </c>
      <c r="F106" s="16">
        <f t="shared" ref="F106:AR106" si="42">(F$64-F$101)*F$11*F16</f>
        <v>0</v>
      </c>
      <c r="G106" s="16">
        <f t="shared" si="42"/>
        <v>0</v>
      </c>
      <c r="H106" s="16">
        <f t="shared" si="42"/>
        <v>0</v>
      </c>
      <c r="I106" s="16">
        <f t="shared" si="42"/>
        <v>0</v>
      </c>
      <c r="J106" s="16">
        <f t="shared" si="42"/>
        <v>0</v>
      </c>
      <c r="K106" s="16">
        <f t="shared" si="42"/>
        <v>0</v>
      </c>
      <c r="L106" s="16">
        <f t="shared" si="42"/>
        <v>0</v>
      </c>
      <c r="M106" s="16">
        <f t="shared" si="42"/>
        <v>0</v>
      </c>
      <c r="N106" s="16">
        <f t="shared" si="42"/>
        <v>0</v>
      </c>
      <c r="O106" s="16">
        <f t="shared" si="42"/>
        <v>975319.83477937337</v>
      </c>
      <c r="P106" s="16">
        <f t="shared" si="42"/>
        <v>1069438.0018278451</v>
      </c>
      <c r="Q106" s="16">
        <f t="shared" si="42"/>
        <v>1159490.2815738467</v>
      </c>
      <c r="R106" s="16">
        <f t="shared" si="42"/>
        <v>1245599.9352006949</v>
      </c>
      <c r="S106" s="16">
        <f t="shared" si="42"/>
        <v>1327886.9533213868</v>
      </c>
      <c r="T106" s="16">
        <f t="shared" si="42"/>
        <v>1406468.1368463428</v>
      </c>
      <c r="U106" s="16">
        <f t="shared" si="42"/>
        <v>1481457.1759372856</v>
      </c>
      <c r="V106" s="16">
        <f t="shared" si="42"/>
        <v>1552964.727091233</v>
      </c>
      <c r="W106" s="16">
        <f t="shared" si="42"/>
        <v>1621098.4883975682</v>
      </c>
      <c r="X106" s="16">
        <f t="shared" si="42"/>
        <v>1685963.273010195</v>
      </c>
      <c r="Y106" s="16">
        <f t="shared" si="42"/>
        <v>1747661.0808758456</v>
      </c>
      <c r="Z106" s="16">
        <f t="shared" si="42"/>
        <v>1806291.1687586785</v>
      </c>
      <c r="AA106" s="16">
        <f t="shared" si="42"/>
        <v>1861950.1186004023</v>
      </c>
      <c r="AB106" s="16">
        <f t="shared" si="42"/>
        <v>1914731.9042542698</v>
      </c>
      <c r="AC106" s="16">
        <f t="shared" si="42"/>
        <v>1964727.9566304397</v>
      </c>
      <c r="AD106" s="16">
        <f t="shared" si="42"/>
        <v>2012027.2272893363</v>
      </c>
      <c r="AE106" s="16">
        <f t="shared" si="42"/>
        <v>2056716.2505188452</v>
      </c>
      <c r="AF106" s="16">
        <f t="shared" si="42"/>
        <v>2098879.2039303225</v>
      </c>
      <c r="AG106" s="16">
        <f t="shared" si="42"/>
        <v>2138597.9676076649</v>
      </c>
      <c r="AH106" s="16">
        <f t="shared" si="42"/>
        <v>2175952.1818428612</v>
      </c>
      <c r="AI106" s="16">
        <f t="shared" si="42"/>
        <v>0</v>
      </c>
      <c r="AJ106" s="16">
        <f t="shared" si="42"/>
        <v>0</v>
      </c>
      <c r="AK106" s="16">
        <f t="shared" si="42"/>
        <v>0</v>
      </c>
      <c r="AL106" s="16">
        <f t="shared" si="42"/>
        <v>0</v>
      </c>
      <c r="AM106" s="16">
        <f t="shared" si="42"/>
        <v>0</v>
      </c>
      <c r="AN106" s="16">
        <f t="shared" si="42"/>
        <v>0</v>
      </c>
      <c r="AO106" s="16">
        <f t="shared" si="42"/>
        <v>0</v>
      </c>
      <c r="AP106" s="16">
        <f t="shared" si="42"/>
        <v>0</v>
      </c>
      <c r="AQ106" s="16">
        <f t="shared" si="42"/>
        <v>0</v>
      </c>
      <c r="AR106" s="16">
        <f t="shared" si="42"/>
        <v>0</v>
      </c>
    </row>
    <row r="107" spans="1:44" x14ac:dyDescent="0.2">
      <c r="B107" s="1" t="str">
        <f>Inputs!$C$31</f>
        <v>3.1% Discount Factor</v>
      </c>
      <c r="C107" s="235" t="s">
        <v>72</v>
      </c>
      <c r="D107" s="75">
        <f>SUM(F107:AR107)</f>
        <v>27875542.573536094</v>
      </c>
      <c r="F107" s="16">
        <f t="shared" ref="F107:AR107" si="43">(F$64-F$101)*F$11*F17</f>
        <v>0</v>
      </c>
      <c r="G107" s="16">
        <f t="shared" si="43"/>
        <v>0</v>
      </c>
      <c r="H107" s="16">
        <f t="shared" si="43"/>
        <v>0</v>
      </c>
      <c r="I107" s="16">
        <f t="shared" si="43"/>
        <v>0</v>
      </c>
      <c r="J107" s="16">
        <f t="shared" si="43"/>
        <v>0</v>
      </c>
      <c r="K107" s="16">
        <f t="shared" si="43"/>
        <v>0</v>
      </c>
      <c r="L107" s="16">
        <f t="shared" si="43"/>
        <v>0</v>
      </c>
      <c r="M107" s="16">
        <f t="shared" si="43"/>
        <v>0</v>
      </c>
      <c r="N107" s="16">
        <f t="shared" si="43"/>
        <v>0</v>
      </c>
      <c r="O107" s="16">
        <f t="shared" si="43"/>
        <v>914526.08064465201</v>
      </c>
      <c r="P107" s="16">
        <f t="shared" si="43"/>
        <v>992078.77396024624</v>
      </c>
      <c r="Q107" s="16">
        <f t="shared" si="43"/>
        <v>1064140.9715515203</v>
      </c>
      <c r="R107" s="16">
        <f t="shared" si="43"/>
        <v>1130972.735010023</v>
      </c>
      <c r="S107" s="16">
        <f t="shared" si="43"/>
        <v>1192823.450756093</v>
      </c>
      <c r="T107" s="16">
        <f t="shared" si="43"/>
        <v>1249932.2368826715</v>
      </c>
      <c r="U107" s="16">
        <f t="shared" si="43"/>
        <v>1302528.3351844284</v>
      </c>
      <c r="V107" s="16">
        <f t="shared" si="43"/>
        <v>1350831.4888952828</v>
      </c>
      <c r="W107" s="16">
        <f t="shared" si="43"/>
        <v>1395052.306639327</v>
      </c>
      <c r="X107" s="16">
        <f t="shared" si="43"/>
        <v>1435392.613082709</v>
      </c>
      <c r="Y107" s="16">
        <f t="shared" si="43"/>
        <v>1472045.7867571993</v>
      </c>
      <c r="Z107" s="16">
        <f t="shared" si="43"/>
        <v>1505197.0855098495</v>
      </c>
      <c r="AA107" s="16">
        <f t="shared" si="43"/>
        <v>1535023.9600174518</v>
      </c>
      <c r="AB107" s="16">
        <f t="shared" si="43"/>
        <v>1561696.3557892868</v>
      </c>
      <c r="AC107" s="16">
        <f t="shared" si="43"/>
        <v>1585377.0040669965</v>
      </c>
      <c r="AD107" s="16">
        <f t="shared" si="43"/>
        <v>1606221.7020162155</v>
      </c>
      <c r="AE107" s="16">
        <f t="shared" si="43"/>
        <v>1624379.582590933</v>
      </c>
      <c r="AF107" s="16">
        <f t="shared" si="43"/>
        <v>1639993.3744382784</v>
      </c>
      <c r="AG107" s="16">
        <f t="shared" si="43"/>
        <v>1653199.6521987163</v>
      </c>
      <c r="AH107" s="16">
        <f t="shared" si="43"/>
        <v>1664129.0775442119</v>
      </c>
      <c r="AI107" s="16">
        <f t="shared" si="43"/>
        <v>0</v>
      </c>
      <c r="AJ107" s="16">
        <f t="shared" si="43"/>
        <v>0</v>
      </c>
      <c r="AK107" s="16">
        <f t="shared" si="43"/>
        <v>0</v>
      </c>
      <c r="AL107" s="16">
        <f t="shared" si="43"/>
        <v>0</v>
      </c>
      <c r="AM107" s="16">
        <f t="shared" si="43"/>
        <v>0</v>
      </c>
      <c r="AN107" s="16">
        <f t="shared" si="43"/>
        <v>0</v>
      </c>
      <c r="AO107" s="16">
        <f t="shared" si="43"/>
        <v>0</v>
      </c>
      <c r="AP107" s="16">
        <f t="shared" si="43"/>
        <v>0</v>
      </c>
      <c r="AQ107" s="16">
        <f t="shared" si="43"/>
        <v>0</v>
      </c>
      <c r="AR107" s="16">
        <f t="shared" si="43"/>
        <v>0</v>
      </c>
    </row>
    <row r="108" spans="1:44" x14ac:dyDescent="0.2">
      <c r="C108" s="76"/>
      <c r="D108" s="75"/>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F42E-ADCC-4A1F-BD9D-262CFA48CCE9}">
  <sheetPr>
    <tabColor theme="9"/>
  </sheetPr>
  <dimension ref="A1:AS101"/>
  <sheetViews>
    <sheetView workbookViewId="0">
      <pane xSplit="4" ySplit="7" topLeftCell="E8" activePane="bottomRight" state="frozen"/>
      <selection pane="topRight" activeCell="E1" sqref="E1"/>
      <selection pane="bottomLeft" activeCell="A8" sqref="A8"/>
      <selection pane="bottomRight" activeCell="C3" sqref="C3:D3"/>
    </sheetView>
  </sheetViews>
  <sheetFormatPr defaultColWidth="0" defaultRowHeight="14.25" x14ac:dyDescent="0.2"/>
  <cols>
    <col min="1" max="1" width="10"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264</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13"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2"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2"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2"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2"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2"/>
    </row>
    <row r="13" spans="1:44" x14ac:dyDescent="0.2">
      <c r="B13" s="1" t="s">
        <v>199</v>
      </c>
      <c r="C13" s="12"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2"/>
    </row>
    <row r="15" spans="1:44" x14ac:dyDescent="0.2">
      <c r="B15" s="1" t="s">
        <v>59</v>
      </c>
      <c r="C15" s="12"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2"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2"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143</v>
      </c>
    </row>
    <row r="22" spans="1:44" ht="15" x14ac:dyDescent="0.25">
      <c r="B22" s="2" t="s">
        <v>142</v>
      </c>
      <c r="C22" s="76"/>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x14ac:dyDescent="0.2">
      <c r="B23" s="1" t="s">
        <v>144</v>
      </c>
      <c r="C23" s="76" t="s">
        <v>145</v>
      </c>
      <c r="D23" s="92">
        <f>Inputs!E105</f>
        <v>24.074999999999999</v>
      </c>
      <c r="F23" s="96">
        <f t="shared" ref="F23:AR23" si="13">IF(F$7=$D$24,$D$23,0)</f>
        <v>0</v>
      </c>
      <c r="G23" s="96">
        <f t="shared" si="13"/>
        <v>0</v>
      </c>
      <c r="H23" s="96">
        <f t="shared" si="13"/>
        <v>0</v>
      </c>
      <c r="I23" s="96">
        <f t="shared" si="13"/>
        <v>0</v>
      </c>
      <c r="J23" s="96">
        <f t="shared" si="13"/>
        <v>0</v>
      </c>
      <c r="K23" s="96">
        <f t="shared" si="13"/>
        <v>24.074999999999999</v>
      </c>
      <c r="L23" s="96">
        <f t="shared" si="13"/>
        <v>0</v>
      </c>
      <c r="M23" s="96">
        <f t="shared" si="13"/>
        <v>0</v>
      </c>
      <c r="N23" s="96">
        <f t="shared" si="13"/>
        <v>0</v>
      </c>
      <c r="O23" s="96">
        <f t="shared" si="13"/>
        <v>0</v>
      </c>
      <c r="P23" s="96">
        <f t="shared" si="13"/>
        <v>0</v>
      </c>
      <c r="Q23" s="96">
        <f t="shared" si="13"/>
        <v>0</v>
      </c>
      <c r="R23" s="96">
        <f t="shared" si="13"/>
        <v>0</v>
      </c>
      <c r="S23" s="96">
        <f t="shared" si="13"/>
        <v>0</v>
      </c>
      <c r="T23" s="96">
        <f t="shared" si="13"/>
        <v>0</v>
      </c>
      <c r="U23" s="96">
        <f t="shared" si="13"/>
        <v>0</v>
      </c>
      <c r="V23" s="96">
        <f t="shared" si="13"/>
        <v>0</v>
      </c>
      <c r="W23" s="96">
        <f t="shared" si="13"/>
        <v>0</v>
      </c>
      <c r="X23" s="96">
        <f t="shared" si="13"/>
        <v>0</v>
      </c>
      <c r="Y23" s="96">
        <f t="shared" si="13"/>
        <v>0</v>
      </c>
      <c r="Z23" s="96">
        <f t="shared" si="13"/>
        <v>0</v>
      </c>
      <c r="AA23" s="96">
        <f t="shared" si="13"/>
        <v>0</v>
      </c>
      <c r="AB23" s="96">
        <f t="shared" si="13"/>
        <v>0</v>
      </c>
      <c r="AC23" s="96">
        <f t="shared" si="13"/>
        <v>0</v>
      </c>
      <c r="AD23" s="96">
        <f t="shared" si="13"/>
        <v>0</v>
      </c>
      <c r="AE23" s="96">
        <f t="shared" si="13"/>
        <v>0</v>
      </c>
      <c r="AF23" s="96">
        <f t="shared" si="13"/>
        <v>0</v>
      </c>
      <c r="AG23" s="96">
        <f t="shared" si="13"/>
        <v>0</v>
      </c>
      <c r="AH23" s="96">
        <f t="shared" si="13"/>
        <v>0</v>
      </c>
      <c r="AI23" s="96">
        <f t="shared" si="13"/>
        <v>0</v>
      </c>
      <c r="AJ23" s="96">
        <f t="shared" si="13"/>
        <v>0</v>
      </c>
      <c r="AK23" s="96">
        <f t="shared" si="13"/>
        <v>0</v>
      </c>
      <c r="AL23" s="96">
        <f t="shared" si="13"/>
        <v>0</v>
      </c>
      <c r="AM23" s="96">
        <f t="shared" si="13"/>
        <v>0</v>
      </c>
      <c r="AN23" s="96">
        <f t="shared" si="13"/>
        <v>0</v>
      </c>
      <c r="AO23" s="96">
        <f t="shared" si="13"/>
        <v>0</v>
      </c>
      <c r="AP23" s="96">
        <f t="shared" si="13"/>
        <v>0</v>
      </c>
      <c r="AQ23" s="96">
        <f t="shared" si="13"/>
        <v>0</v>
      </c>
      <c r="AR23" s="96">
        <f t="shared" si="13"/>
        <v>0</v>
      </c>
    </row>
    <row r="24" spans="1:44" x14ac:dyDescent="0.2">
      <c r="B24" s="1" t="s">
        <v>144</v>
      </c>
      <c r="C24" s="76" t="s">
        <v>102</v>
      </c>
      <c r="D24" s="20">
        <f>Inputs!E106</f>
        <v>2023</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1:44" x14ac:dyDescent="0.2">
      <c r="B25" s="1" t="s">
        <v>146</v>
      </c>
      <c r="C25" s="76" t="s">
        <v>145</v>
      </c>
      <c r="D25" s="92">
        <f>Inputs!E107</f>
        <v>58.859999999999992</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1:44" x14ac:dyDescent="0.2">
      <c r="B26" s="1" t="s">
        <v>146</v>
      </c>
      <c r="C26" s="76" t="s">
        <v>102</v>
      </c>
      <c r="D26" s="20">
        <f>Inputs!E113</f>
        <v>2046</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1:44" x14ac:dyDescent="0.2">
      <c r="B27" s="1" t="s">
        <v>242</v>
      </c>
      <c r="C27" s="76" t="s">
        <v>145</v>
      </c>
      <c r="D27" s="15">
        <f>(D25-D23)/(D26-D24)</f>
        <v>1.5123913043478259</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x14ac:dyDescent="0.2">
      <c r="B28" s="1" t="s">
        <v>243</v>
      </c>
      <c r="C28" s="76" t="s">
        <v>244</v>
      </c>
      <c r="D28" s="17"/>
      <c r="F28" s="16">
        <f t="shared" ref="F28:AR28" si="14">IF(F7&gt;$D$24,1,0)</f>
        <v>0</v>
      </c>
      <c r="G28" s="16">
        <f t="shared" si="14"/>
        <v>0</v>
      </c>
      <c r="H28" s="16">
        <f t="shared" si="14"/>
        <v>0</v>
      </c>
      <c r="I28" s="16">
        <f t="shared" si="14"/>
        <v>0</v>
      </c>
      <c r="J28" s="16">
        <f t="shared" si="14"/>
        <v>0</v>
      </c>
      <c r="K28" s="16">
        <f t="shared" si="14"/>
        <v>0</v>
      </c>
      <c r="L28" s="16">
        <f t="shared" si="14"/>
        <v>1</v>
      </c>
      <c r="M28" s="16">
        <f t="shared" si="14"/>
        <v>1</v>
      </c>
      <c r="N28" s="16">
        <f t="shared" si="14"/>
        <v>1</v>
      </c>
      <c r="O28" s="16">
        <f t="shared" si="14"/>
        <v>1</v>
      </c>
      <c r="P28" s="16">
        <f t="shared" si="14"/>
        <v>1</v>
      </c>
      <c r="Q28" s="16">
        <f t="shared" si="14"/>
        <v>1</v>
      </c>
      <c r="R28" s="16">
        <f t="shared" si="14"/>
        <v>1</v>
      </c>
      <c r="S28" s="16">
        <f t="shared" si="14"/>
        <v>1</v>
      </c>
      <c r="T28" s="16">
        <f t="shared" si="14"/>
        <v>1</v>
      </c>
      <c r="U28" s="16">
        <f t="shared" si="14"/>
        <v>1</v>
      </c>
      <c r="V28" s="16">
        <f t="shared" si="14"/>
        <v>1</v>
      </c>
      <c r="W28" s="16">
        <f t="shared" si="14"/>
        <v>1</v>
      </c>
      <c r="X28" s="16">
        <f t="shared" si="14"/>
        <v>1</v>
      </c>
      <c r="Y28" s="16">
        <f t="shared" si="14"/>
        <v>1</v>
      </c>
      <c r="Z28" s="16">
        <f t="shared" si="14"/>
        <v>1</v>
      </c>
      <c r="AA28" s="16">
        <f t="shared" si="14"/>
        <v>1</v>
      </c>
      <c r="AB28" s="16">
        <f t="shared" si="14"/>
        <v>1</v>
      </c>
      <c r="AC28" s="16">
        <f t="shared" si="14"/>
        <v>1</v>
      </c>
      <c r="AD28" s="16">
        <f t="shared" si="14"/>
        <v>1</v>
      </c>
      <c r="AE28" s="16">
        <f t="shared" si="14"/>
        <v>1</v>
      </c>
      <c r="AF28" s="16">
        <f t="shared" si="14"/>
        <v>1</v>
      </c>
      <c r="AG28" s="16">
        <f t="shared" si="14"/>
        <v>1</v>
      </c>
      <c r="AH28" s="16">
        <f t="shared" si="14"/>
        <v>1</v>
      </c>
      <c r="AI28" s="16">
        <f t="shared" si="14"/>
        <v>1</v>
      </c>
      <c r="AJ28" s="16">
        <f t="shared" si="14"/>
        <v>1</v>
      </c>
      <c r="AK28" s="16">
        <f t="shared" si="14"/>
        <v>1</v>
      </c>
      <c r="AL28" s="16">
        <f t="shared" si="14"/>
        <v>1</v>
      </c>
      <c r="AM28" s="16">
        <f t="shared" si="14"/>
        <v>1</v>
      </c>
      <c r="AN28" s="16">
        <f t="shared" si="14"/>
        <v>1</v>
      </c>
      <c r="AO28" s="16">
        <f t="shared" si="14"/>
        <v>1</v>
      </c>
      <c r="AP28" s="16">
        <f t="shared" si="14"/>
        <v>1</v>
      </c>
      <c r="AQ28" s="16">
        <f t="shared" si="14"/>
        <v>1</v>
      </c>
      <c r="AR28" s="16">
        <f t="shared" si="14"/>
        <v>1</v>
      </c>
    </row>
    <row r="29" spans="1:44" ht="15" x14ac:dyDescent="0.25">
      <c r="A29" s="2"/>
      <c r="B29" s="1" t="s">
        <v>265</v>
      </c>
      <c r="C29" s="76" t="s">
        <v>145</v>
      </c>
      <c r="D29" s="92">
        <f>SUM(F29:AR29)</f>
        <v>1667.001521739129</v>
      </c>
      <c r="F29" s="92">
        <f t="shared" ref="F29:AR29" si="15">E29+F23+F28*$D$27</f>
        <v>0</v>
      </c>
      <c r="G29" s="92">
        <f t="shared" si="15"/>
        <v>0</v>
      </c>
      <c r="H29" s="92">
        <f t="shared" si="15"/>
        <v>0</v>
      </c>
      <c r="I29" s="92">
        <f t="shared" si="15"/>
        <v>0</v>
      </c>
      <c r="J29" s="92">
        <f t="shared" si="15"/>
        <v>0</v>
      </c>
      <c r="K29" s="92">
        <f t="shared" si="15"/>
        <v>24.074999999999999</v>
      </c>
      <c r="L29" s="92">
        <f t="shared" si="15"/>
        <v>25.587391304347825</v>
      </c>
      <c r="M29" s="92">
        <f t="shared" si="15"/>
        <v>27.099782608695651</v>
      </c>
      <c r="N29" s="92">
        <f t="shared" si="15"/>
        <v>28.612173913043478</v>
      </c>
      <c r="O29" s="92">
        <f t="shared" si="15"/>
        <v>30.124565217391304</v>
      </c>
      <c r="P29" s="92">
        <f t="shared" si="15"/>
        <v>31.63695652173913</v>
      </c>
      <c r="Q29" s="92">
        <f t="shared" si="15"/>
        <v>33.149347826086952</v>
      </c>
      <c r="R29" s="92">
        <f t="shared" si="15"/>
        <v>34.661739130434775</v>
      </c>
      <c r="S29" s="92">
        <f t="shared" si="15"/>
        <v>36.174130434782597</v>
      </c>
      <c r="T29" s="92">
        <f t="shared" si="15"/>
        <v>37.68652173913042</v>
      </c>
      <c r="U29" s="92">
        <f t="shared" si="15"/>
        <v>39.198913043478242</v>
      </c>
      <c r="V29" s="92">
        <f t="shared" si="15"/>
        <v>40.711304347826065</v>
      </c>
      <c r="W29" s="92">
        <f t="shared" si="15"/>
        <v>42.223695652173888</v>
      </c>
      <c r="X29" s="92">
        <f t="shared" si="15"/>
        <v>43.73608695652171</v>
      </c>
      <c r="Y29" s="92">
        <f t="shared" si="15"/>
        <v>45.248478260869533</v>
      </c>
      <c r="Z29" s="92">
        <f t="shared" si="15"/>
        <v>46.760869565217355</v>
      </c>
      <c r="AA29" s="92">
        <f t="shared" si="15"/>
        <v>48.273260869565178</v>
      </c>
      <c r="AB29" s="92">
        <f t="shared" si="15"/>
        <v>49.785652173913</v>
      </c>
      <c r="AC29" s="92">
        <f t="shared" si="15"/>
        <v>51.298043478260823</v>
      </c>
      <c r="AD29" s="92">
        <f t="shared" si="15"/>
        <v>52.810434782608645</v>
      </c>
      <c r="AE29" s="92">
        <f t="shared" si="15"/>
        <v>54.322826086956468</v>
      </c>
      <c r="AF29" s="92">
        <f t="shared" si="15"/>
        <v>55.83521739130429</v>
      </c>
      <c r="AG29" s="92">
        <f t="shared" si="15"/>
        <v>57.347608695652113</v>
      </c>
      <c r="AH29" s="92">
        <f t="shared" si="15"/>
        <v>58.859999999999935</v>
      </c>
      <c r="AI29" s="92">
        <f t="shared" si="15"/>
        <v>60.372391304347758</v>
      </c>
      <c r="AJ29" s="92">
        <f t="shared" si="15"/>
        <v>61.884782608695581</v>
      </c>
      <c r="AK29" s="92">
        <f t="shared" si="15"/>
        <v>63.397173913043403</v>
      </c>
      <c r="AL29" s="92">
        <f t="shared" si="15"/>
        <v>64.909565217391233</v>
      </c>
      <c r="AM29" s="92">
        <f t="shared" si="15"/>
        <v>66.421956521739062</v>
      </c>
      <c r="AN29" s="92">
        <f t="shared" si="15"/>
        <v>67.934347826086892</v>
      </c>
      <c r="AO29" s="92">
        <f t="shared" si="15"/>
        <v>69.446739130434722</v>
      </c>
      <c r="AP29" s="92">
        <f t="shared" si="15"/>
        <v>70.959130434782551</v>
      </c>
      <c r="AQ29" s="92">
        <f t="shared" si="15"/>
        <v>72.471521739130381</v>
      </c>
      <c r="AR29" s="92">
        <f t="shared" si="15"/>
        <v>73.983913043478211</v>
      </c>
    </row>
    <row r="30" spans="1:44" ht="15" x14ac:dyDescent="0.25">
      <c r="A30" s="2"/>
      <c r="B30" s="1" t="s">
        <v>266</v>
      </c>
      <c r="C30" s="76" t="s">
        <v>267</v>
      </c>
      <c r="D30" s="92">
        <f>Inputs!$E$33</f>
        <v>1000</v>
      </c>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row>
    <row r="31" spans="1:44" ht="15" x14ac:dyDescent="0.25">
      <c r="A31" s="2"/>
      <c r="B31" s="1" t="s">
        <v>268</v>
      </c>
      <c r="C31" s="76" t="s">
        <v>269</v>
      </c>
      <c r="D31" s="92">
        <f>Inputs!$E$32</f>
        <v>365</v>
      </c>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row>
    <row r="32" spans="1:44" ht="15" x14ac:dyDescent="0.25">
      <c r="A32" s="2"/>
      <c r="B32" s="1" t="s">
        <v>265</v>
      </c>
      <c r="C32" s="76" t="s">
        <v>978</v>
      </c>
      <c r="D32" s="92">
        <f>SUM(F32:AR32)</f>
        <v>608.4555554347819</v>
      </c>
      <c r="F32" s="92">
        <f>F29*$D$31/$D$30</f>
        <v>0</v>
      </c>
      <c r="G32" s="92">
        <f t="shared" ref="G32:AR32" si="16">G29*$D$31/$D$30</f>
        <v>0</v>
      </c>
      <c r="H32" s="92">
        <f t="shared" si="16"/>
        <v>0</v>
      </c>
      <c r="I32" s="92">
        <f t="shared" si="16"/>
        <v>0</v>
      </c>
      <c r="J32" s="92">
        <f t="shared" si="16"/>
        <v>0</v>
      </c>
      <c r="K32" s="92">
        <f t="shared" si="16"/>
        <v>8.7873750000000008</v>
      </c>
      <c r="L32" s="92">
        <f t="shared" si="16"/>
        <v>9.339397826086957</v>
      </c>
      <c r="M32" s="92">
        <f t="shared" si="16"/>
        <v>9.8914206521739132</v>
      </c>
      <c r="N32" s="92">
        <f t="shared" si="16"/>
        <v>10.443443478260869</v>
      </c>
      <c r="O32" s="92">
        <f t="shared" si="16"/>
        <v>10.995466304347827</v>
      </c>
      <c r="P32" s="92">
        <f t="shared" si="16"/>
        <v>11.547489130434782</v>
      </c>
      <c r="Q32" s="92">
        <f t="shared" si="16"/>
        <v>12.099511956521738</v>
      </c>
      <c r="R32" s="92">
        <f t="shared" si="16"/>
        <v>12.651534782608692</v>
      </c>
      <c r="S32" s="92">
        <f t="shared" si="16"/>
        <v>13.203557608695649</v>
      </c>
      <c r="T32" s="92">
        <f t="shared" si="16"/>
        <v>13.755580434782603</v>
      </c>
      <c r="U32" s="92">
        <f t="shared" si="16"/>
        <v>14.307603260869559</v>
      </c>
      <c r="V32" s="92">
        <f t="shared" si="16"/>
        <v>14.859626086956514</v>
      </c>
      <c r="W32" s="92">
        <f t="shared" si="16"/>
        <v>15.41164891304347</v>
      </c>
      <c r="X32" s="92">
        <f t="shared" si="16"/>
        <v>15.963671739130424</v>
      </c>
      <c r="Y32" s="92">
        <f t="shared" si="16"/>
        <v>16.515694565217377</v>
      </c>
      <c r="Z32" s="92">
        <f t="shared" si="16"/>
        <v>17.067717391304335</v>
      </c>
      <c r="AA32" s="92">
        <f t="shared" si="16"/>
        <v>17.619740217391289</v>
      </c>
      <c r="AB32" s="92">
        <f t="shared" si="16"/>
        <v>18.171763043478244</v>
      </c>
      <c r="AC32" s="92">
        <f t="shared" si="16"/>
        <v>18.723785869565198</v>
      </c>
      <c r="AD32" s="92">
        <f t="shared" si="16"/>
        <v>19.275808695652156</v>
      </c>
      <c r="AE32" s="92">
        <f t="shared" si="16"/>
        <v>19.82783152173911</v>
      </c>
      <c r="AF32" s="92">
        <f t="shared" si="16"/>
        <v>20.379854347826065</v>
      </c>
      <c r="AG32" s="92">
        <f t="shared" si="16"/>
        <v>20.931877173913019</v>
      </c>
      <c r="AH32" s="92">
        <f t="shared" si="16"/>
        <v>21.483899999999977</v>
      </c>
      <c r="AI32" s="92">
        <f t="shared" si="16"/>
        <v>22.035922826086932</v>
      </c>
      <c r="AJ32" s="92">
        <f t="shared" si="16"/>
        <v>22.587945652173886</v>
      </c>
      <c r="AK32" s="92">
        <f t="shared" si="16"/>
        <v>23.13996847826084</v>
      </c>
      <c r="AL32" s="92">
        <f t="shared" si="16"/>
        <v>23.691991304347802</v>
      </c>
      <c r="AM32" s="92">
        <f t="shared" si="16"/>
        <v>24.244014130434756</v>
      </c>
      <c r="AN32" s="92">
        <f t="shared" si="16"/>
        <v>24.796036956521714</v>
      </c>
      <c r="AO32" s="92">
        <f t="shared" si="16"/>
        <v>25.348059782608676</v>
      </c>
      <c r="AP32" s="92">
        <f t="shared" si="16"/>
        <v>25.90008260869563</v>
      </c>
      <c r="AQ32" s="92">
        <f t="shared" si="16"/>
        <v>26.452105434782588</v>
      </c>
      <c r="AR32" s="92">
        <f t="shared" si="16"/>
        <v>27.004128260869546</v>
      </c>
    </row>
    <row r="33" spans="1:44" ht="15" x14ac:dyDescent="0.25">
      <c r="A33" s="2"/>
      <c r="C33" s="76"/>
      <c r="D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row>
    <row r="34" spans="1:44" ht="15" x14ac:dyDescent="0.25">
      <c r="B34" s="2" t="s">
        <v>270</v>
      </c>
      <c r="C34" s="76"/>
      <c r="D34" s="9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x14ac:dyDescent="0.2">
      <c r="B35" s="1" t="s">
        <v>271</v>
      </c>
      <c r="C35" s="76" t="s">
        <v>154</v>
      </c>
      <c r="D35" s="97"/>
      <c r="F35" s="16">
        <f>IFERROR(HLOOKUP(F$7,Inputs!$H$126:$AJ$130,5),0)</f>
        <v>0</v>
      </c>
      <c r="G35" s="16">
        <f>IFERROR(HLOOKUP(G$7,Inputs!$H$126:$AJ$130,5),0)</f>
        <v>0</v>
      </c>
      <c r="H35" s="16">
        <f>IFERROR(HLOOKUP(H$7,Inputs!$H$126:$AJ$130,5),0)</f>
        <v>0</v>
      </c>
      <c r="I35" s="16">
        <f>IFERROR(HLOOKUP(I$7,Inputs!$H$126:$AJ$130,5),0)</f>
        <v>0</v>
      </c>
      <c r="J35" s="16">
        <f>IFERROR(HLOOKUP(J$7,Inputs!$H$126:$AJ$130,5),0)</f>
        <v>0</v>
      </c>
      <c r="K35" s="16">
        <f>IFERROR(HLOOKUP(K$7,Inputs!$H$126:$AJ$130,5),0)</f>
        <v>228.37600706009624</v>
      </c>
      <c r="L35" s="16">
        <f>IFERROR(HLOOKUP(L$7,Inputs!$H$126:$AJ$130,5),0)</f>
        <v>232.85396798284322</v>
      </c>
      <c r="M35" s="16">
        <f>IFERROR(HLOOKUP(M$7,Inputs!$H$126:$AJ$130,5),0)</f>
        <v>237.33192890559022</v>
      </c>
      <c r="N35" s="16">
        <f>IFERROR(HLOOKUP(N$7,Inputs!$H$126:$AJ$130,5),0)</f>
        <v>240.69039959765044</v>
      </c>
      <c r="O35" s="16">
        <f>IFERROR(HLOOKUP(O$7,Inputs!$H$126:$AJ$130,5),0)</f>
        <v>245.16836052039741</v>
      </c>
      <c r="P35" s="16">
        <f>IFERROR(HLOOKUP(P$7,Inputs!$H$126:$AJ$130,5),0)</f>
        <v>249.64632144314442</v>
      </c>
      <c r="Q35" s="16">
        <f>IFERROR(HLOOKUP(Q$7,Inputs!$H$126:$AJ$130,5),0)</f>
        <v>253.00479213520464</v>
      </c>
      <c r="R35" s="16">
        <f>IFERROR(HLOOKUP(R$7,Inputs!$H$126:$AJ$130,5),0)</f>
        <v>257.48275305795164</v>
      </c>
      <c r="S35" s="16">
        <f>IFERROR(HLOOKUP(S$7,Inputs!$H$126:$AJ$130,5),0)</f>
        <v>261.96071398069864</v>
      </c>
      <c r="T35" s="16">
        <f>IFERROR(HLOOKUP(T$7,Inputs!$H$126:$AJ$130,5),0)</f>
        <v>265.31918467275887</v>
      </c>
      <c r="U35" s="16">
        <f>IFERROR(HLOOKUP(U$7,Inputs!$H$126:$AJ$130,5),0)</f>
        <v>269.79714559550587</v>
      </c>
      <c r="V35" s="16">
        <f>IFERROR(HLOOKUP(V$7,Inputs!$H$126:$AJ$130,5),0)</f>
        <v>274.27510651825281</v>
      </c>
      <c r="W35" s="16">
        <f>IFERROR(HLOOKUP(W$7,Inputs!$H$126:$AJ$130,5),0)</f>
        <v>277.63357721031309</v>
      </c>
      <c r="X35" s="16">
        <f>IFERROR(HLOOKUP(X$7,Inputs!$H$126:$AJ$130,5),0)</f>
        <v>282.11153813306004</v>
      </c>
      <c r="Y35" s="16">
        <f>IFERROR(HLOOKUP(Y$7,Inputs!$H$126:$AJ$130,5),0)</f>
        <v>286.58949905580704</v>
      </c>
      <c r="Z35" s="16">
        <f>IFERROR(HLOOKUP(Z$7,Inputs!$H$126:$AJ$130,5),0)</f>
        <v>289.94796974786726</v>
      </c>
      <c r="AA35" s="16">
        <f>IFERROR(HLOOKUP(AA$7,Inputs!$H$126:$AJ$130,5),0)</f>
        <v>294.42593067061426</v>
      </c>
      <c r="AB35" s="16">
        <f>IFERROR(HLOOKUP(AB$7,Inputs!$H$126:$AJ$130,5),0)</f>
        <v>298.90389159336127</v>
      </c>
      <c r="AC35" s="16">
        <f>IFERROR(HLOOKUP(AC$7,Inputs!$H$126:$AJ$130,5),0)</f>
        <v>303.38185251610821</v>
      </c>
      <c r="AD35" s="16">
        <f>IFERROR(HLOOKUP(AD$7,Inputs!$H$126:$AJ$130,5),0)</f>
        <v>307.85981343885521</v>
      </c>
      <c r="AE35" s="16">
        <f>IFERROR(HLOOKUP(AE$7,Inputs!$H$126:$AJ$130,5),0)</f>
        <v>312.33777436160221</v>
      </c>
      <c r="AF35" s="16">
        <f>IFERROR(HLOOKUP(AF$7,Inputs!$H$126:$AJ$130,5),0)</f>
        <v>316.81573528434916</v>
      </c>
      <c r="AG35" s="16">
        <f>IFERROR(HLOOKUP(AG$7,Inputs!$H$126:$AJ$130,5),0)</f>
        <v>321.29369620709616</v>
      </c>
      <c r="AH35" s="16">
        <f>IFERROR(HLOOKUP(AH$7,Inputs!$H$126:$AJ$130,5),0)</f>
        <v>325.77165712984316</v>
      </c>
      <c r="AI35" s="16">
        <f>IFERROR(HLOOKUP(AI$7,Inputs!$H$126:$AJ$130,5),0)</f>
        <v>331.36910828327689</v>
      </c>
      <c r="AJ35" s="16">
        <f>IFERROR(HLOOKUP(AJ$7,Inputs!$H$126:$AJ$130,5),0)</f>
        <v>335.84706920602389</v>
      </c>
      <c r="AK35" s="16">
        <f>IFERROR(HLOOKUP(AK$7,Inputs!$H$126:$AJ$130,5),0)</f>
        <v>340.32503012877083</v>
      </c>
      <c r="AL35" s="16">
        <f>IFERROR(HLOOKUP(AL$7,Inputs!$H$126:$AJ$130,5),0)</f>
        <v>344.80299105151784</v>
      </c>
      <c r="AM35" s="16">
        <f>IFERROR(HLOOKUP(AM$7,Inputs!$H$126:$AJ$130,5),0)</f>
        <v>344.80299105151784</v>
      </c>
      <c r="AN35" s="16">
        <f>IFERROR(HLOOKUP(AN$7,Inputs!$H$126:$AJ$130,5),0)</f>
        <v>344.80299105151784</v>
      </c>
      <c r="AO35" s="16">
        <f>IFERROR(HLOOKUP(AO$7,Inputs!$H$126:$AJ$130,5),0)</f>
        <v>344.80299105151784</v>
      </c>
      <c r="AP35" s="16">
        <f>IFERROR(HLOOKUP(AP$7,Inputs!$H$126:$AJ$130,5),0)</f>
        <v>344.80299105151784</v>
      </c>
      <c r="AQ35" s="16">
        <f>IFERROR(HLOOKUP(AQ$7,Inputs!$H$126:$AJ$130,5),0)</f>
        <v>344.80299105151784</v>
      </c>
      <c r="AR35" s="16">
        <f>IFERROR(HLOOKUP(AR$7,Inputs!$H$126:$AJ$130,5),0)</f>
        <v>344.80299105151784</v>
      </c>
    </row>
    <row r="36" spans="1:44" ht="15" x14ac:dyDescent="0.25">
      <c r="A36" s="2"/>
      <c r="B36" s="1" t="s">
        <v>270</v>
      </c>
      <c r="C36" s="19" t="s">
        <v>272</v>
      </c>
      <c r="D36" s="16">
        <f>SUM(F36:AR36)</f>
        <v>187000.17952428869</v>
      </c>
      <c r="F36" s="16">
        <f t="shared" ref="F36:J36" si="17">F32*F35</f>
        <v>0</v>
      </c>
      <c r="G36" s="16">
        <f t="shared" si="17"/>
        <v>0</v>
      </c>
      <c r="H36" s="16">
        <f t="shared" si="17"/>
        <v>0</v>
      </c>
      <c r="I36" s="16">
        <f t="shared" si="17"/>
        <v>0</v>
      </c>
      <c r="J36" s="16">
        <f t="shared" si="17"/>
        <v>0</v>
      </c>
      <c r="K36" s="16">
        <f>K32*K35</f>
        <v>2006.8256150397135</v>
      </c>
      <c r="L36" s="16">
        <f t="shared" ref="L36:AR36" si="18">L32*L35</f>
        <v>2174.7158423746878</v>
      </c>
      <c r="M36" s="16">
        <f t="shared" si="18"/>
        <v>2347.5499429970259</v>
      </c>
      <c r="N36" s="16">
        <f t="shared" si="18"/>
        <v>2513.6365839580849</v>
      </c>
      <c r="O36" s="16">
        <f t="shared" si="18"/>
        <v>2695.7404469942298</v>
      </c>
      <c r="P36" s="16">
        <f t="shared" si="18"/>
        <v>2882.7881833177375</v>
      </c>
      <c r="Q36" s="16">
        <f t="shared" si="18"/>
        <v>3061.2345074972054</v>
      </c>
      <c r="R36" s="16">
        <f t="shared" si="18"/>
        <v>3257.5520062345199</v>
      </c>
      <c r="S36" s="16">
        <f t="shared" si="18"/>
        <v>3458.8133782591981</v>
      </c>
      <c r="T36" s="16">
        <f t="shared" si="18"/>
        <v>3649.619385657074</v>
      </c>
      <c r="U36" s="16">
        <f t="shared" si="18"/>
        <v>3860.1505200955589</v>
      </c>
      <c r="V36" s="16">
        <f t="shared" si="18"/>
        <v>4075.6255278214062</v>
      </c>
      <c r="W36" s="16">
        <f t="shared" si="18"/>
        <v>4278.7912184376919</v>
      </c>
      <c r="X36" s="16">
        <f t="shared" si="18"/>
        <v>4503.5359885773451</v>
      </c>
      <c r="Y36" s="16">
        <f t="shared" si="18"/>
        <v>4733.2246320043632</v>
      </c>
      <c r="Z36" s="16">
        <f t="shared" si="18"/>
        <v>4948.7500058390569</v>
      </c>
      <c r="AA36" s="16">
        <f t="shared" si="18"/>
        <v>5187.7084116798815</v>
      </c>
      <c r="AB36" s="16">
        <f t="shared" si="18"/>
        <v>5431.6106908080692</v>
      </c>
      <c r="AC36" s="16">
        <f t="shared" si="18"/>
        <v>5680.4568432236201</v>
      </c>
      <c r="AD36" s="16">
        <f t="shared" si="18"/>
        <v>5934.2468689265361</v>
      </c>
      <c r="AE36" s="16">
        <f t="shared" si="18"/>
        <v>6192.9807679168143</v>
      </c>
      <c r="AF36" s="16">
        <f t="shared" si="18"/>
        <v>6456.6585401944549</v>
      </c>
      <c r="AG36" s="16">
        <f t="shared" si="18"/>
        <v>6725.2801857594604</v>
      </c>
      <c r="AH36" s="16">
        <f t="shared" si="18"/>
        <v>6998.8457046118301</v>
      </c>
      <c r="AI36" s="16">
        <f t="shared" si="18"/>
        <v>7302.024097079533</v>
      </c>
      <c r="AJ36" s="16">
        <f t="shared" si="18"/>
        <v>7586.0953466675492</v>
      </c>
      <c r="AK36" s="16">
        <f t="shared" si="18"/>
        <v>7875.1104695429276</v>
      </c>
      <c r="AL36" s="16">
        <f t="shared" si="18"/>
        <v>8169.0694657056738</v>
      </c>
      <c r="AM36" s="16">
        <f t="shared" si="18"/>
        <v>8359.4085872691667</v>
      </c>
      <c r="AN36" s="16">
        <f t="shared" si="18"/>
        <v>8549.7477088326614</v>
      </c>
      <c r="AO36" s="16">
        <f t="shared" si="18"/>
        <v>8740.0868303961579</v>
      </c>
      <c r="AP36" s="16">
        <f t="shared" si="18"/>
        <v>8930.4259519596526</v>
      </c>
      <c r="AQ36" s="16">
        <f t="shared" si="18"/>
        <v>9120.7650735231473</v>
      </c>
      <c r="AR36" s="16">
        <f t="shared" si="18"/>
        <v>9311.104195086642</v>
      </c>
    </row>
    <row r="37" spans="1:44" ht="15" x14ac:dyDescent="0.25">
      <c r="A37" s="2"/>
      <c r="C37" s="19"/>
      <c r="D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ht="15" x14ac:dyDescent="0.25">
      <c r="A38" s="2" t="s">
        <v>147</v>
      </c>
      <c r="C38" s="19"/>
      <c r="D38" s="15"/>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ht="15" x14ac:dyDescent="0.25">
      <c r="B39" s="2" t="s">
        <v>142</v>
      </c>
      <c r="C39" s="76"/>
      <c r="D39" s="75"/>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1:44" x14ac:dyDescent="0.2">
      <c r="B40" s="1" t="s">
        <v>148</v>
      </c>
      <c r="C40" s="76" t="s">
        <v>145</v>
      </c>
      <c r="D40" s="92">
        <f>Inputs!E110</f>
        <v>4.68</v>
      </c>
      <c r="F40" s="96">
        <f t="shared" ref="F40:AR40" si="19">IF(F$7=$D$41,$D$40,0)</f>
        <v>0</v>
      </c>
      <c r="G40" s="96">
        <f t="shared" si="19"/>
        <v>0</v>
      </c>
      <c r="H40" s="96">
        <f t="shared" si="19"/>
        <v>0</v>
      </c>
      <c r="I40" s="96">
        <f t="shared" si="19"/>
        <v>0</v>
      </c>
      <c r="J40" s="96">
        <f t="shared" si="19"/>
        <v>0</v>
      </c>
      <c r="K40" s="96">
        <f t="shared" si="19"/>
        <v>4.68</v>
      </c>
      <c r="L40" s="96">
        <f t="shared" si="19"/>
        <v>0</v>
      </c>
      <c r="M40" s="96">
        <f t="shared" si="19"/>
        <v>0</v>
      </c>
      <c r="N40" s="96">
        <f t="shared" si="19"/>
        <v>0</v>
      </c>
      <c r="O40" s="96">
        <f t="shared" si="19"/>
        <v>0</v>
      </c>
      <c r="P40" s="96">
        <f t="shared" si="19"/>
        <v>0</v>
      </c>
      <c r="Q40" s="96">
        <f t="shared" si="19"/>
        <v>0</v>
      </c>
      <c r="R40" s="96">
        <f t="shared" si="19"/>
        <v>0</v>
      </c>
      <c r="S40" s="96">
        <f t="shared" si="19"/>
        <v>0</v>
      </c>
      <c r="T40" s="96">
        <f t="shared" si="19"/>
        <v>0</v>
      </c>
      <c r="U40" s="96">
        <f t="shared" si="19"/>
        <v>0</v>
      </c>
      <c r="V40" s="96">
        <f t="shared" si="19"/>
        <v>0</v>
      </c>
      <c r="W40" s="96">
        <f t="shared" si="19"/>
        <v>0</v>
      </c>
      <c r="X40" s="96">
        <f t="shared" si="19"/>
        <v>0</v>
      </c>
      <c r="Y40" s="96">
        <f t="shared" si="19"/>
        <v>0</v>
      </c>
      <c r="Z40" s="96">
        <f t="shared" si="19"/>
        <v>0</v>
      </c>
      <c r="AA40" s="96">
        <f t="shared" si="19"/>
        <v>0</v>
      </c>
      <c r="AB40" s="96">
        <f t="shared" si="19"/>
        <v>0</v>
      </c>
      <c r="AC40" s="96">
        <f t="shared" si="19"/>
        <v>0</v>
      </c>
      <c r="AD40" s="96">
        <f t="shared" si="19"/>
        <v>0</v>
      </c>
      <c r="AE40" s="96">
        <f t="shared" si="19"/>
        <v>0</v>
      </c>
      <c r="AF40" s="96">
        <f t="shared" si="19"/>
        <v>0</v>
      </c>
      <c r="AG40" s="96">
        <f t="shared" si="19"/>
        <v>0</v>
      </c>
      <c r="AH40" s="96">
        <f t="shared" si="19"/>
        <v>0</v>
      </c>
      <c r="AI40" s="96">
        <f t="shared" si="19"/>
        <v>0</v>
      </c>
      <c r="AJ40" s="96">
        <f t="shared" si="19"/>
        <v>0</v>
      </c>
      <c r="AK40" s="96">
        <f t="shared" si="19"/>
        <v>0</v>
      </c>
      <c r="AL40" s="96">
        <f t="shared" si="19"/>
        <v>0</v>
      </c>
      <c r="AM40" s="96">
        <f t="shared" si="19"/>
        <v>0</v>
      </c>
      <c r="AN40" s="96">
        <f t="shared" si="19"/>
        <v>0</v>
      </c>
      <c r="AO40" s="96">
        <f t="shared" si="19"/>
        <v>0</v>
      </c>
      <c r="AP40" s="96">
        <f t="shared" si="19"/>
        <v>0</v>
      </c>
      <c r="AQ40" s="96">
        <f t="shared" si="19"/>
        <v>0</v>
      </c>
      <c r="AR40" s="96">
        <f t="shared" si="19"/>
        <v>0</v>
      </c>
    </row>
    <row r="41" spans="1:44" x14ac:dyDescent="0.2">
      <c r="B41" s="1" t="s">
        <v>144</v>
      </c>
      <c r="C41" s="76" t="s">
        <v>102</v>
      </c>
      <c r="D41" s="20">
        <f>Inputs!E111</f>
        <v>2023</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1:44" x14ac:dyDescent="0.2">
      <c r="B42" s="1" t="s">
        <v>146</v>
      </c>
      <c r="C42" s="76" t="s">
        <v>145</v>
      </c>
      <c r="D42" s="92">
        <f>Inputs!E112</f>
        <v>11.445</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1:44" x14ac:dyDescent="0.2">
      <c r="B43" s="1" t="s">
        <v>146</v>
      </c>
      <c r="C43" s="76" t="s">
        <v>102</v>
      </c>
      <c r="D43" s="20">
        <f>Inputs!E113</f>
        <v>2046</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4" x14ac:dyDescent="0.2">
      <c r="B44" s="1" t="s">
        <v>242</v>
      </c>
      <c r="C44" s="76" t="s">
        <v>145</v>
      </c>
      <c r="D44" s="15">
        <f>(D42-D40)/(D43-D41)</f>
        <v>0.2941304347826087</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1:44" x14ac:dyDescent="0.2">
      <c r="B45" s="1" t="s">
        <v>243</v>
      </c>
      <c r="C45" s="76" t="s">
        <v>244</v>
      </c>
      <c r="D45" s="17"/>
      <c r="F45" s="16">
        <f t="shared" ref="F45:AR45" si="20">IF(F$7&gt;$D$41,1,0)</f>
        <v>0</v>
      </c>
      <c r="G45" s="16">
        <f t="shared" si="20"/>
        <v>0</v>
      </c>
      <c r="H45" s="16">
        <f t="shared" si="20"/>
        <v>0</v>
      </c>
      <c r="I45" s="16">
        <f t="shared" si="20"/>
        <v>0</v>
      </c>
      <c r="J45" s="16">
        <f t="shared" si="20"/>
        <v>0</v>
      </c>
      <c r="K45" s="16">
        <f t="shared" si="20"/>
        <v>0</v>
      </c>
      <c r="L45" s="16">
        <f t="shared" si="20"/>
        <v>1</v>
      </c>
      <c r="M45" s="16">
        <f t="shared" si="20"/>
        <v>1</v>
      </c>
      <c r="N45" s="16">
        <f t="shared" si="20"/>
        <v>1</v>
      </c>
      <c r="O45" s="16">
        <f t="shared" si="20"/>
        <v>1</v>
      </c>
      <c r="P45" s="16">
        <f t="shared" si="20"/>
        <v>1</v>
      </c>
      <c r="Q45" s="16">
        <f t="shared" si="20"/>
        <v>1</v>
      </c>
      <c r="R45" s="16">
        <f t="shared" si="20"/>
        <v>1</v>
      </c>
      <c r="S45" s="16">
        <f t="shared" si="20"/>
        <v>1</v>
      </c>
      <c r="T45" s="16">
        <f t="shared" si="20"/>
        <v>1</v>
      </c>
      <c r="U45" s="16">
        <f t="shared" si="20"/>
        <v>1</v>
      </c>
      <c r="V45" s="16">
        <f t="shared" si="20"/>
        <v>1</v>
      </c>
      <c r="W45" s="16">
        <f t="shared" si="20"/>
        <v>1</v>
      </c>
      <c r="X45" s="16">
        <f t="shared" si="20"/>
        <v>1</v>
      </c>
      <c r="Y45" s="16">
        <f t="shared" si="20"/>
        <v>1</v>
      </c>
      <c r="Z45" s="16">
        <f t="shared" si="20"/>
        <v>1</v>
      </c>
      <c r="AA45" s="16">
        <f t="shared" si="20"/>
        <v>1</v>
      </c>
      <c r="AB45" s="16">
        <f t="shared" si="20"/>
        <v>1</v>
      </c>
      <c r="AC45" s="16">
        <f t="shared" si="20"/>
        <v>1</v>
      </c>
      <c r="AD45" s="16">
        <f t="shared" si="20"/>
        <v>1</v>
      </c>
      <c r="AE45" s="16">
        <f t="shared" si="20"/>
        <v>1</v>
      </c>
      <c r="AF45" s="16">
        <f t="shared" si="20"/>
        <v>1</v>
      </c>
      <c r="AG45" s="16">
        <f t="shared" si="20"/>
        <v>1</v>
      </c>
      <c r="AH45" s="16">
        <f t="shared" si="20"/>
        <v>1</v>
      </c>
      <c r="AI45" s="16">
        <f t="shared" si="20"/>
        <v>1</v>
      </c>
      <c r="AJ45" s="16">
        <f t="shared" si="20"/>
        <v>1</v>
      </c>
      <c r="AK45" s="16">
        <f t="shared" si="20"/>
        <v>1</v>
      </c>
      <c r="AL45" s="16">
        <f t="shared" si="20"/>
        <v>1</v>
      </c>
      <c r="AM45" s="16">
        <f t="shared" si="20"/>
        <v>1</v>
      </c>
      <c r="AN45" s="16">
        <f t="shared" si="20"/>
        <v>1</v>
      </c>
      <c r="AO45" s="16">
        <f t="shared" si="20"/>
        <v>1</v>
      </c>
      <c r="AP45" s="16">
        <f t="shared" si="20"/>
        <v>1</v>
      </c>
      <c r="AQ45" s="16">
        <f t="shared" si="20"/>
        <v>1</v>
      </c>
      <c r="AR45" s="16">
        <f t="shared" si="20"/>
        <v>1</v>
      </c>
    </row>
    <row r="46" spans="1:44" ht="15" x14ac:dyDescent="0.25">
      <c r="A46" s="2"/>
      <c r="B46" s="1" t="s">
        <v>265</v>
      </c>
      <c r="C46" s="76" t="s">
        <v>145</v>
      </c>
      <c r="D46" s="92">
        <f>SUM(F46:AR46)</f>
        <v>324.12717391304363</v>
      </c>
      <c r="F46" s="92">
        <f t="shared" ref="F46:J46" si="21">E46+F40+F45*$D$44</f>
        <v>0</v>
      </c>
      <c r="G46" s="92">
        <f t="shared" si="21"/>
        <v>0</v>
      </c>
      <c r="H46" s="92">
        <f t="shared" si="21"/>
        <v>0</v>
      </c>
      <c r="I46" s="92">
        <f t="shared" si="21"/>
        <v>0</v>
      </c>
      <c r="J46" s="92">
        <f t="shared" si="21"/>
        <v>0</v>
      </c>
      <c r="K46" s="92">
        <f>J46+K40+K45*$D$44</f>
        <v>4.68</v>
      </c>
      <c r="L46" s="92">
        <f t="shared" ref="L46:AR46" si="22">K46+L40+L45*$D$44</f>
        <v>4.9741304347826087</v>
      </c>
      <c r="M46" s="92">
        <f t="shared" si="22"/>
        <v>5.2682608695652178</v>
      </c>
      <c r="N46" s="92">
        <f t="shared" si="22"/>
        <v>5.5623913043478268</v>
      </c>
      <c r="O46" s="92">
        <f t="shared" si="22"/>
        <v>5.8565217391304358</v>
      </c>
      <c r="P46" s="92">
        <f t="shared" si="22"/>
        <v>6.1506521739130449</v>
      </c>
      <c r="Q46" s="92">
        <f t="shared" si="22"/>
        <v>6.4447826086956539</v>
      </c>
      <c r="R46" s="92">
        <f t="shared" si="22"/>
        <v>6.7389130434782629</v>
      </c>
      <c r="S46" s="92">
        <f t="shared" si="22"/>
        <v>7.033043478260872</v>
      </c>
      <c r="T46" s="92">
        <f t="shared" si="22"/>
        <v>7.327173913043481</v>
      </c>
      <c r="U46" s="92">
        <f t="shared" si="22"/>
        <v>7.62130434782609</v>
      </c>
      <c r="V46" s="92">
        <f t="shared" si="22"/>
        <v>7.915434782608699</v>
      </c>
      <c r="W46" s="92">
        <f t="shared" si="22"/>
        <v>8.2095652173913081</v>
      </c>
      <c r="X46" s="92">
        <f t="shared" si="22"/>
        <v>8.5036956521739171</v>
      </c>
      <c r="Y46" s="92">
        <f t="shared" si="22"/>
        <v>8.7978260869565261</v>
      </c>
      <c r="Z46" s="92">
        <f t="shared" si="22"/>
        <v>9.0919565217391352</v>
      </c>
      <c r="AA46" s="92">
        <f t="shared" si="22"/>
        <v>9.3860869565217442</v>
      </c>
      <c r="AB46" s="92">
        <f t="shared" si="22"/>
        <v>9.6802173913043532</v>
      </c>
      <c r="AC46" s="92">
        <f t="shared" si="22"/>
        <v>9.9743478260869622</v>
      </c>
      <c r="AD46" s="92">
        <f t="shared" si="22"/>
        <v>10.268478260869571</v>
      </c>
      <c r="AE46" s="92">
        <f t="shared" si="22"/>
        <v>10.56260869565218</v>
      </c>
      <c r="AF46" s="92">
        <f t="shared" si="22"/>
        <v>10.856739130434789</v>
      </c>
      <c r="AG46" s="92">
        <f t="shared" si="22"/>
        <v>11.150869565217398</v>
      </c>
      <c r="AH46" s="92">
        <f t="shared" si="22"/>
        <v>11.445000000000007</v>
      </c>
      <c r="AI46" s="92">
        <f t="shared" si="22"/>
        <v>11.739130434782616</v>
      </c>
      <c r="AJ46" s="92">
        <f t="shared" si="22"/>
        <v>12.033260869565225</v>
      </c>
      <c r="AK46" s="92">
        <f t="shared" si="22"/>
        <v>12.327391304347834</v>
      </c>
      <c r="AL46" s="92">
        <f t="shared" si="22"/>
        <v>12.621521739130444</v>
      </c>
      <c r="AM46" s="92">
        <f t="shared" si="22"/>
        <v>12.915652173913053</v>
      </c>
      <c r="AN46" s="92">
        <f t="shared" si="22"/>
        <v>13.209782608695662</v>
      </c>
      <c r="AO46" s="92">
        <f t="shared" si="22"/>
        <v>13.503913043478271</v>
      </c>
      <c r="AP46" s="92">
        <f t="shared" si="22"/>
        <v>13.79804347826088</v>
      </c>
      <c r="AQ46" s="92">
        <f t="shared" si="22"/>
        <v>14.092173913043489</v>
      </c>
      <c r="AR46" s="92">
        <f t="shared" si="22"/>
        <v>14.386304347826098</v>
      </c>
    </row>
    <row r="47" spans="1:44" ht="15" x14ac:dyDescent="0.25">
      <c r="A47" s="2"/>
      <c r="B47" s="1" t="s">
        <v>266</v>
      </c>
      <c r="C47" s="76" t="s">
        <v>267</v>
      </c>
      <c r="D47" s="92">
        <f>Inputs!$E$33</f>
        <v>1000</v>
      </c>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row>
    <row r="48" spans="1:44" ht="15" x14ac:dyDescent="0.25">
      <c r="A48" s="2"/>
      <c r="B48" s="1" t="s">
        <v>268</v>
      </c>
      <c r="C48" s="76" t="s">
        <v>269</v>
      </c>
      <c r="D48" s="92">
        <f>Inputs!$E$32</f>
        <v>365</v>
      </c>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row>
    <row r="49" spans="1:44" ht="15" x14ac:dyDescent="0.25">
      <c r="A49" s="2"/>
      <c r="B49" s="1" t="s">
        <v>265</v>
      </c>
      <c r="C49" s="76" t="s">
        <v>978</v>
      </c>
      <c r="D49" s="92">
        <f>SUM(F49:AR49)</f>
        <v>118.30641847826092</v>
      </c>
      <c r="F49" s="92">
        <f t="shared" ref="F49:J49" si="23">F46*$D$48/$D$47</f>
        <v>0</v>
      </c>
      <c r="G49" s="92">
        <f t="shared" si="23"/>
        <v>0</v>
      </c>
      <c r="H49" s="92">
        <f t="shared" si="23"/>
        <v>0</v>
      </c>
      <c r="I49" s="92">
        <f t="shared" si="23"/>
        <v>0</v>
      </c>
      <c r="J49" s="92">
        <f t="shared" si="23"/>
        <v>0</v>
      </c>
      <c r="K49" s="92">
        <f>K46*$D$48/$D$47</f>
        <v>1.7081999999999997</v>
      </c>
      <c r="L49" s="92">
        <f t="shared" ref="L49:AR49" si="24">L46*$D$48/$D$47</f>
        <v>1.8155576086956522</v>
      </c>
      <c r="M49" s="92">
        <f t="shared" si="24"/>
        <v>1.9229152173913044</v>
      </c>
      <c r="N49" s="92">
        <f t="shared" si="24"/>
        <v>2.0302728260869567</v>
      </c>
      <c r="O49" s="92">
        <f t="shared" si="24"/>
        <v>2.1376304347826092</v>
      </c>
      <c r="P49" s="92">
        <f t="shared" si="24"/>
        <v>2.2449880434782612</v>
      </c>
      <c r="Q49" s="92">
        <f t="shared" si="24"/>
        <v>2.3523456521739137</v>
      </c>
      <c r="R49" s="92">
        <f t="shared" si="24"/>
        <v>2.4597032608695657</v>
      </c>
      <c r="S49" s="92">
        <f t="shared" si="24"/>
        <v>2.5670608695652182</v>
      </c>
      <c r="T49" s="92">
        <f t="shared" si="24"/>
        <v>2.6744184782608702</v>
      </c>
      <c r="U49" s="92">
        <f t="shared" si="24"/>
        <v>2.7817760869565227</v>
      </c>
      <c r="V49" s="92">
        <f t="shared" si="24"/>
        <v>2.8891336956521751</v>
      </c>
      <c r="W49" s="92">
        <f t="shared" si="24"/>
        <v>2.9964913043478272</v>
      </c>
      <c r="X49" s="92">
        <f t="shared" si="24"/>
        <v>3.1038489130434797</v>
      </c>
      <c r="Y49" s="92">
        <f t="shared" si="24"/>
        <v>3.2112065217391317</v>
      </c>
      <c r="Z49" s="92">
        <f t="shared" si="24"/>
        <v>3.3185641304347842</v>
      </c>
      <c r="AA49" s="92">
        <f t="shared" si="24"/>
        <v>3.4259217391304366</v>
      </c>
      <c r="AB49" s="92">
        <f t="shared" si="24"/>
        <v>3.5332793478260887</v>
      </c>
      <c r="AC49" s="92">
        <f t="shared" si="24"/>
        <v>3.6406369565217411</v>
      </c>
      <c r="AD49" s="92">
        <f t="shared" si="24"/>
        <v>3.7479945652173932</v>
      </c>
      <c r="AE49" s="92">
        <f t="shared" si="24"/>
        <v>3.8553521739130456</v>
      </c>
      <c r="AF49" s="92">
        <f t="shared" si="24"/>
        <v>3.9627097826086985</v>
      </c>
      <c r="AG49" s="92">
        <f t="shared" si="24"/>
        <v>4.0700673913043506</v>
      </c>
      <c r="AH49" s="92">
        <f t="shared" si="24"/>
        <v>4.1774250000000031</v>
      </c>
      <c r="AI49" s="92">
        <f t="shared" si="24"/>
        <v>4.2847826086956546</v>
      </c>
      <c r="AJ49" s="92">
        <f t="shared" si="24"/>
        <v>4.3921402173913071</v>
      </c>
      <c r="AK49" s="92">
        <f t="shared" si="24"/>
        <v>4.4994978260869596</v>
      </c>
      <c r="AL49" s="92">
        <f t="shared" si="24"/>
        <v>4.6068554347826121</v>
      </c>
      <c r="AM49" s="92">
        <f t="shared" si="24"/>
        <v>4.7142130434782636</v>
      </c>
      <c r="AN49" s="92">
        <f t="shared" si="24"/>
        <v>4.821570652173917</v>
      </c>
      <c r="AO49" s="92">
        <f t="shared" si="24"/>
        <v>4.9289282608695686</v>
      </c>
      <c r="AP49" s="92">
        <f t="shared" si="24"/>
        <v>5.0362858695652211</v>
      </c>
      <c r="AQ49" s="92">
        <f t="shared" si="24"/>
        <v>5.1436434782608726</v>
      </c>
      <c r="AR49" s="92">
        <f t="shared" si="24"/>
        <v>5.251001086956526</v>
      </c>
    </row>
    <row r="50" spans="1:44" ht="15" x14ac:dyDescent="0.25">
      <c r="A50" s="2"/>
      <c r="C50" s="76"/>
      <c r="D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row>
    <row r="51" spans="1:44" ht="15" x14ac:dyDescent="0.25">
      <c r="B51" s="2" t="s">
        <v>270</v>
      </c>
      <c r="C51" s="76"/>
      <c r="D51" s="92"/>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44" x14ac:dyDescent="0.2">
      <c r="B52" s="1" t="s">
        <v>271</v>
      </c>
      <c r="C52" s="76" t="s">
        <v>154</v>
      </c>
      <c r="D52" s="97">
        <f>Inputs!$E$76</f>
        <v>19.600000000000001</v>
      </c>
      <c r="F52" s="16">
        <f>IFERROR(HLOOKUP(F$7,Inputs!$H$126:$AJ$130,2),0)</f>
        <v>0</v>
      </c>
      <c r="G52" s="16">
        <f>IFERROR(HLOOKUP(G$7,Inputs!$H$126:$AJ$130,2),0)</f>
        <v>0</v>
      </c>
      <c r="H52" s="16">
        <f>IFERROR(HLOOKUP(H$7,Inputs!$H$126:$AJ$130,2),0)</f>
        <v>0</v>
      </c>
      <c r="I52" s="16">
        <f>IFERROR(HLOOKUP(I$7,Inputs!$H$126:$AJ$130,2),0)</f>
        <v>0</v>
      </c>
      <c r="J52" s="16">
        <f>IFERROR(HLOOKUP(J$7,Inputs!$H$126:$AJ$130,2),0)</f>
        <v>0</v>
      </c>
      <c r="K52" s="16">
        <f>IFERROR(HLOOKUP(K$7,Inputs!$H$126:$AJ$130,2),0)</f>
        <v>19800</v>
      </c>
      <c r="L52" s="16">
        <f>IFERROR(HLOOKUP(L$7,Inputs!$H$126:$AJ$130,2),0)</f>
        <v>20100</v>
      </c>
      <c r="M52" s="16">
        <f>IFERROR(HLOOKUP(M$7,Inputs!$H$126:$AJ$130,2),0)</f>
        <v>20300</v>
      </c>
      <c r="N52" s="16">
        <f>IFERROR(HLOOKUP(N$7,Inputs!$H$126:$AJ$130,2),0)</f>
        <v>20600</v>
      </c>
      <c r="O52" s="16">
        <f>IFERROR(HLOOKUP(O$7,Inputs!$H$126:$AJ$130,2),0)</f>
        <v>21000</v>
      </c>
      <c r="P52" s="16">
        <f>IFERROR(HLOOKUP(P$7,Inputs!$H$126:$AJ$130,2),0)</f>
        <v>21300</v>
      </c>
      <c r="Q52" s="16">
        <f>IFERROR(HLOOKUP(Q$7,Inputs!$H$126:$AJ$130,2),0)</f>
        <v>21700</v>
      </c>
      <c r="R52" s="16">
        <f>IFERROR(HLOOKUP(R$7,Inputs!$H$126:$AJ$130,2),0)</f>
        <v>22000</v>
      </c>
      <c r="S52" s="16">
        <f>IFERROR(HLOOKUP(S$7,Inputs!$H$126:$AJ$130,2),0)</f>
        <v>22000</v>
      </c>
      <c r="T52" s="16">
        <f>IFERROR(HLOOKUP(T$7,Inputs!$H$126:$AJ$130,2),0)</f>
        <v>22000</v>
      </c>
      <c r="U52" s="16">
        <f>IFERROR(HLOOKUP(U$7,Inputs!$H$126:$AJ$130,2),0)</f>
        <v>22000</v>
      </c>
      <c r="V52" s="16">
        <f>IFERROR(HLOOKUP(V$7,Inputs!$H$126:$AJ$130,2),0)</f>
        <v>22000</v>
      </c>
      <c r="W52" s="16">
        <f>IFERROR(HLOOKUP(W$7,Inputs!$H$126:$AJ$130,2),0)</f>
        <v>22000</v>
      </c>
      <c r="X52" s="16">
        <f>IFERROR(HLOOKUP(X$7,Inputs!$H$126:$AJ$130,2),0)</f>
        <v>22000</v>
      </c>
      <c r="Y52" s="16">
        <f>IFERROR(HLOOKUP(Y$7,Inputs!$H$126:$AJ$130,2),0)</f>
        <v>22000</v>
      </c>
      <c r="Z52" s="16">
        <f>IFERROR(HLOOKUP(Z$7,Inputs!$H$126:$AJ$130,2),0)</f>
        <v>22000</v>
      </c>
      <c r="AA52" s="16">
        <f>IFERROR(HLOOKUP(AA$7,Inputs!$H$126:$AJ$130,2),0)</f>
        <v>22000</v>
      </c>
      <c r="AB52" s="16">
        <f>IFERROR(HLOOKUP(AB$7,Inputs!$H$126:$AJ$130,2),0)</f>
        <v>22000</v>
      </c>
      <c r="AC52" s="16">
        <f>IFERROR(HLOOKUP(AC$7,Inputs!$H$126:$AJ$130,2),0)</f>
        <v>22000</v>
      </c>
      <c r="AD52" s="16">
        <f>IFERROR(HLOOKUP(AD$7,Inputs!$H$126:$AJ$130,2),0)</f>
        <v>22000</v>
      </c>
      <c r="AE52" s="16">
        <f>IFERROR(HLOOKUP(AE$7,Inputs!$H$126:$AJ$130,2),0)</f>
        <v>22000</v>
      </c>
      <c r="AF52" s="16">
        <f>IFERROR(HLOOKUP(AF$7,Inputs!$H$126:$AJ$130,2),0)</f>
        <v>22000</v>
      </c>
      <c r="AG52" s="16">
        <f>IFERROR(HLOOKUP(AG$7,Inputs!$H$126:$AJ$130,2),0)</f>
        <v>22000</v>
      </c>
      <c r="AH52" s="16">
        <f>IFERROR(HLOOKUP(AH$7,Inputs!$H$126:$AJ$130,2),0)</f>
        <v>22000</v>
      </c>
      <c r="AI52" s="16">
        <f>IFERROR(HLOOKUP(AI$7,Inputs!$H$126:$AJ$130,2),0)</f>
        <v>22000</v>
      </c>
      <c r="AJ52" s="16">
        <f>IFERROR(HLOOKUP(AJ$7,Inputs!$H$126:$AJ$130,2),0)</f>
        <v>22000</v>
      </c>
      <c r="AK52" s="16">
        <f>IFERROR(HLOOKUP(AK$7,Inputs!$H$126:$AJ$130,2),0)</f>
        <v>22000</v>
      </c>
      <c r="AL52" s="16">
        <f>IFERROR(HLOOKUP(AL$7,Inputs!$H$126:$AJ$130,2),0)</f>
        <v>22000</v>
      </c>
      <c r="AM52" s="16">
        <f>IFERROR(HLOOKUP(AM$7,Inputs!$H$126:$AJ$130,2),0)</f>
        <v>22000</v>
      </c>
      <c r="AN52" s="16">
        <f>IFERROR(HLOOKUP(AN$7,Inputs!$H$126:$AJ$130,2),0)</f>
        <v>22000</v>
      </c>
      <c r="AO52" s="16">
        <f>IFERROR(HLOOKUP(AO$7,Inputs!$H$126:$AJ$130,2),0)</f>
        <v>22000</v>
      </c>
      <c r="AP52" s="16">
        <f>IFERROR(HLOOKUP(AP$7,Inputs!$H$126:$AJ$130,2),0)</f>
        <v>22000</v>
      </c>
      <c r="AQ52" s="16">
        <f>IFERROR(HLOOKUP(AQ$7,Inputs!$H$126:$AJ$130,2),0)</f>
        <v>22000</v>
      </c>
      <c r="AR52" s="16">
        <f>IFERROR(HLOOKUP(AR$7,Inputs!$H$126:$AJ$130,2),0)</f>
        <v>22000</v>
      </c>
    </row>
    <row r="53" spans="1:44" ht="15" x14ac:dyDescent="0.25">
      <c r="A53" s="2"/>
      <c r="B53" s="1" t="s">
        <v>270</v>
      </c>
      <c r="C53" s="19" t="s">
        <v>272</v>
      </c>
      <c r="D53" s="16">
        <f>SUM(F53:AR53)</f>
        <v>2585007.4434782621</v>
      </c>
      <c r="F53" s="16">
        <f t="shared" ref="F53" si="25">F49*F52</f>
        <v>0</v>
      </c>
      <c r="G53" s="16">
        <f t="shared" ref="G53" si="26">G49*G52</f>
        <v>0</v>
      </c>
      <c r="H53" s="16">
        <f t="shared" ref="H53" si="27">H49*H52</f>
        <v>0</v>
      </c>
      <c r="I53" s="16">
        <f t="shared" ref="I53" si="28">I49*I52</f>
        <v>0</v>
      </c>
      <c r="J53" s="16">
        <f t="shared" ref="J53" si="29">J49*J52</f>
        <v>0</v>
      </c>
      <c r="K53" s="16">
        <f>K49*K52</f>
        <v>33822.359999999993</v>
      </c>
      <c r="L53" s="16">
        <f t="shared" ref="L53" si="30">L49*L52</f>
        <v>36492.707934782607</v>
      </c>
      <c r="M53" s="16">
        <f t="shared" ref="M53" si="31">M49*M52</f>
        <v>39035.178913043477</v>
      </c>
      <c r="N53" s="16">
        <f t="shared" ref="N53" si="32">N49*N52</f>
        <v>41823.620217391304</v>
      </c>
      <c r="O53" s="16">
        <f t="shared" ref="O53" si="33">O49*O52</f>
        <v>44890.239130434791</v>
      </c>
      <c r="P53" s="16">
        <f t="shared" ref="P53" si="34">P49*P52</f>
        <v>47818.245326086966</v>
      </c>
      <c r="Q53" s="16">
        <f t="shared" ref="Q53" si="35">Q49*Q52</f>
        <v>51045.900652173928</v>
      </c>
      <c r="R53" s="16">
        <f t="shared" ref="R53" si="36">R49*R52</f>
        <v>54113.471739130444</v>
      </c>
      <c r="S53" s="16">
        <f t="shared" ref="S53" si="37">S49*S52</f>
        <v>56475.339130434797</v>
      </c>
      <c r="T53" s="16">
        <f t="shared" ref="T53" si="38">T49*T52</f>
        <v>58837.206521739143</v>
      </c>
      <c r="U53" s="16">
        <f t="shared" ref="U53" si="39">U49*U52</f>
        <v>61199.073913043496</v>
      </c>
      <c r="V53" s="16">
        <f t="shared" ref="V53" si="40">V49*V52</f>
        <v>63560.941304347856</v>
      </c>
      <c r="W53" s="16">
        <f t="shared" ref="W53" si="41">W49*W52</f>
        <v>65922.808695652202</v>
      </c>
      <c r="X53" s="16">
        <f t="shared" ref="X53" si="42">X49*X52</f>
        <v>68284.676086956548</v>
      </c>
      <c r="Y53" s="16">
        <f t="shared" ref="Y53" si="43">Y49*Y52</f>
        <v>70646.543478260894</v>
      </c>
      <c r="Z53" s="16">
        <f t="shared" ref="Z53" si="44">Z49*Z52</f>
        <v>73008.410869565254</v>
      </c>
      <c r="AA53" s="16">
        <f t="shared" ref="AA53" si="45">AA49*AA52</f>
        <v>75370.2782608696</v>
      </c>
      <c r="AB53" s="16">
        <f t="shared" ref="AB53" si="46">AB49*AB52</f>
        <v>77732.145652173946</v>
      </c>
      <c r="AC53" s="16">
        <f t="shared" ref="AC53" si="47">AC49*AC52</f>
        <v>80094.013043478306</v>
      </c>
      <c r="AD53" s="16">
        <f t="shared" ref="AD53" si="48">AD49*AD52</f>
        <v>82455.880434782652</v>
      </c>
      <c r="AE53" s="16">
        <f t="shared" ref="AE53" si="49">AE49*AE52</f>
        <v>84817.747826086998</v>
      </c>
      <c r="AF53" s="16">
        <f t="shared" ref="AF53" si="50">AF49*AF52</f>
        <v>87179.615217391372</v>
      </c>
      <c r="AG53" s="16">
        <f t="shared" ref="AG53" si="51">AG49*AG52</f>
        <v>89541.482608695718</v>
      </c>
      <c r="AH53" s="16">
        <f t="shared" ref="AH53" si="52">AH49*AH52</f>
        <v>91903.350000000064</v>
      </c>
      <c r="AI53" s="16">
        <f t="shared" ref="AI53" si="53">AI49*AI52</f>
        <v>94265.217391304395</v>
      </c>
      <c r="AJ53" s="16">
        <f t="shared" ref="AJ53" si="54">AJ49*AJ52</f>
        <v>96627.084782608756</v>
      </c>
      <c r="AK53" s="16">
        <f t="shared" ref="AK53" si="55">AK49*AK52</f>
        <v>98988.952173913116</v>
      </c>
      <c r="AL53" s="16">
        <f t="shared" ref="AL53" si="56">AL49*AL52</f>
        <v>101350.81956521746</v>
      </c>
      <c r="AM53" s="16">
        <f t="shared" ref="AM53" si="57">AM49*AM52</f>
        <v>103712.68695652179</v>
      </c>
      <c r="AN53" s="16">
        <f t="shared" ref="AN53" si="58">AN49*AN52</f>
        <v>106074.55434782617</v>
      </c>
      <c r="AO53" s="16">
        <f t="shared" ref="AO53" si="59">AO49*AO52</f>
        <v>108436.42173913051</v>
      </c>
      <c r="AP53" s="16">
        <f t="shared" ref="AP53" si="60">AP49*AP52</f>
        <v>110798.28913043486</v>
      </c>
      <c r="AQ53" s="16">
        <f t="shared" ref="AQ53" si="61">AQ49*AQ52</f>
        <v>113160.15652173921</v>
      </c>
      <c r="AR53" s="16">
        <f t="shared" ref="AR53" si="62">AR49*AR52</f>
        <v>115522.02391304357</v>
      </c>
    </row>
    <row r="54" spans="1:44" x14ac:dyDescent="0.2">
      <c r="C54" s="19"/>
      <c r="D54" s="75"/>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1:44" ht="15" x14ac:dyDescent="0.25">
      <c r="A55" s="2" t="s">
        <v>261</v>
      </c>
      <c r="C55" s="76"/>
      <c r="D55" s="75"/>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1:44" x14ac:dyDescent="0.2">
      <c r="B56" s="1" t="s">
        <v>262</v>
      </c>
      <c r="C56" s="19" t="s">
        <v>252</v>
      </c>
      <c r="D56" s="75">
        <f>SUM(F56:AR56)</f>
        <v>2772007.623002551</v>
      </c>
      <c r="F56" s="16">
        <f>F36+F53</f>
        <v>0</v>
      </c>
      <c r="G56" s="16">
        <f t="shared" ref="G56:AR56" si="63">G36+G53</f>
        <v>0</v>
      </c>
      <c r="H56" s="16">
        <f t="shared" si="63"/>
        <v>0</v>
      </c>
      <c r="I56" s="16">
        <f t="shared" si="63"/>
        <v>0</v>
      </c>
      <c r="J56" s="16">
        <f t="shared" si="63"/>
        <v>0</v>
      </c>
      <c r="K56" s="16">
        <f t="shared" si="63"/>
        <v>35829.185615039707</v>
      </c>
      <c r="L56" s="16">
        <f t="shared" si="63"/>
        <v>38667.423777157295</v>
      </c>
      <c r="M56" s="16">
        <f t="shared" si="63"/>
        <v>41382.7288560405</v>
      </c>
      <c r="N56" s="16">
        <f t="shared" si="63"/>
        <v>44337.256801349387</v>
      </c>
      <c r="O56" s="16">
        <f t="shared" si="63"/>
        <v>47585.979577429018</v>
      </c>
      <c r="P56" s="16">
        <f t="shared" si="63"/>
        <v>50701.033509404704</v>
      </c>
      <c r="Q56" s="16">
        <f t="shared" si="63"/>
        <v>54107.135159671132</v>
      </c>
      <c r="R56" s="16">
        <f t="shared" si="63"/>
        <v>57371.023745364961</v>
      </c>
      <c r="S56" s="16">
        <f t="shared" si="63"/>
        <v>59934.152508693995</v>
      </c>
      <c r="T56" s="16">
        <f t="shared" si="63"/>
        <v>62486.825907396218</v>
      </c>
      <c r="U56" s="16">
        <f t="shared" si="63"/>
        <v>65059.224433139054</v>
      </c>
      <c r="V56" s="16">
        <f t="shared" si="63"/>
        <v>67636.566832169265</v>
      </c>
      <c r="W56" s="16">
        <f t="shared" si="63"/>
        <v>70201.599914089893</v>
      </c>
      <c r="X56" s="16">
        <f t="shared" si="63"/>
        <v>72788.212075533898</v>
      </c>
      <c r="Y56" s="16">
        <f t="shared" si="63"/>
        <v>75379.768110265257</v>
      </c>
      <c r="Z56" s="16">
        <f t="shared" si="63"/>
        <v>77957.160875404312</v>
      </c>
      <c r="AA56" s="16">
        <f t="shared" si="63"/>
        <v>80557.986672549479</v>
      </c>
      <c r="AB56" s="16">
        <f t="shared" si="63"/>
        <v>83163.756342982015</v>
      </c>
      <c r="AC56" s="16">
        <f t="shared" si="63"/>
        <v>85774.469886701932</v>
      </c>
      <c r="AD56" s="16">
        <f t="shared" si="63"/>
        <v>88390.127303709189</v>
      </c>
      <c r="AE56" s="16">
        <f t="shared" si="63"/>
        <v>91010.728594003813</v>
      </c>
      <c r="AF56" s="16">
        <f t="shared" si="63"/>
        <v>93636.273757585834</v>
      </c>
      <c r="AG56" s="16">
        <f t="shared" si="63"/>
        <v>96266.762794455179</v>
      </c>
      <c r="AH56" s="16">
        <f t="shared" si="63"/>
        <v>98902.195704611891</v>
      </c>
      <c r="AI56" s="16">
        <f t="shared" si="63"/>
        <v>101567.24148838392</v>
      </c>
      <c r="AJ56" s="16">
        <f t="shared" si="63"/>
        <v>104213.1801292763</v>
      </c>
      <c r="AK56" s="16">
        <f t="shared" si="63"/>
        <v>106864.06264345604</v>
      </c>
      <c r="AL56" s="16">
        <f t="shared" si="63"/>
        <v>109519.88903092314</v>
      </c>
      <c r="AM56" s="16">
        <f t="shared" si="63"/>
        <v>112072.09554379096</v>
      </c>
      <c r="AN56" s="16">
        <f t="shared" si="63"/>
        <v>114624.30205665882</v>
      </c>
      <c r="AO56" s="16">
        <f t="shared" si="63"/>
        <v>117176.50856952668</v>
      </c>
      <c r="AP56" s="16">
        <f t="shared" si="63"/>
        <v>119728.71508239451</v>
      </c>
      <c r="AQ56" s="16">
        <f t="shared" si="63"/>
        <v>122280.92159526235</v>
      </c>
      <c r="AR56" s="16">
        <f t="shared" si="63"/>
        <v>124833.12810813021</v>
      </c>
    </row>
    <row r="57" spans="1:44" x14ac:dyDescent="0.2">
      <c r="C57" s="12"/>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row>
    <row r="58" spans="1:44" s="9" customFormat="1" x14ac:dyDescent="0.2">
      <c r="A58" s="8" t="s">
        <v>211</v>
      </c>
      <c r="B58" s="13"/>
      <c r="C58" s="13"/>
    </row>
    <row r="59" spans="1:44" ht="15" x14ac:dyDescent="0.25">
      <c r="A59" s="2" t="s">
        <v>143</v>
      </c>
    </row>
    <row r="60" spans="1:44" ht="15" x14ac:dyDescent="0.25">
      <c r="B60" s="2" t="s">
        <v>142</v>
      </c>
      <c r="C60" s="76"/>
      <c r="D60" s="75"/>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1:44" x14ac:dyDescent="0.2">
      <c r="B61" s="1" t="s">
        <v>149</v>
      </c>
      <c r="C61" s="76" t="s">
        <v>145</v>
      </c>
      <c r="D61" s="92">
        <f>Inputs!E115</f>
        <v>20.594999999999999</v>
      </c>
      <c r="F61" s="96">
        <f t="shared" ref="F61:J61" si="64">IF(F$7=$D62,$D61,0)</f>
        <v>0</v>
      </c>
      <c r="G61" s="96">
        <f t="shared" si="64"/>
        <v>0</v>
      </c>
      <c r="H61" s="96">
        <f t="shared" si="64"/>
        <v>0</v>
      </c>
      <c r="I61" s="96">
        <f t="shared" si="64"/>
        <v>0</v>
      </c>
      <c r="J61" s="96">
        <f t="shared" si="64"/>
        <v>0</v>
      </c>
      <c r="K61" s="96">
        <f>IF(K$7=$D62,$D61,0)</f>
        <v>20.594999999999999</v>
      </c>
      <c r="L61" s="96">
        <f t="shared" ref="L61:AR61" si="65">IF(L$7=$D62,$D61,0)</f>
        <v>0</v>
      </c>
      <c r="M61" s="96">
        <f t="shared" si="65"/>
        <v>0</v>
      </c>
      <c r="N61" s="96">
        <f t="shared" si="65"/>
        <v>0</v>
      </c>
      <c r="O61" s="96">
        <f t="shared" si="65"/>
        <v>0</v>
      </c>
      <c r="P61" s="96">
        <f t="shared" si="65"/>
        <v>0</v>
      </c>
      <c r="Q61" s="96">
        <f t="shared" si="65"/>
        <v>0</v>
      </c>
      <c r="R61" s="96">
        <f t="shared" si="65"/>
        <v>0</v>
      </c>
      <c r="S61" s="96">
        <f t="shared" si="65"/>
        <v>0</v>
      </c>
      <c r="T61" s="96">
        <f t="shared" si="65"/>
        <v>0</v>
      </c>
      <c r="U61" s="96">
        <f t="shared" si="65"/>
        <v>0</v>
      </c>
      <c r="V61" s="96">
        <f t="shared" si="65"/>
        <v>0</v>
      </c>
      <c r="W61" s="96">
        <f t="shared" si="65"/>
        <v>0</v>
      </c>
      <c r="X61" s="96">
        <f t="shared" si="65"/>
        <v>0</v>
      </c>
      <c r="Y61" s="96">
        <f t="shared" si="65"/>
        <v>0</v>
      </c>
      <c r="Z61" s="96">
        <f t="shared" si="65"/>
        <v>0</v>
      </c>
      <c r="AA61" s="96">
        <f t="shared" si="65"/>
        <v>0</v>
      </c>
      <c r="AB61" s="96">
        <f t="shared" si="65"/>
        <v>0</v>
      </c>
      <c r="AC61" s="96">
        <f t="shared" si="65"/>
        <v>0</v>
      </c>
      <c r="AD61" s="96">
        <f t="shared" si="65"/>
        <v>0</v>
      </c>
      <c r="AE61" s="96">
        <f t="shared" si="65"/>
        <v>0</v>
      </c>
      <c r="AF61" s="96">
        <f t="shared" si="65"/>
        <v>0</v>
      </c>
      <c r="AG61" s="96">
        <f t="shared" si="65"/>
        <v>0</v>
      </c>
      <c r="AH61" s="96">
        <f t="shared" si="65"/>
        <v>0</v>
      </c>
      <c r="AI61" s="96">
        <f t="shared" si="65"/>
        <v>0</v>
      </c>
      <c r="AJ61" s="96">
        <f t="shared" si="65"/>
        <v>0</v>
      </c>
      <c r="AK61" s="96">
        <f t="shared" si="65"/>
        <v>0</v>
      </c>
      <c r="AL61" s="96">
        <f t="shared" si="65"/>
        <v>0</v>
      </c>
      <c r="AM61" s="96">
        <f t="shared" si="65"/>
        <v>0</v>
      </c>
      <c r="AN61" s="96">
        <f t="shared" si="65"/>
        <v>0</v>
      </c>
      <c r="AO61" s="96">
        <f t="shared" si="65"/>
        <v>0</v>
      </c>
      <c r="AP61" s="96">
        <f t="shared" si="65"/>
        <v>0</v>
      </c>
      <c r="AQ61" s="96">
        <f t="shared" si="65"/>
        <v>0</v>
      </c>
      <c r="AR61" s="96">
        <f t="shared" si="65"/>
        <v>0</v>
      </c>
    </row>
    <row r="62" spans="1:44" x14ac:dyDescent="0.2">
      <c r="B62" s="1" t="s">
        <v>150</v>
      </c>
      <c r="C62" s="76" t="s">
        <v>102</v>
      </c>
      <c r="D62" s="20">
        <f>Inputs!E116</f>
        <v>2023</v>
      </c>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row>
    <row r="63" spans="1:44" x14ac:dyDescent="0.2">
      <c r="B63" s="1" t="s">
        <v>151</v>
      </c>
      <c r="C63" s="76" t="s">
        <v>145</v>
      </c>
      <c r="D63" s="92">
        <f>Inputs!E117</f>
        <v>41.895000000000003</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row>
    <row r="64" spans="1:44" x14ac:dyDescent="0.2">
      <c r="B64" s="1" t="s">
        <v>151</v>
      </c>
      <c r="C64" s="76" t="s">
        <v>102</v>
      </c>
      <c r="D64" s="20">
        <f>Inputs!E118</f>
        <v>2046</v>
      </c>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row>
    <row r="65" spans="1:44" x14ac:dyDescent="0.2">
      <c r="B65" s="1" t="s">
        <v>242</v>
      </c>
      <c r="C65" s="76" t="s">
        <v>145</v>
      </c>
      <c r="D65" s="15">
        <f>(D63-D61)/(D64-D62)</f>
        <v>0.92608695652173934</v>
      </c>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row>
    <row r="66" spans="1:44" x14ac:dyDescent="0.2">
      <c r="B66" s="1" t="s">
        <v>243</v>
      </c>
      <c r="C66" s="76" t="s">
        <v>244</v>
      </c>
      <c r="D66" s="17"/>
      <c r="F66" s="16">
        <f>IF(F$7&gt;$D62,1,0)</f>
        <v>0</v>
      </c>
      <c r="G66" s="16">
        <f t="shared" ref="G66:AR66" si="66">IF(G$7&gt;$D62,1,0)</f>
        <v>0</v>
      </c>
      <c r="H66" s="16">
        <f t="shared" si="66"/>
        <v>0</v>
      </c>
      <c r="I66" s="16">
        <f t="shared" si="66"/>
        <v>0</v>
      </c>
      <c r="J66" s="16">
        <f t="shared" si="66"/>
        <v>0</v>
      </c>
      <c r="K66" s="16">
        <f t="shared" si="66"/>
        <v>0</v>
      </c>
      <c r="L66" s="16">
        <f t="shared" si="66"/>
        <v>1</v>
      </c>
      <c r="M66" s="16">
        <f t="shared" si="66"/>
        <v>1</v>
      </c>
      <c r="N66" s="16">
        <f t="shared" si="66"/>
        <v>1</v>
      </c>
      <c r="O66" s="16">
        <f t="shared" si="66"/>
        <v>1</v>
      </c>
      <c r="P66" s="16">
        <f t="shared" si="66"/>
        <v>1</v>
      </c>
      <c r="Q66" s="16">
        <f t="shared" si="66"/>
        <v>1</v>
      </c>
      <c r="R66" s="16">
        <f t="shared" si="66"/>
        <v>1</v>
      </c>
      <c r="S66" s="16">
        <f t="shared" si="66"/>
        <v>1</v>
      </c>
      <c r="T66" s="16">
        <f t="shared" si="66"/>
        <v>1</v>
      </c>
      <c r="U66" s="16">
        <f t="shared" si="66"/>
        <v>1</v>
      </c>
      <c r="V66" s="16">
        <f t="shared" si="66"/>
        <v>1</v>
      </c>
      <c r="W66" s="16">
        <f t="shared" si="66"/>
        <v>1</v>
      </c>
      <c r="X66" s="16">
        <f t="shared" si="66"/>
        <v>1</v>
      </c>
      <c r="Y66" s="16">
        <f t="shared" si="66"/>
        <v>1</v>
      </c>
      <c r="Z66" s="16">
        <f t="shared" si="66"/>
        <v>1</v>
      </c>
      <c r="AA66" s="16">
        <f t="shared" si="66"/>
        <v>1</v>
      </c>
      <c r="AB66" s="16">
        <f t="shared" si="66"/>
        <v>1</v>
      </c>
      <c r="AC66" s="16">
        <f t="shared" si="66"/>
        <v>1</v>
      </c>
      <c r="AD66" s="16">
        <f t="shared" si="66"/>
        <v>1</v>
      </c>
      <c r="AE66" s="16">
        <f t="shared" si="66"/>
        <v>1</v>
      </c>
      <c r="AF66" s="16">
        <f t="shared" si="66"/>
        <v>1</v>
      </c>
      <c r="AG66" s="16">
        <f t="shared" si="66"/>
        <v>1</v>
      </c>
      <c r="AH66" s="16">
        <f t="shared" si="66"/>
        <v>1</v>
      </c>
      <c r="AI66" s="16">
        <f t="shared" si="66"/>
        <v>1</v>
      </c>
      <c r="AJ66" s="16">
        <f t="shared" si="66"/>
        <v>1</v>
      </c>
      <c r="AK66" s="16">
        <f t="shared" si="66"/>
        <v>1</v>
      </c>
      <c r="AL66" s="16">
        <f t="shared" si="66"/>
        <v>1</v>
      </c>
      <c r="AM66" s="16">
        <f t="shared" si="66"/>
        <v>1</v>
      </c>
      <c r="AN66" s="16">
        <f t="shared" si="66"/>
        <v>1</v>
      </c>
      <c r="AO66" s="16">
        <f t="shared" si="66"/>
        <v>1</v>
      </c>
      <c r="AP66" s="16">
        <f t="shared" si="66"/>
        <v>1</v>
      </c>
      <c r="AQ66" s="16">
        <f t="shared" si="66"/>
        <v>1</v>
      </c>
      <c r="AR66" s="16">
        <f t="shared" si="66"/>
        <v>1</v>
      </c>
    </row>
    <row r="67" spans="1:44" ht="15" x14ac:dyDescent="0.25">
      <c r="A67" s="2"/>
      <c r="B67" s="1" t="s">
        <v>265</v>
      </c>
      <c r="C67" s="76" t="s">
        <v>145</v>
      </c>
      <c r="D67" s="92">
        <f>SUM(F67:AR67)</f>
        <v>1219.764782608695</v>
      </c>
      <c r="F67" s="92">
        <f t="shared" ref="F67:K67" si="67">E67+F61+F66*$D65</f>
        <v>0</v>
      </c>
      <c r="G67" s="92">
        <f t="shared" si="67"/>
        <v>0</v>
      </c>
      <c r="H67" s="92">
        <f t="shared" si="67"/>
        <v>0</v>
      </c>
      <c r="I67" s="92">
        <f t="shared" si="67"/>
        <v>0</v>
      </c>
      <c r="J67" s="92">
        <f t="shared" si="67"/>
        <v>0</v>
      </c>
      <c r="K67" s="92">
        <f t="shared" si="67"/>
        <v>20.594999999999999</v>
      </c>
      <c r="L67" s="92">
        <f>K67+L61+L66*$D65</f>
        <v>21.521086956521739</v>
      </c>
      <c r="M67" s="92">
        <f t="shared" ref="M67:AR67" si="68">L67+M61+M66*$D65</f>
        <v>22.447173913043478</v>
      </c>
      <c r="N67" s="92">
        <f t="shared" si="68"/>
        <v>23.373260869565218</v>
      </c>
      <c r="O67" s="92">
        <f t="shared" si="68"/>
        <v>24.299347826086958</v>
      </c>
      <c r="P67" s="92">
        <f t="shared" si="68"/>
        <v>25.225434782608698</v>
      </c>
      <c r="Q67" s="92">
        <f t="shared" si="68"/>
        <v>26.151521739130438</v>
      </c>
      <c r="R67" s="92">
        <f t="shared" si="68"/>
        <v>27.077608695652177</v>
      </c>
      <c r="S67" s="92">
        <f t="shared" si="68"/>
        <v>28.003695652173917</v>
      </c>
      <c r="T67" s="92">
        <f t="shared" si="68"/>
        <v>28.929782608695657</v>
      </c>
      <c r="U67" s="92">
        <f t="shared" si="68"/>
        <v>29.855869565217397</v>
      </c>
      <c r="V67" s="92">
        <f t="shared" si="68"/>
        <v>30.781956521739136</v>
      </c>
      <c r="W67" s="92">
        <f t="shared" si="68"/>
        <v>31.708043478260876</v>
      </c>
      <c r="X67" s="92">
        <f t="shared" si="68"/>
        <v>32.634130434782612</v>
      </c>
      <c r="Y67" s="92">
        <f t="shared" si="68"/>
        <v>33.560217391304349</v>
      </c>
      <c r="Z67" s="92">
        <f t="shared" si="68"/>
        <v>34.486304347826085</v>
      </c>
      <c r="AA67" s="92">
        <f t="shared" si="68"/>
        <v>35.412391304347821</v>
      </c>
      <c r="AB67" s="92">
        <f t="shared" si="68"/>
        <v>36.338478260869557</v>
      </c>
      <c r="AC67" s="92">
        <f t="shared" si="68"/>
        <v>37.264565217391294</v>
      </c>
      <c r="AD67" s="92">
        <f t="shared" si="68"/>
        <v>38.19065217391303</v>
      </c>
      <c r="AE67" s="92">
        <f t="shared" si="68"/>
        <v>39.116739130434766</v>
      </c>
      <c r="AF67" s="92">
        <f t="shared" si="68"/>
        <v>40.042826086956502</v>
      </c>
      <c r="AG67" s="92">
        <f t="shared" si="68"/>
        <v>40.968913043478238</v>
      </c>
      <c r="AH67" s="92">
        <f t="shared" si="68"/>
        <v>41.894999999999975</v>
      </c>
      <c r="AI67" s="92">
        <f t="shared" si="68"/>
        <v>42.821086956521711</v>
      </c>
      <c r="AJ67" s="92">
        <f t="shared" si="68"/>
        <v>43.747173913043447</v>
      </c>
      <c r="AK67" s="92">
        <f t="shared" si="68"/>
        <v>44.673260869565183</v>
      </c>
      <c r="AL67" s="92">
        <f t="shared" si="68"/>
        <v>45.59934782608692</v>
      </c>
      <c r="AM67" s="92">
        <f t="shared" si="68"/>
        <v>46.525434782608656</v>
      </c>
      <c r="AN67" s="92">
        <f t="shared" si="68"/>
        <v>47.451521739130392</v>
      </c>
      <c r="AO67" s="92">
        <f t="shared" si="68"/>
        <v>48.377608695652128</v>
      </c>
      <c r="AP67" s="92">
        <f t="shared" si="68"/>
        <v>49.303695652173865</v>
      </c>
      <c r="AQ67" s="92">
        <f t="shared" si="68"/>
        <v>50.229782608695601</v>
      </c>
      <c r="AR67" s="92">
        <f t="shared" si="68"/>
        <v>51.155869565217337</v>
      </c>
    </row>
    <row r="68" spans="1:44" ht="15" x14ac:dyDescent="0.25">
      <c r="A68" s="2"/>
      <c r="B68" s="1" t="s">
        <v>266</v>
      </c>
      <c r="C68" s="76" t="s">
        <v>267</v>
      </c>
      <c r="D68" s="92">
        <f>Inputs!$E$33</f>
        <v>1000</v>
      </c>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row>
    <row r="69" spans="1:44" ht="15" x14ac:dyDescent="0.25">
      <c r="A69" s="2"/>
      <c r="B69" s="1" t="s">
        <v>268</v>
      </c>
      <c r="C69" s="76" t="s">
        <v>269</v>
      </c>
      <c r="D69" s="92">
        <f>Inputs!$E$32</f>
        <v>365</v>
      </c>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row>
    <row r="70" spans="1:44" ht="15" x14ac:dyDescent="0.25">
      <c r="A70" s="2"/>
      <c r="B70" s="1" t="s">
        <v>265</v>
      </c>
      <c r="C70" s="76" t="s">
        <v>978</v>
      </c>
      <c r="D70" s="92">
        <f>SUM(F70:AR70)</f>
        <v>445.21414565217367</v>
      </c>
      <c r="F70" s="92">
        <f t="shared" ref="F70:AG70" si="69">F67*$D69/$D68</f>
        <v>0</v>
      </c>
      <c r="G70" s="92">
        <f t="shared" si="69"/>
        <v>0</v>
      </c>
      <c r="H70" s="92">
        <f t="shared" si="69"/>
        <v>0</v>
      </c>
      <c r="I70" s="92">
        <f t="shared" si="69"/>
        <v>0</v>
      </c>
      <c r="J70" s="92">
        <f t="shared" si="69"/>
        <v>0</v>
      </c>
      <c r="K70" s="92">
        <f t="shared" si="69"/>
        <v>7.5171749999999991</v>
      </c>
      <c r="L70" s="92">
        <f t="shared" si="69"/>
        <v>7.8551967391304345</v>
      </c>
      <c r="M70" s="92">
        <f t="shared" si="69"/>
        <v>8.193218478260869</v>
      </c>
      <c r="N70" s="92">
        <f t="shared" si="69"/>
        <v>8.5312402173913053</v>
      </c>
      <c r="O70" s="92">
        <f t="shared" si="69"/>
        <v>8.8692619565217399</v>
      </c>
      <c r="P70" s="92">
        <f t="shared" si="69"/>
        <v>9.2072836956521744</v>
      </c>
      <c r="Q70" s="92">
        <f t="shared" si="69"/>
        <v>9.545305434782609</v>
      </c>
      <c r="R70" s="92">
        <f t="shared" si="69"/>
        <v>9.8833271739130453</v>
      </c>
      <c r="S70" s="92">
        <f t="shared" si="69"/>
        <v>10.22134891304348</v>
      </c>
      <c r="T70" s="92">
        <f t="shared" si="69"/>
        <v>10.559370652173914</v>
      </c>
      <c r="U70" s="92">
        <f t="shared" si="69"/>
        <v>10.897392391304349</v>
      </c>
      <c r="V70" s="92">
        <f t="shared" si="69"/>
        <v>11.235414130434785</v>
      </c>
      <c r="W70" s="92">
        <f t="shared" si="69"/>
        <v>11.57343586956522</v>
      </c>
      <c r="X70" s="92">
        <f t="shared" si="69"/>
        <v>11.911457608695653</v>
      </c>
      <c r="Y70" s="92">
        <f t="shared" si="69"/>
        <v>12.249479347826087</v>
      </c>
      <c r="Z70" s="92">
        <f t="shared" si="69"/>
        <v>12.587501086956522</v>
      </c>
      <c r="AA70" s="92">
        <f t="shared" si="69"/>
        <v>12.925522826086956</v>
      </c>
      <c r="AB70" s="92">
        <f t="shared" si="69"/>
        <v>13.263544565217387</v>
      </c>
      <c r="AC70" s="92">
        <f t="shared" si="69"/>
        <v>13.601566304347822</v>
      </c>
      <c r="AD70" s="92">
        <f t="shared" si="69"/>
        <v>13.939588043478256</v>
      </c>
      <c r="AE70" s="92">
        <f t="shared" si="69"/>
        <v>14.277609782608689</v>
      </c>
      <c r="AF70" s="92">
        <f t="shared" si="69"/>
        <v>14.615631521739123</v>
      </c>
      <c r="AG70" s="92">
        <f t="shared" si="69"/>
        <v>14.953653260869558</v>
      </c>
      <c r="AH70" s="92">
        <f>AH67*$D69/$D68</f>
        <v>15.291674999999991</v>
      </c>
      <c r="AI70" s="92">
        <f t="shared" ref="AI70:AR70" si="70">AI67*$D69/$D68</f>
        <v>15.629696739130424</v>
      </c>
      <c r="AJ70" s="92">
        <f t="shared" si="70"/>
        <v>15.967718478260858</v>
      </c>
      <c r="AK70" s="92">
        <f t="shared" si="70"/>
        <v>16.305740217391293</v>
      </c>
      <c r="AL70" s="92">
        <f t="shared" si="70"/>
        <v>16.643761956521725</v>
      </c>
      <c r="AM70" s="92">
        <f t="shared" si="70"/>
        <v>16.981783695652162</v>
      </c>
      <c r="AN70" s="92">
        <f t="shared" si="70"/>
        <v>17.319805434782594</v>
      </c>
      <c r="AO70" s="92">
        <f t="shared" si="70"/>
        <v>17.657827173913024</v>
      </c>
      <c r="AP70" s="92">
        <f t="shared" si="70"/>
        <v>17.99584891304346</v>
      </c>
      <c r="AQ70" s="92">
        <f t="shared" si="70"/>
        <v>18.333870652173893</v>
      </c>
      <c r="AR70" s="92">
        <f t="shared" si="70"/>
        <v>18.671892391304329</v>
      </c>
    </row>
    <row r="71" spans="1:44" ht="15" x14ac:dyDescent="0.25">
      <c r="A71" s="2"/>
      <c r="C71" s="76"/>
      <c r="D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row>
    <row r="72" spans="1:44" ht="15" x14ac:dyDescent="0.25">
      <c r="B72" s="2" t="s">
        <v>270</v>
      </c>
      <c r="C72" s="76"/>
      <c r="D72" s="92"/>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row>
    <row r="73" spans="1:44" x14ac:dyDescent="0.2">
      <c r="B73" s="1" t="s">
        <v>271</v>
      </c>
      <c r="C73" s="76" t="s">
        <v>154</v>
      </c>
      <c r="D73" s="97"/>
      <c r="F73" s="16">
        <f>IFERROR(HLOOKUP(F$7,Inputs!$H$126:$AJ$130,5),0)</f>
        <v>0</v>
      </c>
      <c r="G73" s="16">
        <f>IFERROR(HLOOKUP(G$7,Inputs!$H$126:$AJ$130,5),0)</f>
        <v>0</v>
      </c>
      <c r="H73" s="16">
        <f>IFERROR(HLOOKUP(H$7,Inputs!$H$126:$AJ$130,5),0)</f>
        <v>0</v>
      </c>
      <c r="I73" s="16">
        <f>IFERROR(HLOOKUP(I$7,Inputs!$H$126:$AJ$130,5),0)</f>
        <v>0</v>
      </c>
      <c r="J73" s="16">
        <f>IFERROR(HLOOKUP(J$7,Inputs!$H$126:$AJ$130,5),0)</f>
        <v>0</v>
      </c>
      <c r="K73" s="16">
        <f>IFERROR(HLOOKUP(K$7,Inputs!$H$126:$AJ$130,5),0)</f>
        <v>228.37600706009624</v>
      </c>
      <c r="L73" s="16">
        <f>IFERROR(HLOOKUP(L$7,Inputs!$H$126:$AJ$130,5),0)</f>
        <v>232.85396798284322</v>
      </c>
      <c r="M73" s="16">
        <f>IFERROR(HLOOKUP(M$7,Inputs!$H$126:$AJ$130,5),0)</f>
        <v>237.33192890559022</v>
      </c>
      <c r="N73" s="16">
        <f>IFERROR(HLOOKUP(N$7,Inputs!$H$126:$AJ$130,5),0)</f>
        <v>240.69039959765044</v>
      </c>
      <c r="O73" s="16">
        <f>IFERROR(HLOOKUP(O$7,Inputs!$H$126:$AJ$130,5),0)</f>
        <v>245.16836052039741</v>
      </c>
      <c r="P73" s="16">
        <f>IFERROR(HLOOKUP(P$7,Inputs!$H$126:$AJ$130,5),0)</f>
        <v>249.64632144314442</v>
      </c>
      <c r="Q73" s="16">
        <f>IFERROR(HLOOKUP(Q$7,Inputs!$H$126:$AJ$130,5),0)</f>
        <v>253.00479213520464</v>
      </c>
      <c r="R73" s="16">
        <f>IFERROR(HLOOKUP(R$7,Inputs!$H$126:$AJ$130,5),0)</f>
        <v>257.48275305795164</v>
      </c>
      <c r="S73" s="16">
        <f>IFERROR(HLOOKUP(S$7,Inputs!$H$126:$AJ$130,5),0)</f>
        <v>261.96071398069864</v>
      </c>
      <c r="T73" s="16">
        <f>IFERROR(HLOOKUP(T$7,Inputs!$H$126:$AJ$130,5),0)</f>
        <v>265.31918467275887</v>
      </c>
      <c r="U73" s="16">
        <f>IFERROR(HLOOKUP(U$7,Inputs!$H$126:$AJ$130,5),0)</f>
        <v>269.79714559550587</v>
      </c>
      <c r="V73" s="16">
        <f>IFERROR(HLOOKUP(V$7,Inputs!$H$126:$AJ$130,5),0)</f>
        <v>274.27510651825281</v>
      </c>
      <c r="W73" s="16">
        <f>IFERROR(HLOOKUP(W$7,Inputs!$H$126:$AJ$130,5),0)</f>
        <v>277.63357721031309</v>
      </c>
      <c r="X73" s="16">
        <f>IFERROR(HLOOKUP(X$7,Inputs!$H$126:$AJ$130,5),0)</f>
        <v>282.11153813306004</v>
      </c>
      <c r="Y73" s="16">
        <f>IFERROR(HLOOKUP(Y$7,Inputs!$H$126:$AJ$130,5),0)</f>
        <v>286.58949905580704</v>
      </c>
      <c r="Z73" s="16">
        <f>IFERROR(HLOOKUP(Z$7,Inputs!$H$126:$AJ$130,5),0)</f>
        <v>289.94796974786726</v>
      </c>
      <c r="AA73" s="16">
        <f>IFERROR(HLOOKUP(AA$7,Inputs!$H$126:$AJ$130,5),0)</f>
        <v>294.42593067061426</v>
      </c>
      <c r="AB73" s="16">
        <f>IFERROR(HLOOKUP(AB$7,Inputs!$H$126:$AJ$130,5),0)</f>
        <v>298.90389159336127</v>
      </c>
      <c r="AC73" s="16">
        <f>IFERROR(HLOOKUP(AC$7,Inputs!$H$126:$AJ$130,5),0)</f>
        <v>303.38185251610821</v>
      </c>
      <c r="AD73" s="16">
        <f>IFERROR(HLOOKUP(AD$7,Inputs!$H$126:$AJ$130,5),0)</f>
        <v>307.85981343885521</v>
      </c>
      <c r="AE73" s="16">
        <f>IFERROR(HLOOKUP(AE$7,Inputs!$H$126:$AJ$130,5),0)</f>
        <v>312.33777436160221</v>
      </c>
      <c r="AF73" s="16">
        <f>IFERROR(HLOOKUP(AF$7,Inputs!$H$126:$AJ$130,5),0)</f>
        <v>316.81573528434916</v>
      </c>
      <c r="AG73" s="16">
        <f>IFERROR(HLOOKUP(AG$7,Inputs!$H$126:$AJ$130,5),0)</f>
        <v>321.29369620709616</v>
      </c>
      <c r="AH73" s="16">
        <f>IFERROR(HLOOKUP(AH$7,Inputs!$H$126:$AJ$130,5),0)</f>
        <v>325.77165712984316</v>
      </c>
      <c r="AI73" s="16">
        <f>IFERROR(HLOOKUP(AI$7,Inputs!$H$126:$AJ$130,5),0)</f>
        <v>331.36910828327689</v>
      </c>
      <c r="AJ73" s="16">
        <f>IFERROR(HLOOKUP(AJ$7,Inputs!$H$126:$AJ$130,5),0)</f>
        <v>335.84706920602389</v>
      </c>
      <c r="AK73" s="16">
        <f>IFERROR(HLOOKUP(AK$7,Inputs!$H$126:$AJ$130,5),0)</f>
        <v>340.32503012877083</v>
      </c>
      <c r="AL73" s="16">
        <f>IFERROR(HLOOKUP(AL$7,Inputs!$H$126:$AJ$130,5),0)</f>
        <v>344.80299105151784</v>
      </c>
      <c r="AM73" s="16">
        <f>IFERROR(HLOOKUP(AM$7,Inputs!$H$126:$AJ$130,5),0)</f>
        <v>344.80299105151784</v>
      </c>
      <c r="AN73" s="16">
        <f>IFERROR(HLOOKUP(AN$7,Inputs!$H$126:$AJ$130,5),0)</f>
        <v>344.80299105151784</v>
      </c>
      <c r="AO73" s="16">
        <f>IFERROR(HLOOKUP(AO$7,Inputs!$H$126:$AJ$130,5),0)</f>
        <v>344.80299105151784</v>
      </c>
      <c r="AP73" s="16">
        <f>IFERROR(HLOOKUP(AP$7,Inputs!$H$126:$AJ$130,5),0)</f>
        <v>344.80299105151784</v>
      </c>
      <c r="AQ73" s="16">
        <f>IFERROR(HLOOKUP(AQ$7,Inputs!$H$126:$AJ$130,5),0)</f>
        <v>344.80299105151784</v>
      </c>
      <c r="AR73" s="16">
        <f>IFERROR(HLOOKUP(AR$7,Inputs!$H$126:$AJ$130,5),0)</f>
        <v>344.80299105151784</v>
      </c>
    </row>
    <row r="74" spans="1:44" ht="15" x14ac:dyDescent="0.25">
      <c r="A74" s="2"/>
      <c r="B74" s="1" t="s">
        <v>270</v>
      </c>
      <c r="C74" s="19" t="s">
        <v>272</v>
      </c>
      <c r="D74" s="16">
        <f>SUM(F74:AR74)</f>
        <v>135985.79143610297</v>
      </c>
      <c r="F74" s="16">
        <f t="shared" ref="F74" si="71">F70*F73</f>
        <v>0</v>
      </c>
      <c r="G74" s="16">
        <f t="shared" ref="G74" si="72">G70*G73</f>
        <v>0</v>
      </c>
      <c r="H74" s="16">
        <f t="shared" ref="H74" si="73">H70*H73</f>
        <v>0</v>
      </c>
      <c r="I74" s="16">
        <f t="shared" ref="I74" si="74">I70*I73</f>
        <v>0</v>
      </c>
      <c r="J74" s="16">
        <f t="shared" ref="J74" si="75">J70*J73</f>
        <v>0</v>
      </c>
      <c r="K74" s="16">
        <f>K70*K73</f>
        <v>1716.7424108719788</v>
      </c>
      <c r="L74" s="16">
        <f t="shared" ref="L74" si="76">L70*L73</f>
        <v>1829.1137299924126</v>
      </c>
      <c r="M74" s="16">
        <f t="shared" ref="M74" si="77">M70*M73</f>
        <v>1944.5123453905767</v>
      </c>
      <c r="N74" s="16">
        <f t="shared" ref="N74" si="78">N70*N73</f>
        <v>2053.3876169874593</v>
      </c>
      <c r="O74" s="16">
        <f t="shared" ref="O74" si="79">O70*O73</f>
        <v>2174.4624129063673</v>
      </c>
      <c r="P74" s="16">
        <f t="shared" ref="P74" si="80">P70*P73</f>
        <v>2298.5645051030056</v>
      </c>
      <c r="Q74" s="16">
        <f t="shared" ref="Q74" si="81">Q70*Q73</f>
        <v>2415.0080173942133</v>
      </c>
      <c r="R74" s="16">
        <f t="shared" ref="R74" si="82">R70*R73</f>
        <v>2544.7862901115959</v>
      </c>
      <c r="S74" s="16">
        <f t="shared" ref="S74" si="83">S70*S73</f>
        <v>2677.5918591067079</v>
      </c>
      <c r="T74" s="16">
        <f t="shared" ref="T74" si="84">T70*T73</f>
        <v>2801.6036120922408</v>
      </c>
      <c r="U74" s="16">
        <f t="shared" ref="U74" si="85">U70*U73</f>
        <v>2940.0853616080972</v>
      </c>
      <c r="V74" s="16">
        <f t="shared" ref="V74" si="86">V70*V73</f>
        <v>3081.5944074016834</v>
      </c>
      <c r="W74" s="16">
        <f t="shared" ref="W74" si="87">W70*W73</f>
        <v>3213.1744010815423</v>
      </c>
      <c r="X74" s="16">
        <f t="shared" ref="X74" si="88">X70*X73</f>
        <v>3360.3596273958715</v>
      </c>
      <c r="Y74" s="16">
        <f t="shared" ref="Y74" si="89">Y70*Y73</f>
        <v>3510.5721499879323</v>
      </c>
      <c r="Z74" s="16">
        <f t="shared" ref="Z74" si="90">Z70*Z73</f>
        <v>3649.720384362116</v>
      </c>
      <c r="AA74" s="16">
        <f t="shared" ref="AA74" si="91">AA70*AA73</f>
        <v>3805.6090874749202</v>
      </c>
      <c r="AB74" s="16">
        <f t="shared" ref="AB74" si="92">AB70*AB73</f>
        <v>3964.5250868654539</v>
      </c>
      <c r="AC74" s="16">
        <f t="shared" ref="AC74" si="93">AC70*AC73</f>
        <v>4126.4683825337179</v>
      </c>
      <c r="AD74" s="16">
        <f t="shared" ref="AD74" si="94">AD70*AD73</f>
        <v>4291.4389744797127</v>
      </c>
      <c r="AE74" s="16">
        <f t="shared" ref="AE74" si="95">AE70*AE73</f>
        <v>4459.4368627034373</v>
      </c>
      <c r="AF74" s="16">
        <f t="shared" ref="AF74" si="96">AF70*AF73</f>
        <v>4630.4620472048919</v>
      </c>
      <c r="AG74" s="16">
        <f t="shared" ref="AG74" si="97">AG70*AG73</f>
        <v>4804.5145279840763</v>
      </c>
      <c r="AH74" s="16">
        <f t="shared" ref="AH74" si="98">AH70*AH73</f>
        <v>4981.5943050409915</v>
      </c>
      <c r="AI74" s="16">
        <f t="shared" ref="AI74" si="99">AI70*AI73</f>
        <v>5179.1986711836889</v>
      </c>
      <c r="AJ74" s="16">
        <f t="shared" ref="AJ74" si="100">AJ70*AJ73</f>
        <v>5362.7114528307811</v>
      </c>
      <c r="AK74" s="16">
        <f t="shared" ref="AK74" si="101">AK70*AK73</f>
        <v>5549.2515307556023</v>
      </c>
      <c r="AL74" s="16">
        <f t="shared" ref="AL74" si="102">AL70*AL73</f>
        <v>5738.8189049581533</v>
      </c>
      <c r="AM74" s="16">
        <f t="shared" ref="AM74" si="103">AM70*AM73</f>
        <v>5855.3698116507639</v>
      </c>
      <c r="AN74" s="16">
        <f t="shared" ref="AN74" si="104">AN70*AN73</f>
        <v>5971.9207183433728</v>
      </c>
      <c r="AO74" s="16">
        <f t="shared" ref="AO74" si="105">AO70*AO73</f>
        <v>6088.4716250359807</v>
      </c>
      <c r="AP74" s="16">
        <f t="shared" ref="AP74" si="106">AP70*AP73</f>
        <v>6205.0225317285913</v>
      </c>
      <c r="AQ74" s="16">
        <f t="shared" ref="AQ74" si="107">AQ70*AQ73</f>
        <v>6321.5734384212001</v>
      </c>
      <c r="AR74" s="16">
        <f t="shared" ref="AR74" si="108">AR70*AR73</f>
        <v>6438.1243451138107</v>
      </c>
    </row>
    <row r="75" spans="1:44" ht="15" x14ac:dyDescent="0.25">
      <c r="A75" s="2"/>
      <c r="C75" s="19"/>
      <c r="D75" s="15"/>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row>
    <row r="76" spans="1:44" ht="15" x14ac:dyDescent="0.25">
      <c r="A76" s="2" t="s">
        <v>147</v>
      </c>
      <c r="C76" s="19"/>
      <c r="D76" s="15"/>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row>
    <row r="77" spans="1:44" ht="15" x14ac:dyDescent="0.25">
      <c r="B77" s="2" t="s">
        <v>142</v>
      </c>
      <c r="C77" s="76"/>
      <c r="D77" s="75"/>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row>
    <row r="78" spans="1:44" x14ac:dyDescent="0.2">
      <c r="B78" s="1" t="s">
        <v>150</v>
      </c>
      <c r="C78" s="76" t="s">
        <v>145</v>
      </c>
      <c r="D78" s="92">
        <f>Inputs!E120</f>
        <v>4.0049999999999999</v>
      </c>
      <c r="F78" s="96">
        <f t="shared" ref="F78:J78" si="109">IF(F$7=$D79,$D78,0)</f>
        <v>0</v>
      </c>
      <c r="G78" s="96">
        <f t="shared" si="109"/>
        <v>0</v>
      </c>
      <c r="H78" s="96">
        <f t="shared" si="109"/>
        <v>0</v>
      </c>
      <c r="I78" s="96">
        <f t="shared" si="109"/>
        <v>0</v>
      </c>
      <c r="J78" s="96">
        <f t="shared" si="109"/>
        <v>0</v>
      </c>
      <c r="K78" s="96">
        <f>IF(K$7=$D79,$D78,0)</f>
        <v>4.0049999999999999</v>
      </c>
      <c r="L78" s="96">
        <f t="shared" ref="L78:AR78" si="110">IF(L$7=$D79,$D78,0)</f>
        <v>0</v>
      </c>
      <c r="M78" s="96">
        <f t="shared" si="110"/>
        <v>0</v>
      </c>
      <c r="N78" s="96">
        <f t="shared" si="110"/>
        <v>0</v>
      </c>
      <c r="O78" s="96">
        <f t="shared" si="110"/>
        <v>0</v>
      </c>
      <c r="P78" s="96">
        <f t="shared" si="110"/>
        <v>0</v>
      </c>
      <c r="Q78" s="96">
        <f t="shared" si="110"/>
        <v>0</v>
      </c>
      <c r="R78" s="96">
        <f t="shared" si="110"/>
        <v>0</v>
      </c>
      <c r="S78" s="96">
        <f t="shared" si="110"/>
        <v>0</v>
      </c>
      <c r="T78" s="96">
        <f t="shared" si="110"/>
        <v>0</v>
      </c>
      <c r="U78" s="96">
        <f t="shared" si="110"/>
        <v>0</v>
      </c>
      <c r="V78" s="96">
        <f t="shared" si="110"/>
        <v>0</v>
      </c>
      <c r="W78" s="96">
        <f t="shared" si="110"/>
        <v>0</v>
      </c>
      <c r="X78" s="96">
        <f t="shared" si="110"/>
        <v>0</v>
      </c>
      <c r="Y78" s="96">
        <f t="shared" si="110"/>
        <v>0</v>
      </c>
      <c r="Z78" s="96">
        <f t="shared" si="110"/>
        <v>0</v>
      </c>
      <c r="AA78" s="96">
        <f t="shared" si="110"/>
        <v>0</v>
      </c>
      <c r="AB78" s="96">
        <f t="shared" si="110"/>
        <v>0</v>
      </c>
      <c r="AC78" s="96">
        <f t="shared" si="110"/>
        <v>0</v>
      </c>
      <c r="AD78" s="96">
        <f t="shared" si="110"/>
        <v>0</v>
      </c>
      <c r="AE78" s="96">
        <f t="shared" si="110"/>
        <v>0</v>
      </c>
      <c r="AF78" s="96">
        <f t="shared" si="110"/>
        <v>0</v>
      </c>
      <c r="AG78" s="96">
        <f t="shared" si="110"/>
        <v>0</v>
      </c>
      <c r="AH78" s="96">
        <f t="shared" si="110"/>
        <v>0</v>
      </c>
      <c r="AI78" s="96">
        <f t="shared" si="110"/>
        <v>0</v>
      </c>
      <c r="AJ78" s="96">
        <f t="shared" si="110"/>
        <v>0</v>
      </c>
      <c r="AK78" s="96">
        <f t="shared" si="110"/>
        <v>0</v>
      </c>
      <c r="AL78" s="96">
        <f t="shared" si="110"/>
        <v>0</v>
      </c>
      <c r="AM78" s="96">
        <f t="shared" si="110"/>
        <v>0</v>
      </c>
      <c r="AN78" s="96">
        <f t="shared" si="110"/>
        <v>0</v>
      </c>
      <c r="AO78" s="96">
        <f t="shared" si="110"/>
        <v>0</v>
      </c>
      <c r="AP78" s="96">
        <f t="shared" si="110"/>
        <v>0</v>
      </c>
      <c r="AQ78" s="96">
        <f t="shared" si="110"/>
        <v>0</v>
      </c>
      <c r="AR78" s="96">
        <f t="shared" si="110"/>
        <v>0</v>
      </c>
    </row>
    <row r="79" spans="1:44" x14ac:dyDescent="0.2">
      <c r="B79" s="1" t="s">
        <v>150</v>
      </c>
      <c r="C79" s="76" t="s">
        <v>102</v>
      </c>
      <c r="D79" s="20">
        <f>Inputs!E121</f>
        <v>2023</v>
      </c>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row>
    <row r="80" spans="1:44" x14ac:dyDescent="0.2">
      <c r="B80" s="1" t="s">
        <v>151</v>
      </c>
      <c r="C80" s="76" t="s">
        <v>145</v>
      </c>
      <c r="D80" s="92">
        <f>Inputs!E122</f>
        <v>8.1449999999999996</v>
      </c>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row>
    <row r="81" spans="1:44" x14ac:dyDescent="0.2">
      <c r="B81" s="1" t="s">
        <v>151</v>
      </c>
      <c r="C81" s="76" t="s">
        <v>102</v>
      </c>
      <c r="D81" s="20">
        <f>Inputs!E123</f>
        <v>2046</v>
      </c>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row>
    <row r="82" spans="1:44" x14ac:dyDescent="0.2">
      <c r="B82" s="1" t="s">
        <v>242</v>
      </c>
      <c r="C82" s="76" t="s">
        <v>145</v>
      </c>
      <c r="D82" s="15">
        <f>(D80-D78)/(D81-D79)</f>
        <v>0.18</v>
      </c>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row>
    <row r="83" spans="1:44" x14ac:dyDescent="0.2">
      <c r="B83" s="1" t="s">
        <v>243</v>
      </c>
      <c r="C83" s="76" t="s">
        <v>244</v>
      </c>
      <c r="D83" s="17"/>
      <c r="F83" s="16">
        <f t="shared" ref="F83:AG83" si="111">IF(F$7&gt;$D$62,1,0)</f>
        <v>0</v>
      </c>
      <c r="G83" s="16">
        <f t="shared" si="111"/>
        <v>0</v>
      </c>
      <c r="H83" s="16">
        <f t="shared" si="111"/>
        <v>0</v>
      </c>
      <c r="I83" s="16">
        <f t="shared" si="111"/>
        <v>0</v>
      </c>
      <c r="J83" s="16">
        <f t="shared" si="111"/>
        <v>0</v>
      </c>
      <c r="K83" s="16">
        <f t="shared" si="111"/>
        <v>0</v>
      </c>
      <c r="L83" s="16">
        <f t="shared" si="111"/>
        <v>1</v>
      </c>
      <c r="M83" s="16">
        <f t="shared" si="111"/>
        <v>1</v>
      </c>
      <c r="N83" s="16">
        <f t="shared" si="111"/>
        <v>1</v>
      </c>
      <c r="O83" s="16">
        <f t="shared" si="111"/>
        <v>1</v>
      </c>
      <c r="P83" s="16">
        <f t="shared" si="111"/>
        <v>1</v>
      </c>
      <c r="Q83" s="16">
        <f t="shared" si="111"/>
        <v>1</v>
      </c>
      <c r="R83" s="16">
        <f t="shared" si="111"/>
        <v>1</v>
      </c>
      <c r="S83" s="16">
        <f t="shared" si="111"/>
        <v>1</v>
      </c>
      <c r="T83" s="16">
        <f t="shared" si="111"/>
        <v>1</v>
      </c>
      <c r="U83" s="16">
        <f t="shared" si="111"/>
        <v>1</v>
      </c>
      <c r="V83" s="16">
        <f t="shared" si="111"/>
        <v>1</v>
      </c>
      <c r="W83" s="16">
        <f t="shared" si="111"/>
        <v>1</v>
      </c>
      <c r="X83" s="16">
        <f t="shared" si="111"/>
        <v>1</v>
      </c>
      <c r="Y83" s="16">
        <f t="shared" si="111"/>
        <v>1</v>
      </c>
      <c r="Z83" s="16">
        <f t="shared" si="111"/>
        <v>1</v>
      </c>
      <c r="AA83" s="16">
        <f t="shared" si="111"/>
        <v>1</v>
      </c>
      <c r="AB83" s="16">
        <f t="shared" si="111"/>
        <v>1</v>
      </c>
      <c r="AC83" s="16">
        <f t="shared" si="111"/>
        <v>1</v>
      </c>
      <c r="AD83" s="16">
        <f t="shared" si="111"/>
        <v>1</v>
      </c>
      <c r="AE83" s="16">
        <f t="shared" si="111"/>
        <v>1</v>
      </c>
      <c r="AF83" s="16">
        <f t="shared" si="111"/>
        <v>1</v>
      </c>
      <c r="AG83" s="16">
        <f t="shared" si="111"/>
        <v>1</v>
      </c>
      <c r="AH83" s="16">
        <f>IF(AH$7&gt;$D$62,1,0)</f>
        <v>1</v>
      </c>
      <c r="AI83" s="16">
        <f t="shared" ref="AI83:AR83" si="112">IF(AI$7&gt;$D$62,1,0)</f>
        <v>1</v>
      </c>
      <c r="AJ83" s="16">
        <f t="shared" si="112"/>
        <v>1</v>
      </c>
      <c r="AK83" s="16">
        <f t="shared" si="112"/>
        <v>1</v>
      </c>
      <c r="AL83" s="16">
        <f t="shared" si="112"/>
        <v>1</v>
      </c>
      <c r="AM83" s="16">
        <f t="shared" si="112"/>
        <v>1</v>
      </c>
      <c r="AN83" s="16">
        <f t="shared" si="112"/>
        <v>1</v>
      </c>
      <c r="AO83" s="16">
        <f t="shared" si="112"/>
        <v>1</v>
      </c>
      <c r="AP83" s="16">
        <f t="shared" si="112"/>
        <v>1</v>
      </c>
      <c r="AQ83" s="16">
        <f t="shared" si="112"/>
        <v>1</v>
      </c>
      <c r="AR83" s="16">
        <f t="shared" si="112"/>
        <v>1</v>
      </c>
    </row>
    <row r="84" spans="1:44" ht="15" x14ac:dyDescent="0.25">
      <c r="A84" s="2"/>
      <c r="B84" s="1" t="s">
        <v>265</v>
      </c>
      <c r="C84" s="76" t="s">
        <v>145</v>
      </c>
      <c r="D84" s="92">
        <f>SUM(F84:AR84)</f>
        <v>237.14999999999984</v>
      </c>
      <c r="F84" s="92">
        <f t="shared" ref="F84:J84" si="113">E84+F78+F83*$D82</f>
        <v>0</v>
      </c>
      <c r="G84" s="92">
        <f t="shared" si="113"/>
        <v>0</v>
      </c>
      <c r="H84" s="92">
        <f t="shared" si="113"/>
        <v>0</v>
      </c>
      <c r="I84" s="92">
        <f t="shared" si="113"/>
        <v>0</v>
      </c>
      <c r="J84" s="92">
        <f t="shared" si="113"/>
        <v>0</v>
      </c>
      <c r="K84" s="92">
        <f>J84+K78+K83*$D82</f>
        <v>4.0049999999999999</v>
      </c>
      <c r="L84" s="92">
        <f t="shared" ref="L84:AR84" si="114">K84+L78+L83*$D82</f>
        <v>4.1849999999999996</v>
      </c>
      <c r="M84" s="92">
        <f t="shared" si="114"/>
        <v>4.3649999999999993</v>
      </c>
      <c r="N84" s="92">
        <f t="shared" si="114"/>
        <v>4.544999999999999</v>
      </c>
      <c r="O84" s="92">
        <f t="shared" si="114"/>
        <v>4.7249999999999988</v>
      </c>
      <c r="P84" s="92">
        <f t="shared" si="114"/>
        <v>4.9049999999999985</v>
      </c>
      <c r="Q84" s="92">
        <f t="shared" si="114"/>
        <v>5.0849999999999982</v>
      </c>
      <c r="R84" s="92">
        <f t="shared" si="114"/>
        <v>5.2649999999999979</v>
      </c>
      <c r="S84" s="92">
        <f t="shared" si="114"/>
        <v>5.4449999999999976</v>
      </c>
      <c r="T84" s="92">
        <f t="shared" si="114"/>
        <v>5.6249999999999973</v>
      </c>
      <c r="U84" s="92">
        <f t="shared" si="114"/>
        <v>5.8049999999999971</v>
      </c>
      <c r="V84" s="92">
        <f t="shared" si="114"/>
        <v>5.9849999999999968</v>
      </c>
      <c r="W84" s="92">
        <f t="shared" si="114"/>
        <v>6.1649999999999965</v>
      </c>
      <c r="X84" s="92">
        <f t="shared" si="114"/>
        <v>6.3449999999999962</v>
      </c>
      <c r="Y84" s="92">
        <f t="shared" si="114"/>
        <v>6.5249999999999959</v>
      </c>
      <c r="Z84" s="92">
        <f t="shared" si="114"/>
        <v>6.7049999999999956</v>
      </c>
      <c r="AA84" s="92">
        <f t="shared" si="114"/>
        <v>6.8849999999999953</v>
      </c>
      <c r="AB84" s="92">
        <f t="shared" si="114"/>
        <v>7.0649999999999951</v>
      </c>
      <c r="AC84" s="92">
        <f t="shared" si="114"/>
        <v>7.2449999999999948</v>
      </c>
      <c r="AD84" s="92">
        <f t="shared" si="114"/>
        <v>7.4249999999999945</v>
      </c>
      <c r="AE84" s="92">
        <f t="shared" si="114"/>
        <v>7.6049999999999942</v>
      </c>
      <c r="AF84" s="92">
        <f t="shared" si="114"/>
        <v>7.7849999999999939</v>
      </c>
      <c r="AG84" s="92">
        <f t="shared" si="114"/>
        <v>7.9649999999999936</v>
      </c>
      <c r="AH84" s="92">
        <f t="shared" si="114"/>
        <v>8.1449999999999942</v>
      </c>
      <c r="AI84" s="92">
        <f t="shared" si="114"/>
        <v>8.324999999999994</v>
      </c>
      <c r="AJ84" s="92">
        <f t="shared" si="114"/>
        <v>8.5049999999999937</v>
      </c>
      <c r="AK84" s="92">
        <f t="shared" si="114"/>
        <v>8.6849999999999934</v>
      </c>
      <c r="AL84" s="92">
        <f t="shared" si="114"/>
        <v>8.8649999999999931</v>
      </c>
      <c r="AM84" s="92">
        <f t="shared" si="114"/>
        <v>9.0449999999999928</v>
      </c>
      <c r="AN84" s="92">
        <f t="shared" si="114"/>
        <v>9.2249999999999925</v>
      </c>
      <c r="AO84" s="92">
        <f t="shared" si="114"/>
        <v>9.4049999999999923</v>
      </c>
      <c r="AP84" s="92">
        <f t="shared" si="114"/>
        <v>9.584999999999992</v>
      </c>
      <c r="AQ84" s="92">
        <f t="shared" si="114"/>
        <v>9.7649999999999917</v>
      </c>
      <c r="AR84" s="92">
        <f t="shared" si="114"/>
        <v>9.9449999999999914</v>
      </c>
    </row>
    <row r="85" spans="1:44" ht="15" x14ac:dyDescent="0.25">
      <c r="A85" s="2"/>
      <c r="B85" s="1" t="s">
        <v>266</v>
      </c>
      <c r="C85" s="76" t="s">
        <v>267</v>
      </c>
      <c r="D85" s="92">
        <f>Inputs!$E$33</f>
        <v>1000</v>
      </c>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44" ht="15" x14ac:dyDescent="0.25">
      <c r="A86" s="2"/>
      <c r="B86" s="1" t="s">
        <v>268</v>
      </c>
      <c r="C86" s="76" t="s">
        <v>269</v>
      </c>
      <c r="D86" s="92">
        <f>Inputs!$E$32</f>
        <v>365</v>
      </c>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44" ht="15" x14ac:dyDescent="0.25">
      <c r="A87" s="2"/>
      <c r="B87" s="1" t="s">
        <v>265</v>
      </c>
      <c r="C87" s="76" t="s">
        <v>978</v>
      </c>
      <c r="D87" s="92">
        <f>SUM(F87:AR87)</f>
        <v>86.559749999999937</v>
      </c>
      <c r="F87" s="92">
        <f t="shared" ref="F87" si="115">F84*$D86/$D85</f>
        <v>0</v>
      </c>
      <c r="G87" s="92">
        <f t="shared" ref="G87" si="116">G84*$D86/$D85</f>
        <v>0</v>
      </c>
      <c r="H87" s="92">
        <f t="shared" ref="H87" si="117">H84*$D86/$D85</f>
        <v>0</v>
      </c>
      <c r="I87" s="92">
        <f t="shared" ref="I87" si="118">I84*$D86/$D85</f>
        <v>0</v>
      </c>
      <c r="J87" s="92">
        <f t="shared" ref="J87" si="119">J84*$D86/$D85</f>
        <v>0</v>
      </c>
      <c r="K87" s="92">
        <f t="shared" ref="K87" si="120">K84*$D86/$D85</f>
        <v>1.4618250000000002</v>
      </c>
      <c r="L87" s="92">
        <f t="shared" ref="L87" si="121">L84*$D86/$D85</f>
        <v>1.5275249999999998</v>
      </c>
      <c r="M87" s="92">
        <f t="shared" ref="M87" si="122">M84*$D86/$D85</f>
        <v>1.5932249999999997</v>
      </c>
      <c r="N87" s="92">
        <f t="shared" ref="N87" si="123">N84*$D86/$D85</f>
        <v>1.6589249999999998</v>
      </c>
      <c r="O87" s="92">
        <f t="shared" ref="O87" si="124">O84*$D86/$D85</f>
        <v>1.7246249999999996</v>
      </c>
      <c r="P87" s="92">
        <f t="shared" ref="P87" si="125">P84*$D86/$D85</f>
        <v>1.7903249999999993</v>
      </c>
      <c r="Q87" s="92">
        <f t="shared" ref="Q87" si="126">Q84*$D86/$D85</f>
        <v>1.8560249999999994</v>
      </c>
      <c r="R87" s="92">
        <f t="shared" ref="R87" si="127">R84*$D86/$D85</f>
        <v>1.9217249999999992</v>
      </c>
      <c r="S87" s="92">
        <f t="shared" ref="S87" si="128">S84*$D86/$D85</f>
        <v>1.9874249999999991</v>
      </c>
      <c r="T87" s="92">
        <f t="shared" ref="T87" si="129">T84*$D86/$D85</f>
        <v>2.0531249999999992</v>
      </c>
      <c r="U87" s="92">
        <f t="shared" ref="U87" si="130">U84*$D86/$D85</f>
        <v>2.1188249999999988</v>
      </c>
      <c r="V87" s="92">
        <f t="shared" ref="V87" si="131">V84*$D86/$D85</f>
        <v>2.1845249999999989</v>
      </c>
      <c r="W87" s="92">
        <f t="shared" ref="W87" si="132">W84*$D86/$D85</f>
        <v>2.2502249999999986</v>
      </c>
      <c r="X87" s="92">
        <f t="shared" ref="X87" si="133">X84*$D86/$D85</f>
        <v>2.3159249999999987</v>
      </c>
      <c r="Y87" s="92">
        <f t="shared" ref="Y87" si="134">Y84*$D86/$D85</f>
        <v>2.3816249999999988</v>
      </c>
      <c r="Z87" s="92">
        <f t="shared" ref="Z87" si="135">Z84*$D86/$D85</f>
        <v>2.4473249999999984</v>
      </c>
      <c r="AA87" s="92">
        <f t="shared" ref="AA87" si="136">AA84*$D86/$D85</f>
        <v>2.5130249999999981</v>
      </c>
      <c r="AB87" s="92">
        <f t="shared" ref="AB87" si="137">AB84*$D86/$D85</f>
        <v>2.5787249999999982</v>
      </c>
      <c r="AC87" s="92">
        <f t="shared" ref="AC87" si="138">AC84*$D86/$D85</f>
        <v>2.6444249999999978</v>
      </c>
      <c r="AD87" s="92">
        <f t="shared" ref="AD87" si="139">AD84*$D86/$D85</f>
        <v>2.7101249999999983</v>
      </c>
      <c r="AE87" s="92">
        <f t="shared" ref="AE87" si="140">AE84*$D86/$D85</f>
        <v>2.775824999999998</v>
      </c>
      <c r="AF87" s="92">
        <f t="shared" ref="AF87" si="141">AF84*$D86/$D85</f>
        <v>2.8415249999999976</v>
      </c>
      <c r="AG87" s="92">
        <f t="shared" ref="AG87" si="142">AG84*$D86/$D85</f>
        <v>2.9072249999999977</v>
      </c>
      <c r="AH87" s="92">
        <f t="shared" ref="AH87" si="143">AH84*$D86/$D85</f>
        <v>2.9729249999999978</v>
      </c>
      <c r="AI87" s="92">
        <f t="shared" ref="AI87" si="144">AI84*$D86/$D85</f>
        <v>3.0386249999999979</v>
      </c>
      <c r="AJ87" s="92">
        <f t="shared" ref="AJ87" si="145">AJ84*$D86/$D85</f>
        <v>3.1043249999999976</v>
      </c>
      <c r="AK87" s="92">
        <f t="shared" ref="AK87" si="146">AK84*$D86/$D85</f>
        <v>3.1700249999999972</v>
      </c>
      <c r="AL87" s="92">
        <f t="shared" ref="AL87" si="147">AL84*$D86/$D85</f>
        <v>3.2357249999999977</v>
      </c>
      <c r="AM87" s="92">
        <f t="shared" ref="AM87" si="148">AM84*$D86/$D85</f>
        <v>3.3014249999999974</v>
      </c>
      <c r="AN87" s="92">
        <f t="shared" ref="AN87" si="149">AN84*$D86/$D85</f>
        <v>3.3671249999999975</v>
      </c>
      <c r="AO87" s="92">
        <f t="shared" ref="AO87" si="150">AO84*$D86/$D85</f>
        <v>3.4328249999999971</v>
      </c>
      <c r="AP87" s="92">
        <f t="shared" ref="AP87" si="151">AP84*$D86/$D85</f>
        <v>3.4985249999999968</v>
      </c>
      <c r="AQ87" s="92">
        <f t="shared" ref="AQ87" si="152">AQ84*$D86/$D85</f>
        <v>3.5642249999999973</v>
      </c>
      <c r="AR87" s="92">
        <f t="shared" ref="AR87" si="153">AR84*$D86/$D85</f>
        <v>3.629924999999997</v>
      </c>
    </row>
    <row r="88" spans="1:44" ht="15" x14ac:dyDescent="0.25">
      <c r="A88" s="2"/>
      <c r="C88" s="76"/>
      <c r="D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row>
    <row r="89" spans="1:44" ht="15" x14ac:dyDescent="0.25">
      <c r="B89" s="2" t="s">
        <v>270</v>
      </c>
      <c r="C89" s="76"/>
      <c r="D89" s="92"/>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row>
    <row r="90" spans="1:44" x14ac:dyDescent="0.2">
      <c r="B90" s="1" t="s">
        <v>271</v>
      </c>
      <c r="C90" s="76" t="s">
        <v>154</v>
      </c>
      <c r="D90" s="97">
        <f>Inputs!$E$76</f>
        <v>19.600000000000001</v>
      </c>
      <c r="F90" s="16">
        <f>IFERROR(HLOOKUP(F$7,Inputs!$H$126:$AJ$130,2),0)</f>
        <v>0</v>
      </c>
      <c r="G90" s="16">
        <f>IFERROR(HLOOKUP(G$7,Inputs!$H$126:$AJ$130,2),0)</f>
        <v>0</v>
      </c>
      <c r="H90" s="16">
        <f>IFERROR(HLOOKUP(H$7,Inputs!$H$126:$AJ$130,2),0)</f>
        <v>0</v>
      </c>
      <c r="I90" s="16">
        <f>IFERROR(HLOOKUP(I$7,Inputs!$H$126:$AJ$130,2),0)</f>
        <v>0</v>
      </c>
      <c r="J90" s="16">
        <f>IFERROR(HLOOKUP(J$7,Inputs!$H$126:$AJ$130,2),0)</f>
        <v>0</v>
      </c>
      <c r="K90" s="16">
        <f>IFERROR(HLOOKUP(K$7,Inputs!$H$126:$AJ$130,2),0)</f>
        <v>19800</v>
      </c>
      <c r="L90" s="16">
        <f>IFERROR(HLOOKUP(L$7,Inputs!$H$126:$AJ$130,2),0)</f>
        <v>20100</v>
      </c>
      <c r="M90" s="16">
        <f>IFERROR(HLOOKUP(M$7,Inputs!$H$126:$AJ$130,2),0)</f>
        <v>20300</v>
      </c>
      <c r="N90" s="16">
        <f>IFERROR(HLOOKUP(N$7,Inputs!$H$126:$AJ$130,2),0)</f>
        <v>20600</v>
      </c>
      <c r="O90" s="16">
        <f>IFERROR(HLOOKUP(O$7,Inputs!$H$126:$AJ$130,2),0)</f>
        <v>21000</v>
      </c>
      <c r="P90" s="16">
        <f>IFERROR(HLOOKUP(P$7,Inputs!$H$126:$AJ$130,2),0)</f>
        <v>21300</v>
      </c>
      <c r="Q90" s="16">
        <f>IFERROR(HLOOKUP(Q$7,Inputs!$H$126:$AJ$130,2),0)</f>
        <v>21700</v>
      </c>
      <c r="R90" s="16">
        <f>IFERROR(HLOOKUP(R$7,Inputs!$H$126:$AJ$130,2),0)</f>
        <v>22000</v>
      </c>
      <c r="S90" s="16">
        <f>IFERROR(HLOOKUP(S$7,Inputs!$H$126:$AJ$130,2),0)</f>
        <v>22000</v>
      </c>
      <c r="T90" s="16">
        <f>IFERROR(HLOOKUP(T$7,Inputs!$H$126:$AJ$130,2),0)</f>
        <v>22000</v>
      </c>
      <c r="U90" s="16">
        <f>IFERROR(HLOOKUP(U$7,Inputs!$H$126:$AJ$130,2),0)</f>
        <v>22000</v>
      </c>
      <c r="V90" s="16">
        <f>IFERROR(HLOOKUP(V$7,Inputs!$H$126:$AJ$130,2),0)</f>
        <v>22000</v>
      </c>
      <c r="W90" s="16">
        <f>IFERROR(HLOOKUP(W$7,Inputs!$H$126:$AJ$130,2),0)</f>
        <v>22000</v>
      </c>
      <c r="X90" s="16">
        <f>IFERROR(HLOOKUP(X$7,Inputs!$H$126:$AJ$130,2),0)</f>
        <v>22000</v>
      </c>
      <c r="Y90" s="16">
        <f>IFERROR(HLOOKUP(Y$7,Inputs!$H$126:$AJ$130,2),0)</f>
        <v>22000</v>
      </c>
      <c r="Z90" s="16">
        <f>IFERROR(HLOOKUP(Z$7,Inputs!$H$126:$AJ$130,2),0)</f>
        <v>22000</v>
      </c>
      <c r="AA90" s="16">
        <f>IFERROR(HLOOKUP(AA$7,Inputs!$H$126:$AJ$130,2),0)</f>
        <v>22000</v>
      </c>
      <c r="AB90" s="16">
        <f>IFERROR(HLOOKUP(AB$7,Inputs!$H$126:$AJ$130,2),0)</f>
        <v>22000</v>
      </c>
      <c r="AC90" s="16">
        <f>IFERROR(HLOOKUP(AC$7,Inputs!$H$126:$AJ$130,2),0)</f>
        <v>22000</v>
      </c>
      <c r="AD90" s="16">
        <f>IFERROR(HLOOKUP(AD$7,Inputs!$H$126:$AJ$130,2),0)</f>
        <v>22000</v>
      </c>
      <c r="AE90" s="16">
        <f>IFERROR(HLOOKUP(AE$7,Inputs!$H$126:$AJ$130,2),0)</f>
        <v>22000</v>
      </c>
      <c r="AF90" s="16">
        <f>IFERROR(HLOOKUP(AF$7,Inputs!$H$126:$AJ$130,2),0)</f>
        <v>22000</v>
      </c>
      <c r="AG90" s="16">
        <f>IFERROR(HLOOKUP(AG$7,Inputs!$H$126:$AJ$130,2),0)</f>
        <v>22000</v>
      </c>
      <c r="AH90" s="16">
        <f>IFERROR(HLOOKUP(AH$7,Inputs!$H$126:$AJ$130,2),0)</f>
        <v>22000</v>
      </c>
      <c r="AI90" s="16">
        <f>IFERROR(HLOOKUP(AI$7,Inputs!$H$126:$AJ$130,2),0)</f>
        <v>22000</v>
      </c>
      <c r="AJ90" s="16">
        <f>IFERROR(HLOOKUP(AJ$7,Inputs!$H$126:$AJ$130,2),0)</f>
        <v>22000</v>
      </c>
      <c r="AK90" s="16">
        <f>IFERROR(HLOOKUP(AK$7,Inputs!$H$126:$AJ$130,2),0)</f>
        <v>22000</v>
      </c>
      <c r="AL90" s="16">
        <f>IFERROR(HLOOKUP(AL$7,Inputs!$H$126:$AJ$130,2),0)</f>
        <v>22000</v>
      </c>
      <c r="AM90" s="16">
        <f>IFERROR(HLOOKUP(AM$7,Inputs!$H$126:$AJ$130,2),0)</f>
        <v>22000</v>
      </c>
      <c r="AN90" s="16">
        <f>IFERROR(HLOOKUP(AN$7,Inputs!$H$126:$AJ$130,2),0)</f>
        <v>22000</v>
      </c>
      <c r="AO90" s="16">
        <f>IFERROR(HLOOKUP(AO$7,Inputs!$H$126:$AJ$130,2),0)</f>
        <v>22000</v>
      </c>
      <c r="AP90" s="16">
        <f>IFERROR(HLOOKUP(AP$7,Inputs!$H$126:$AJ$130,2),0)</f>
        <v>22000</v>
      </c>
      <c r="AQ90" s="16">
        <f>IFERROR(HLOOKUP(AQ$7,Inputs!$H$126:$AJ$130,2),0)</f>
        <v>22000</v>
      </c>
      <c r="AR90" s="16">
        <f>IFERROR(HLOOKUP(AR$7,Inputs!$H$126:$AJ$130,2),0)</f>
        <v>22000</v>
      </c>
    </row>
    <row r="91" spans="1:44" ht="15" x14ac:dyDescent="0.25">
      <c r="A91" s="2"/>
      <c r="B91" s="1" t="s">
        <v>270</v>
      </c>
      <c r="C91" s="19" t="s">
        <v>272</v>
      </c>
      <c r="D91" s="16">
        <f>SUM(F91:AR91)</f>
        <v>1889630.5499999984</v>
      </c>
      <c r="F91" s="16">
        <f t="shared" ref="F91" si="154">F87*F90</f>
        <v>0</v>
      </c>
      <c r="G91" s="16">
        <f t="shared" ref="G91" si="155">G87*G90</f>
        <v>0</v>
      </c>
      <c r="H91" s="16">
        <f t="shared" ref="H91" si="156">H87*H90</f>
        <v>0</v>
      </c>
      <c r="I91" s="16">
        <f t="shared" ref="I91" si="157">I87*I90</f>
        <v>0</v>
      </c>
      <c r="J91" s="16">
        <f t="shared" ref="J91" si="158">J87*J90</f>
        <v>0</v>
      </c>
      <c r="K91" s="16">
        <f>K87*K90</f>
        <v>28944.135000000002</v>
      </c>
      <c r="L91" s="16">
        <f t="shared" ref="L91" si="159">L87*L90</f>
        <v>30703.252499999995</v>
      </c>
      <c r="M91" s="16">
        <f t="shared" ref="M91" si="160">M87*M90</f>
        <v>32342.467499999992</v>
      </c>
      <c r="N91" s="16">
        <f t="shared" ref="N91" si="161">N87*N90</f>
        <v>34173.854999999996</v>
      </c>
      <c r="O91" s="16">
        <f t="shared" ref="O91" si="162">O87*O90</f>
        <v>36217.124999999993</v>
      </c>
      <c r="P91" s="16">
        <f t="shared" ref="P91" si="163">P87*P90</f>
        <v>38133.922499999986</v>
      </c>
      <c r="Q91" s="16">
        <f t="shared" ref="Q91" si="164">Q87*Q90</f>
        <v>40275.742499999986</v>
      </c>
      <c r="R91" s="16">
        <f t="shared" ref="R91" si="165">R87*R90</f>
        <v>42277.949999999983</v>
      </c>
      <c r="S91" s="16">
        <f t="shared" ref="S91" si="166">S87*S90</f>
        <v>43723.349999999984</v>
      </c>
      <c r="T91" s="16">
        <f t="shared" ref="T91" si="167">T87*T90</f>
        <v>45168.749999999985</v>
      </c>
      <c r="U91" s="16">
        <f t="shared" ref="U91" si="168">U87*U90</f>
        <v>46614.149999999972</v>
      </c>
      <c r="V91" s="16">
        <f t="shared" ref="V91" si="169">V87*V90</f>
        <v>48059.549999999974</v>
      </c>
      <c r="W91" s="16">
        <f t="shared" ref="W91" si="170">W87*W90</f>
        <v>49504.949999999968</v>
      </c>
      <c r="X91" s="16">
        <f t="shared" ref="X91" si="171">X87*X90</f>
        <v>50950.349999999969</v>
      </c>
      <c r="Y91" s="16">
        <f t="shared" ref="Y91" si="172">Y87*Y90</f>
        <v>52395.749999999971</v>
      </c>
      <c r="Z91" s="16">
        <f t="shared" ref="Z91" si="173">Z87*Z90</f>
        <v>53841.149999999965</v>
      </c>
      <c r="AA91" s="16">
        <f t="shared" ref="AA91" si="174">AA87*AA90</f>
        <v>55286.549999999959</v>
      </c>
      <c r="AB91" s="16">
        <f t="shared" ref="AB91" si="175">AB87*AB90</f>
        <v>56731.949999999961</v>
      </c>
      <c r="AC91" s="16">
        <f t="shared" ref="AC91" si="176">AC87*AC90</f>
        <v>58177.349999999955</v>
      </c>
      <c r="AD91" s="16">
        <f t="shared" ref="AD91" si="177">AD87*AD90</f>
        <v>59622.749999999964</v>
      </c>
      <c r="AE91" s="16">
        <f t="shared" ref="AE91" si="178">AE87*AE90</f>
        <v>61068.149999999958</v>
      </c>
      <c r="AF91" s="16">
        <f t="shared" ref="AF91" si="179">AF87*AF90</f>
        <v>62513.549999999945</v>
      </c>
      <c r="AG91" s="16">
        <f t="shared" ref="AG91" si="180">AG87*AG90</f>
        <v>63958.949999999953</v>
      </c>
      <c r="AH91" s="16">
        <f t="shared" ref="AH91" si="181">AH87*AH90</f>
        <v>65404.349999999955</v>
      </c>
      <c r="AI91" s="16">
        <f t="shared" ref="AI91" si="182">AI87*AI90</f>
        <v>66849.749999999956</v>
      </c>
      <c r="AJ91" s="16">
        <f t="shared" ref="AJ91" si="183">AJ87*AJ90</f>
        <v>68295.149999999951</v>
      </c>
      <c r="AK91" s="16">
        <f t="shared" ref="AK91" si="184">AK87*AK90</f>
        <v>69740.549999999945</v>
      </c>
      <c r="AL91" s="16">
        <f t="shared" ref="AL91" si="185">AL87*AL90</f>
        <v>71185.949999999953</v>
      </c>
      <c r="AM91" s="16">
        <f t="shared" ref="AM91" si="186">AM87*AM90</f>
        <v>72631.349999999948</v>
      </c>
      <c r="AN91" s="16">
        <f t="shared" ref="AN91" si="187">AN87*AN90</f>
        <v>74076.749999999942</v>
      </c>
      <c r="AO91" s="16">
        <f t="shared" ref="AO91" si="188">AO87*AO90</f>
        <v>75522.149999999936</v>
      </c>
      <c r="AP91" s="16">
        <f t="shared" ref="AP91" si="189">AP87*AP90</f>
        <v>76967.54999999993</v>
      </c>
      <c r="AQ91" s="16">
        <f t="shared" ref="AQ91" si="190">AQ87*AQ90</f>
        <v>78412.949999999939</v>
      </c>
      <c r="AR91" s="16">
        <f t="shared" ref="AR91" si="191">AR87*AR90</f>
        <v>79858.349999999933</v>
      </c>
    </row>
    <row r="92" spans="1:44" x14ac:dyDescent="0.2">
      <c r="C92" s="19"/>
      <c r="D92" s="75"/>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row>
    <row r="93" spans="1:44" ht="15" x14ac:dyDescent="0.25">
      <c r="A93" s="2" t="s">
        <v>261</v>
      </c>
      <c r="C93" s="76"/>
      <c r="D93" s="75"/>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row>
    <row r="94" spans="1:44" x14ac:dyDescent="0.2">
      <c r="B94" s="1" t="s">
        <v>262</v>
      </c>
      <c r="C94" s="19" t="s">
        <v>252</v>
      </c>
      <c r="D94" s="75">
        <f>SUM(F94:AR94)</f>
        <v>2025616.3414361018</v>
      </c>
      <c r="F94" s="16">
        <f>F74+F91</f>
        <v>0</v>
      </c>
      <c r="G94" s="16">
        <f t="shared" ref="G94:AR94" si="192">G74+G91</f>
        <v>0</v>
      </c>
      <c r="H94" s="16">
        <f t="shared" si="192"/>
        <v>0</v>
      </c>
      <c r="I94" s="16">
        <f t="shared" si="192"/>
        <v>0</v>
      </c>
      <c r="J94" s="16">
        <f t="shared" si="192"/>
        <v>0</v>
      </c>
      <c r="K94" s="16">
        <f t="shared" si="192"/>
        <v>30660.877410871981</v>
      </c>
      <c r="L94" s="16">
        <f t="shared" si="192"/>
        <v>32532.366229992407</v>
      </c>
      <c r="M94" s="16">
        <f t="shared" si="192"/>
        <v>34286.979845390568</v>
      </c>
      <c r="N94" s="16">
        <f t="shared" si="192"/>
        <v>36227.242616987452</v>
      </c>
      <c r="O94" s="16">
        <f t="shared" si="192"/>
        <v>38391.58741290636</v>
      </c>
      <c r="P94" s="16">
        <f t="shared" si="192"/>
        <v>40432.487005102994</v>
      </c>
      <c r="Q94" s="16">
        <f t="shared" si="192"/>
        <v>42690.750517394197</v>
      </c>
      <c r="R94" s="16">
        <f t="shared" si="192"/>
        <v>44822.736290111578</v>
      </c>
      <c r="S94" s="16">
        <f t="shared" si="192"/>
        <v>46400.941859106693</v>
      </c>
      <c r="T94" s="16">
        <f t="shared" si="192"/>
        <v>47970.353612092229</v>
      </c>
      <c r="U94" s="16">
        <f t="shared" si="192"/>
        <v>49554.235361608073</v>
      </c>
      <c r="V94" s="16">
        <f t="shared" si="192"/>
        <v>51141.144407401654</v>
      </c>
      <c r="W94" s="16">
        <f t="shared" si="192"/>
        <v>52718.124401081513</v>
      </c>
      <c r="X94" s="16">
        <f t="shared" si="192"/>
        <v>54310.709627395838</v>
      </c>
      <c r="Y94" s="16">
        <f t="shared" si="192"/>
        <v>55906.3221499879</v>
      </c>
      <c r="Z94" s="16">
        <f t="shared" si="192"/>
        <v>57490.870384362082</v>
      </c>
      <c r="AA94" s="16">
        <f t="shared" si="192"/>
        <v>59092.15908747488</v>
      </c>
      <c r="AB94" s="16">
        <f t="shared" si="192"/>
        <v>60696.475086865416</v>
      </c>
      <c r="AC94" s="16">
        <f t="shared" si="192"/>
        <v>62303.818382533675</v>
      </c>
      <c r="AD94" s="16">
        <f t="shared" si="192"/>
        <v>63914.188974479679</v>
      </c>
      <c r="AE94" s="16">
        <f t="shared" si="192"/>
        <v>65527.586862703392</v>
      </c>
      <c r="AF94" s="16">
        <f t="shared" si="192"/>
        <v>67144.012047204829</v>
      </c>
      <c r="AG94" s="16">
        <f t="shared" si="192"/>
        <v>68763.464527984033</v>
      </c>
      <c r="AH94" s="16">
        <f t="shared" si="192"/>
        <v>70385.944305040946</v>
      </c>
      <c r="AI94" s="16">
        <f t="shared" si="192"/>
        <v>72028.948671183651</v>
      </c>
      <c r="AJ94" s="16">
        <f t="shared" si="192"/>
        <v>73657.861452830737</v>
      </c>
      <c r="AK94" s="16">
        <f t="shared" si="192"/>
        <v>75289.801530755547</v>
      </c>
      <c r="AL94" s="16">
        <f t="shared" si="192"/>
        <v>76924.768904958109</v>
      </c>
      <c r="AM94" s="16">
        <f t="shared" si="192"/>
        <v>78486.719811650706</v>
      </c>
      <c r="AN94" s="16">
        <f t="shared" si="192"/>
        <v>80048.670718343317</v>
      </c>
      <c r="AO94" s="16">
        <f t="shared" si="192"/>
        <v>81610.621625035914</v>
      </c>
      <c r="AP94" s="16">
        <f t="shared" si="192"/>
        <v>83172.572531728525</v>
      </c>
      <c r="AQ94" s="16">
        <f t="shared" si="192"/>
        <v>84734.523438421136</v>
      </c>
      <c r="AR94" s="16">
        <f t="shared" si="192"/>
        <v>86296.474345113747</v>
      </c>
    </row>
    <row r="95" spans="1:44" x14ac:dyDescent="0.2">
      <c r="C95" s="12"/>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row>
    <row r="96" spans="1:44" s="9" customFormat="1" x14ac:dyDescent="0.2">
      <c r="A96" s="8" t="s">
        <v>238</v>
      </c>
      <c r="B96" s="8"/>
      <c r="C96" s="13"/>
    </row>
    <row r="97" spans="1:44" ht="15" x14ac:dyDescent="0.25">
      <c r="A97" s="2" t="s">
        <v>239</v>
      </c>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row>
    <row r="98" spans="1:44" x14ac:dyDescent="0.2">
      <c r="B98" s="1" t="s">
        <v>209</v>
      </c>
      <c r="C98" s="76" t="s">
        <v>72</v>
      </c>
      <c r="D98" s="75">
        <f>SUM(F98:AR98)</f>
        <v>379253.07140232308</v>
      </c>
      <c r="F98" s="16">
        <f t="shared" ref="F98:AR98" si="193">(F$56-F$94)*F$11*F15</f>
        <v>0</v>
      </c>
      <c r="G98" s="16">
        <f t="shared" si="193"/>
        <v>0</v>
      </c>
      <c r="H98" s="16">
        <f t="shared" si="193"/>
        <v>0</v>
      </c>
      <c r="I98" s="16">
        <f t="shared" si="193"/>
        <v>0</v>
      </c>
      <c r="J98" s="16">
        <f t="shared" si="193"/>
        <v>0</v>
      </c>
      <c r="K98" s="16">
        <f t="shared" si="193"/>
        <v>0</v>
      </c>
      <c r="L98" s="16">
        <f t="shared" si="193"/>
        <v>0</v>
      </c>
      <c r="M98" s="16">
        <f t="shared" si="193"/>
        <v>0</v>
      </c>
      <c r="N98" s="16">
        <f t="shared" si="193"/>
        <v>0</v>
      </c>
      <c r="O98" s="16">
        <f t="shared" si="193"/>
        <v>9194.3921645226583</v>
      </c>
      <c r="P98" s="16">
        <f t="shared" si="193"/>
        <v>10268.54650430171</v>
      </c>
      <c r="Q98" s="16">
        <f t="shared" si="193"/>
        <v>11416.384642276935</v>
      </c>
      <c r="R98" s="16">
        <f t="shared" si="193"/>
        <v>12548.287455253383</v>
      </c>
      <c r="S98" s="16">
        <f t="shared" si="193"/>
        <v>13533.210649587301</v>
      </c>
      <c r="T98" s="16">
        <f t="shared" si="193"/>
        <v>14516.472295303989</v>
      </c>
      <c r="U98" s="16">
        <f t="shared" si="193"/>
        <v>15504.989071530981</v>
      </c>
      <c r="V98" s="16">
        <f t="shared" si="193"/>
        <v>16495.42242476761</v>
      </c>
      <c r="W98" s="16">
        <f t="shared" si="193"/>
        <v>17483.475513008379</v>
      </c>
      <c r="X98" s="16">
        <f t="shared" si="193"/>
        <v>18477.502448138061</v>
      </c>
      <c r="Y98" s="16">
        <f t="shared" si="193"/>
        <v>19473.445960277357</v>
      </c>
      <c r="Z98" s="16">
        <f t="shared" si="193"/>
        <v>20466.290491042229</v>
      </c>
      <c r="AA98" s="16">
        <f t="shared" si="193"/>
        <v>21465.827585074599</v>
      </c>
      <c r="AB98" s="16">
        <f t="shared" si="193"/>
        <v>22467.281256116599</v>
      </c>
      <c r="AC98" s="16">
        <f t="shared" si="193"/>
        <v>23470.651504168258</v>
      </c>
      <c r="AD98" s="16">
        <f t="shared" si="193"/>
        <v>24475.93832922951</v>
      </c>
      <c r="AE98" s="16">
        <f t="shared" si="193"/>
        <v>25483.14173130042</v>
      </c>
      <c r="AF98" s="16">
        <f t="shared" si="193"/>
        <v>26492.261710381004</v>
      </c>
      <c r="AG98" s="16">
        <f t="shared" si="193"/>
        <v>27503.298266471145</v>
      </c>
      <c r="AH98" s="16">
        <f t="shared" si="193"/>
        <v>28516.251399570945</v>
      </c>
      <c r="AI98" s="16">
        <f t="shared" si="193"/>
        <v>0</v>
      </c>
      <c r="AJ98" s="16">
        <f t="shared" si="193"/>
        <v>0</v>
      </c>
      <c r="AK98" s="16">
        <f t="shared" si="193"/>
        <v>0</v>
      </c>
      <c r="AL98" s="16">
        <f t="shared" si="193"/>
        <v>0</v>
      </c>
      <c r="AM98" s="16">
        <f t="shared" si="193"/>
        <v>0</v>
      </c>
      <c r="AN98" s="16">
        <f t="shared" si="193"/>
        <v>0</v>
      </c>
      <c r="AO98" s="16">
        <f t="shared" si="193"/>
        <v>0</v>
      </c>
      <c r="AP98" s="16">
        <f t="shared" si="193"/>
        <v>0</v>
      </c>
      <c r="AQ98" s="16">
        <f t="shared" si="193"/>
        <v>0</v>
      </c>
      <c r="AR98" s="16">
        <f t="shared" si="193"/>
        <v>0</v>
      </c>
    </row>
    <row r="99" spans="1:44" x14ac:dyDescent="0.2">
      <c r="B99" s="1" t="str">
        <f>Inputs!$C$30</f>
        <v>2% Discount Factor</v>
      </c>
      <c r="C99" s="76" t="s">
        <v>72</v>
      </c>
      <c r="D99" s="75">
        <f>SUM(F99:AR99)</f>
        <v>271042.48757165071</v>
      </c>
      <c r="F99" s="16">
        <f>(F$56-F$94)*F$11*F16</f>
        <v>0</v>
      </c>
      <c r="G99" s="16">
        <f t="shared" ref="G99:AR99" si="194">(G$56-G$94)*G$11*G16</f>
        <v>0</v>
      </c>
      <c r="H99" s="16">
        <f t="shared" si="194"/>
        <v>0</v>
      </c>
      <c r="I99" s="16">
        <f t="shared" si="194"/>
        <v>0</v>
      </c>
      <c r="J99" s="16">
        <f t="shared" si="194"/>
        <v>0</v>
      </c>
      <c r="K99" s="16">
        <f t="shared" si="194"/>
        <v>0</v>
      </c>
      <c r="L99" s="16">
        <f t="shared" si="194"/>
        <v>0</v>
      </c>
      <c r="M99" s="16">
        <f t="shared" si="194"/>
        <v>0</v>
      </c>
      <c r="N99" s="16">
        <f t="shared" si="194"/>
        <v>0</v>
      </c>
      <c r="O99" s="16">
        <f t="shared" si="194"/>
        <v>8164.3571186930785</v>
      </c>
      <c r="P99" s="16">
        <f t="shared" si="194"/>
        <v>8939.387678890178</v>
      </c>
      <c r="Q99" s="16">
        <f t="shared" si="194"/>
        <v>9743.7743659860298</v>
      </c>
      <c r="R99" s="16">
        <f t="shared" si="194"/>
        <v>10499.845605867089</v>
      </c>
      <c r="S99" s="16">
        <f t="shared" si="194"/>
        <v>11101.946348241288</v>
      </c>
      <c r="T99" s="16">
        <f t="shared" si="194"/>
        <v>11675.062125134729</v>
      </c>
      <c r="U99" s="16">
        <f t="shared" si="194"/>
        <v>12225.578070370342</v>
      </c>
      <c r="V99" s="16">
        <f t="shared" si="194"/>
        <v>12751.498049280275</v>
      </c>
      <c r="W99" s="16">
        <f t="shared" si="194"/>
        <v>13250.289434309983</v>
      </c>
      <c r="X99" s="16">
        <f t="shared" si="194"/>
        <v>13729.056492365504</v>
      </c>
      <c r="Y99" s="16">
        <f t="shared" si="194"/>
        <v>14185.35018835441</v>
      </c>
      <c r="Z99" s="16">
        <f t="shared" si="194"/>
        <v>14616.258461234465</v>
      </c>
      <c r="AA99" s="16">
        <f t="shared" si="194"/>
        <v>15029.500425085667</v>
      </c>
      <c r="AB99" s="16">
        <f t="shared" si="194"/>
        <v>15422.232942607316</v>
      </c>
      <c r="AC99" s="16">
        <f t="shared" si="194"/>
        <v>15795.075631674754</v>
      </c>
      <c r="AD99" s="16">
        <f t="shared" si="194"/>
        <v>16148.632202443325</v>
      </c>
      <c r="AE99" s="16">
        <f t="shared" si="194"/>
        <v>16483.490833040007</v>
      </c>
      <c r="AF99" s="16">
        <f t="shared" si="194"/>
        <v>16800.224536832233</v>
      </c>
      <c r="AG99" s="16">
        <f t="shared" si="194"/>
        <v>17099.391521456291</v>
      </c>
      <c r="AH99" s="16">
        <f t="shared" si="194"/>
        <v>17381.535539783745</v>
      </c>
      <c r="AI99" s="16">
        <f t="shared" si="194"/>
        <v>0</v>
      </c>
      <c r="AJ99" s="16">
        <f t="shared" si="194"/>
        <v>0</v>
      </c>
      <c r="AK99" s="16">
        <f t="shared" si="194"/>
        <v>0</v>
      </c>
      <c r="AL99" s="16">
        <f t="shared" si="194"/>
        <v>0</v>
      </c>
      <c r="AM99" s="16">
        <f t="shared" si="194"/>
        <v>0</v>
      </c>
      <c r="AN99" s="16">
        <f t="shared" si="194"/>
        <v>0</v>
      </c>
      <c r="AO99" s="16">
        <f t="shared" si="194"/>
        <v>0</v>
      </c>
      <c r="AP99" s="16">
        <f t="shared" si="194"/>
        <v>0</v>
      </c>
      <c r="AQ99" s="16">
        <f t="shared" si="194"/>
        <v>0</v>
      </c>
      <c r="AR99" s="16">
        <f t="shared" si="194"/>
        <v>0</v>
      </c>
    </row>
    <row r="100" spans="1:44" x14ac:dyDescent="0.2">
      <c r="B100" s="1" t="str">
        <f>Inputs!$C$31</f>
        <v>3.1% Discount Factor</v>
      </c>
      <c r="C100" s="76" t="s">
        <v>72</v>
      </c>
      <c r="D100" s="75">
        <f>SUM(F100:AR100)</f>
        <v>229950.02900390135</v>
      </c>
      <c r="F100" s="16">
        <f t="shared" ref="F100:N100" si="195">(F$36-F$74)*F$11*F16 + (F$53-F$91)*F$11*F17</f>
        <v>0</v>
      </c>
      <c r="G100" s="16">
        <f t="shared" si="195"/>
        <v>0</v>
      </c>
      <c r="H100" s="16">
        <f t="shared" si="195"/>
        <v>0</v>
      </c>
      <c r="I100" s="16">
        <f t="shared" si="195"/>
        <v>0</v>
      </c>
      <c r="J100" s="16">
        <f t="shared" si="195"/>
        <v>0</v>
      </c>
      <c r="K100" s="16">
        <f t="shared" si="195"/>
        <v>0</v>
      </c>
      <c r="L100" s="16">
        <f t="shared" si="195"/>
        <v>0</v>
      </c>
      <c r="M100" s="16">
        <f t="shared" si="195"/>
        <v>0</v>
      </c>
      <c r="N100" s="16">
        <f t="shared" si="195"/>
        <v>0</v>
      </c>
      <c r="O100" s="16">
        <f>(O$36-O$74)*O$11*O16 + (O$53-O$91)*O$11*O17</f>
        <v>7684.3077121651286</v>
      </c>
      <c r="P100" s="16">
        <f t="shared" ref="P100:AR100" si="196">(P$36-P$74)*P$11*P16 + (P$53-P$91)*P$11*P17</f>
        <v>8329.5355141039418</v>
      </c>
      <c r="Q100" s="16">
        <f t="shared" si="196"/>
        <v>8987.8625250612204</v>
      </c>
      <c r="R100" s="16">
        <f t="shared" si="196"/>
        <v>9588.4751005887192</v>
      </c>
      <c r="S100" s="16">
        <f t="shared" si="196"/>
        <v>10037.91819219902</v>
      </c>
      <c r="T100" s="16">
        <f t="shared" si="196"/>
        <v>10451.568691320461</v>
      </c>
      <c r="U100" s="16">
        <f t="shared" si="196"/>
        <v>10836.606511829379</v>
      </c>
      <c r="V100" s="16">
        <f t="shared" si="196"/>
        <v>11191.785421274686</v>
      </c>
      <c r="W100" s="16">
        <f t="shared" si="196"/>
        <v>11515.279828561981</v>
      </c>
      <c r="X100" s="16">
        <f t="shared" si="196"/>
        <v>11814.860102951128</v>
      </c>
      <c r="Y100" s="16">
        <f t="shared" si="196"/>
        <v>12088.704231823807</v>
      </c>
      <c r="Z100" s="16">
        <f t="shared" si="196"/>
        <v>12334.489876432517</v>
      </c>
      <c r="AA100" s="16">
        <f t="shared" si="196"/>
        <v>12560.490280941394</v>
      </c>
      <c r="AB100" s="16">
        <f t="shared" si="196"/>
        <v>12764.382484854108</v>
      </c>
      <c r="AC100" s="16">
        <f t="shared" si="196"/>
        <v>12947.273902060911</v>
      </c>
      <c r="AD100" s="16">
        <f t="shared" si="196"/>
        <v>13110.225166496259</v>
      </c>
      <c r="AE100" s="16">
        <f t="shared" si="196"/>
        <v>13254.251954861158</v>
      </c>
      <c r="AF100" s="16">
        <f t="shared" si="196"/>
        <v>13380.326741726829</v>
      </c>
      <c r="AG100" s="16">
        <f t="shared" si="196"/>
        <v>13489.38048944482</v>
      </c>
      <c r="AH100" s="16">
        <f t="shared" si="196"/>
        <v>13582.304275203853</v>
      </c>
      <c r="AI100" s="16">
        <f t="shared" si="196"/>
        <v>0</v>
      </c>
      <c r="AJ100" s="16">
        <f t="shared" si="196"/>
        <v>0</v>
      </c>
      <c r="AK100" s="16">
        <f t="shared" si="196"/>
        <v>0</v>
      </c>
      <c r="AL100" s="16">
        <f t="shared" si="196"/>
        <v>0</v>
      </c>
      <c r="AM100" s="16">
        <f t="shared" si="196"/>
        <v>0</v>
      </c>
      <c r="AN100" s="16">
        <f t="shared" si="196"/>
        <v>0</v>
      </c>
      <c r="AO100" s="16">
        <f t="shared" si="196"/>
        <v>0</v>
      </c>
      <c r="AP100" s="16">
        <f t="shared" si="196"/>
        <v>0</v>
      </c>
      <c r="AQ100" s="16">
        <f t="shared" si="196"/>
        <v>0</v>
      </c>
      <c r="AR100" s="16">
        <f t="shared" si="196"/>
        <v>0</v>
      </c>
    </row>
    <row r="101" spans="1:44" x14ac:dyDescent="0.2">
      <c r="B101" s="46" t="s">
        <v>830</v>
      </c>
      <c r="C101" s="76"/>
      <c r="D101" s="75"/>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ADC5-6802-4CCC-8FCB-5ED05BFD5E0D}">
  <sheetPr>
    <tabColor theme="9"/>
  </sheetPr>
  <dimension ref="A1:AS79"/>
  <sheetViews>
    <sheetView workbookViewId="0">
      <pane xSplit="4" ySplit="7" topLeftCell="E17" activePane="bottomRight" state="frozen"/>
      <selection pane="topRight" activeCell="E1" sqref="E1"/>
      <selection pane="bottomLeft" activeCell="A8" sqref="A8"/>
      <selection pane="bottomRight" activeCell="C3" sqref="C3:D3"/>
    </sheetView>
  </sheetViews>
  <sheetFormatPr defaultColWidth="0" defaultRowHeight="14.25" x14ac:dyDescent="0.2"/>
  <cols>
    <col min="1" max="1" width="10" style="1" customWidth="1"/>
    <col min="2" max="2" width="37.85546875" style="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273</v>
      </c>
      <c r="C2" s="12"/>
    </row>
    <row r="3" spans="1:44" x14ac:dyDescent="0.2">
      <c r="A3" s="45">
        <f ca="1">Summary!A3</f>
        <v>45345</v>
      </c>
      <c r="C3" s="449" t="s">
        <v>997</v>
      </c>
      <c r="D3" s="450">
        <f>Summary!$E$9</f>
        <v>2.0575994382092198</v>
      </c>
    </row>
    <row r="4" spans="1:44" x14ac:dyDescent="0.2">
      <c r="A4" s="46" t="str">
        <f>Summary!A4</f>
        <v>All $ values 2022, unless otherwise noted</v>
      </c>
      <c r="C4" s="12"/>
    </row>
    <row r="5" spans="1:44" x14ac:dyDescent="0.2">
      <c r="B5" s="59"/>
      <c r="C5" s="12"/>
    </row>
    <row r="6" spans="1:44" x14ac:dyDescent="0.2">
      <c r="C6" s="1" t="s">
        <v>38</v>
      </c>
      <c r="D6" s="1" t="s">
        <v>39</v>
      </c>
    </row>
    <row r="7" spans="1:44" s="9" customFormat="1" x14ac:dyDescent="0.2">
      <c r="A7" s="9" t="s">
        <v>192</v>
      </c>
      <c r="C7" s="13"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2"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2"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2"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2"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2"/>
    </row>
    <row r="13" spans="1:44" x14ac:dyDescent="0.2">
      <c r="B13" s="1" t="s">
        <v>199</v>
      </c>
      <c r="C13" s="12"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2"/>
    </row>
    <row r="15" spans="1:44" x14ac:dyDescent="0.2">
      <c r="B15" s="1" t="s">
        <v>59</v>
      </c>
      <c r="C15" s="12"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2"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2"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9" spans="1:44" x14ac:dyDescent="0.2">
      <c r="B19" s="1" t="s">
        <v>200</v>
      </c>
      <c r="C19" s="1" t="s">
        <v>38</v>
      </c>
      <c r="D19" s="1" t="s">
        <v>39</v>
      </c>
    </row>
    <row r="20" spans="1:44" s="9" customFormat="1" x14ac:dyDescent="0.2">
      <c r="A20" s="8" t="s">
        <v>201</v>
      </c>
    </row>
    <row r="21" spans="1:44" ht="15" x14ac:dyDescent="0.25">
      <c r="A21" s="2" t="s">
        <v>274</v>
      </c>
    </row>
    <row r="22" spans="1:44" ht="15" x14ac:dyDescent="0.25">
      <c r="B22" s="2" t="s">
        <v>275</v>
      </c>
      <c r="C22" s="76"/>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x14ac:dyDescent="0.2">
      <c r="B23" s="1" t="s">
        <v>276</v>
      </c>
      <c r="C23" s="76" t="s">
        <v>160</v>
      </c>
      <c r="D23" s="92">
        <f>Inputs!$E$133</f>
        <v>345</v>
      </c>
      <c r="F23" s="96">
        <f t="shared" ref="F23:AR23" si="13">IF(F$7=$D$24,$D$23,0)</f>
        <v>0</v>
      </c>
      <c r="G23" s="96">
        <f t="shared" si="13"/>
        <v>0</v>
      </c>
      <c r="H23" s="96">
        <f t="shared" si="13"/>
        <v>0</v>
      </c>
      <c r="I23" s="96">
        <f t="shared" si="13"/>
        <v>0</v>
      </c>
      <c r="J23" s="96">
        <f t="shared" si="13"/>
        <v>0</v>
      </c>
      <c r="K23" s="96">
        <f t="shared" si="13"/>
        <v>345</v>
      </c>
      <c r="L23" s="96">
        <f t="shared" si="13"/>
        <v>0</v>
      </c>
      <c r="M23" s="96">
        <f t="shared" si="13"/>
        <v>0</v>
      </c>
      <c r="N23" s="96">
        <f t="shared" si="13"/>
        <v>0</v>
      </c>
      <c r="O23" s="96">
        <f t="shared" si="13"/>
        <v>0</v>
      </c>
      <c r="P23" s="96">
        <f t="shared" si="13"/>
        <v>0</v>
      </c>
      <c r="Q23" s="96">
        <f t="shared" si="13"/>
        <v>0</v>
      </c>
      <c r="R23" s="96">
        <f t="shared" si="13"/>
        <v>0</v>
      </c>
      <c r="S23" s="96">
        <f t="shared" si="13"/>
        <v>0</v>
      </c>
      <c r="T23" s="96">
        <f t="shared" si="13"/>
        <v>0</v>
      </c>
      <c r="U23" s="96">
        <f t="shared" si="13"/>
        <v>0</v>
      </c>
      <c r="V23" s="96">
        <f t="shared" si="13"/>
        <v>0</v>
      </c>
      <c r="W23" s="96">
        <f t="shared" si="13"/>
        <v>0</v>
      </c>
      <c r="X23" s="96">
        <f t="shared" si="13"/>
        <v>0</v>
      </c>
      <c r="Y23" s="96">
        <f t="shared" si="13"/>
        <v>0</v>
      </c>
      <c r="Z23" s="96">
        <f t="shared" si="13"/>
        <v>0</v>
      </c>
      <c r="AA23" s="96">
        <f t="shared" si="13"/>
        <v>0</v>
      </c>
      <c r="AB23" s="96">
        <f t="shared" si="13"/>
        <v>0</v>
      </c>
      <c r="AC23" s="96">
        <f t="shared" si="13"/>
        <v>0</v>
      </c>
      <c r="AD23" s="96">
        <f t="shared" si="13"/>
        <v>0</v>
      </c>
      <c r="AE23" s="96">
        <f t="shared" si="13"/>
        <v>0</v>
      </c>
      <c r="AF23" s="96">
        <f t="shared" si="13"/>
        <v>0</v>
      </c>
      <c r="AG23" s="96">
        <f t="shared" si="13"/>
        <v>0</v>
      </c>
      <c r="AH23" s="96">
        <f t="shared" si="13"/>
        <v>0</v>
      </c>
      <c r="AI23" s="96">
        <f t="shared" si="13"/>
        <v>0</v>
      </c>
      <c r="AJ23" s="96">
        <f t="shared" si="13"/>
        <v>0</v>
      </c>
      <c r="AK23" s="96">
        <f t="shared" si="13"/>
        <v>0</v>
      </c>
      <c r="AL23" s="96">
        <f t="shared" si="13"/>
        <v>0</v>
      </c>
      <c r="AM23" s="96">
        <f t="shared" si="13"/>
        <v>0</v>
      </c>
      <c r="AN23" s="96">
        <f t="shared" si="13"/>
        <v>0</v>
      </c>
      <c r="AO23" s="96">
        <f t="shared" si="13"/>
        <v>0</v>
      </c>
      <c r="AP23" s="96">
        <f t="shared" si="13"/>
        <v>0</v>
      </c>
      <c r="AQ23" s="96">
        <f t="shared" si="13"/>
        <v>0</v>
      </c>
      <c r="AR23" s="96">
        <f t="shared" si="13"/>
        <v>0</v>
      </c>
    </row>
    <row r="24" spans="1:44" x14ac:dyDescent="0.2">
      <c r="B24" s="1" t="s">
        <v>276</v>
      </c>
      <c r="C24" s="76" t="s">
        <v>102</v>
      </c>
      <c r="D24" s="20">
        <f>Inputs!$E$134</f>
        <v>2023</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1:44" x14ac:dyDescent="0.2">
      <c r="B25" s="1" t="s">
        <v>277</v>
      </c>
      <c r="C25" s="76" t="s">
        <v>160</v>
      </c>
      <c r="D25" s="92">
        <f>Inputs!$E$135</f>
        <v>841.5</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1:44" x14ac:dyDescent="0.2">
      <c r="B26" s="1" t="s">
        <v>277</v>
      </c>
      <c r="C26" s="76" t="s">
        <v>102</v>
      </c>
      <c r="D26" s="20">
        <f>Inputs!$E$136</f>
        <v>2046</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1:44" x14ac:dyDescent="0.2">
      <c r="B27" s="1" t="s">
        <v>242</v>
      </c>
      <c r="C27" s="76" t="s">
        <v>278</v>
      </c>
      <c r="D27" s="15">
        <f>(D25-D23)/(D26-D24)</f>
        <v>21.586956521739129</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x14ac:dyDescent="0.2">
      <c r="B28" s="1" t="s">
        <v>243</v>
      </c>
      <c r="C28" s="76" t="s">
        <v>244</v>
      </c>
      <c r="D28" s="17"/>
      <c r="F28" s="16">
        <f t="shared" ref="F28:AR28" si="14">IF(F7&gt;$D$24,1,0)</f>
        <v>0</v>
      </c>
      <c r="G28" s="16">
        <f t="shared" si="14"/>
        <v>0</v>
      </c>
      <c r="H28" s="16">
        <f t="shared" si="14"/>
        <v>0</v>
      </c>
      <c r="I28" s="16">
        <f t="shared" si="14"/>
        <v>0</v>
      </c>
      <c r="J28" s="16">
        <f t="shared" si="14"/>
        <v>0</v>
      </c>
      <c r="K28" s="16">
        <f t="shared" si="14"/>
        <v>0</v>
      </c>
      <c r="L28" s="16">
        <f t="shared" si="14"/>
        <v>1</v>
      </c>
      <c r="M28" s="16">
        <f t="shared" si="14"/>
        <v>1</v>
      </c>
      <c r="N28" s="16">
        <f t="shared" si="14"/>
        <v>1</v>
      </c>
      <c r="O28" s="16">
        <f t="shared" si="14"/>
        <v>1</v>
      </c>
      <c r="P28" s="16">
        <f t="shared" si="14"/>
        <v>1</v>
      </c>
      <c r="Q28" s="16">
        <f t="shared" si="14"/>
        <v>1</v>
      </c>
      <c r="R28" s="16">
        <f t="shared" si="14"/>
        <v>1</v>
      </c>
      <c r="S28" s="16">
        <f t="shared" si="14"/>
        <v>1</v>
      </c>
      <c r="T28" s="16">
        <f t="shared" si="14"/>
        <v>1</v>
      </c>
      <c r="U28" s="16">
        <f t="shared" si="14"/>
        <v>1</v>
      </c>
      <c r="V28" s="16">
        <f t="shared" si="14"/>
        <v>1</v>
      </c>
      <c r="W28" s="16">
        <f t="shared" si="14"/>
        <v>1</v>
      </c>
      <c r="X28" s="16">
        <f t="shared" si="14"/>
        <v>1</v>
      </c>
      <c r="Y28" s="16">
        <f t="shared" si="14"/>
        <v>1</v>
      </c>
      <c r="Z28" s="16">
        <f t="shared" si="14"/>
        <v>1</v>
      </c>
      <c r="AA28" s="16">
        <f t="shared" si="14"/>
        <v>1</v>
      </c>
      <c r="AB28" s="16">
        <f t="shared" si="14"/>
        <v>1</v>
      </c>
      <c r="AC28" s="16">
        <f t="shared" si="14"/>
        <v>1</v>
      </c>
      <c r="AD28" s="16">
        <f t="shared" si="14"/>
        <v>1</v>
      </c>
      <c r="AE28" s="16">
        <f t="shared" si="14"/>
        <v>1</v>
      </c>
      <c r="AF28" s="16">
        <f t="shared" si="14"/>
        <v>1</v>
      </c>
      <c r="AG28" s="16">
        <f t="shared" si="14"/>
        <v>1</v>
      </c>
      <c r="AH28" s="16">
        <f t="shared" si="14"/>
        <v>1</v>
      </c>
      <c r="AI28" s="16">
        <f t="shared" si="14"/>
        <v>1</v>
      </c>
      <c r="AJ28" s="16">
        <f t="shared" si="14"/>
        <v>1</v>
      </c>
      <c r="AK28" s="16">
        <f t="shared" si="14"/>
        <v>1</v>
      </c>
      <c r="AL28" s="16">
        <f t="shared" si="14"/>
        <v>1</v>
      </c>
      <c r="AM28" s="16">
        <f t="shared" si="14"/>
        <v>1</v>
      </c>
      <c r="AN28" s="16">
        <f t="shared" si="14"/>
        <v>1</v>
      </c>
      <c r="AO28" s="16">
        <f t="shared" si="14"/>
        <v>1</v>
      </c>
      <c r="AP28" s="16">
        <f t="shared" si="14"/>
        <v>1</v>
      </c>
      <c r="AQ28" s="16">
        <f t="shared" si="14"/>
        <v>1</v>
      </c>
      <c r="AR28" s="16">
        <f t="shared" si="14"/>
        <v>1</v>
      </c>
    </row>
    <row r="29" spans="1:44" ht="15" x14ac:dyDescent="0.25">
      <c r="A29" s="2"/>
      <c r="B29" s="1" t="s">
        <v>279</v>
      </c>
      <c r="C29" s="76" t="s">
        <v>278</v>
      </c>
      <c r="D29" s="92">
        <f>SUM(F29:AR29)</f>
        <v>23840.282608695652</v>
      </c>
      <c r="F29" s="75">
        <f t="shared" ref="F29:AR29" si="15">E29+F23+F28*$D$27</f>
        <v>0</v>
      </c>
      <c r="G29" s="75">
        <f t="shared" si="15"/>
        <v>0</v>
      </c>
      <c r="H29" s="75">
        <f t="shared" si="15"/>
        <v>0</v>
      </c>
      <c r="I29" s="75">
        <f t="shared" si="15"/>
        <v>0</v>
      </c>
      <c r="J29" s="75">
        <f t="shared" si="15"/>
        <v>0</v>
      </c>
      <c r="K29" s="75">
        <f t="shared" si="15"/>
        <v>345</v>
      </c>
      <c r="L29" s="75">
        <f t="shared" si="15"/>
        <v>366.58695652173913</v>
      </c>
      <c r="M29" s="75">
        <f t="shared" si="15"/>
        <v>388.17391304347825</v>
      </c>
      <c r="N29" s="75">
        <f t="shared" si="15"/>
        <v>409.76086956521738</v>
      </c>
      <c r="O29" s="75">
        <f t="shared" si="15"/>
        <v>431.3478260869565</v>
      </c>
      <c r="P29" s="75">
        <f t="shared" si="15"/>
        <v>452.93478260869563</v>
      </c>
      <c r="Q29" s="75">
        <f t="shared" si="15"/>
        <v>474.52173913043475</v>
      </c>
      <c r="R29" s="75">
        <f t="shared" si="15"/>
        <v>496.10869565217388</v>
      </c>
      <c r="S29" s="75">
        <f t="shared" si="15"/>
        <v>517.695652173913</v>
      </c>
      <c r="T29" s="75">
        <f t="shared" si="15"/>
        <v>539.28260869565213</v>
      </c>
      <c r="U29" s="75">
        <f t="shared" si="15"/>
        <v>560.86956521739125</v>
      </c>
      <c r="V29" s="75">
        <f t="shared" si="15"/>
        <v>582.45652173913038</v>
      </c>
      <c r="W29" s="75">
        <f t="shared" si="15"/>
        <v>604.04347826086951</v>
      </c>
      <c r="X29" s="75">
        <f t="shared" si="15"/>
        <v>625.63043478260863</v>
      </c>
      <c r="Y29" s="75">
        <f t="shared" si="15"/>
        <v>647.21739130434776</v>
      </c>
      <c r="Z29" s="75">
        <f t="shared" si="15"/>
        <v>668.80434782608688</v>
      </c>
      <c r="AA29" s="75">
        <f t="shared" si="15"/>
        <v>690.39130434782601</v>
      </c>
      <c r="AB29" s="75">
        <f t="shared" si="15"/>
        <v>711.97826086956513</v>
      </c>
      <c r="AC29" s="75">
        <f t="shared" si="15"/>
        <v>733.56521739130426</v>
      </c>
      <c r="AD29" s="75">
        <f t="shared" si="15"/>
        <v>755.15217391304338</v>
      </c>
      <c r="AE29" s="75">
        <f t="shared" si="15"/>
        <v>776.73913043478251</v>
      </c>
      <c r="AF29" s="75">
        <f t="shared" si="15"/>
        <v>798.32608695652164</v>
      </c>
      <c r="AG29" s="75">
        <f t="shared" si="15"/>
        <v>819.91304347826076</v>
      </c>
      <c r="AH29" s="75">
        <f t="shared" si="15"/>
        <v>841.49999999999989</v>
      </c>
      <c r="AI29" s="75">
        <f t="shared" si="15"/>
        <v>863.08695652173901</v>
      </c>
      <c r="AJ29" s="75">
        <f t="shared" si="15"/>
        <v>884.67391304347814</v>
      </c>
      <c r="AK29" s="75">
        <f t="shared" si="15"/>
        <v>906.26086956521726</v>
      </c>
      <c r="AL29" s="75">
        <f t="shared" si="15"/>
        <v>927.84782608695639</v>
      </c>
      <c r="AM29" s="75">
        <f t="shared" si="15"/>
        <v>949.43478260869551</v>
      </c>
      <c r="AN29" s="75">
        <f t="shared" si="15"/>
        <v>971.02173913043464</v>
      </c>
      <c r="AO29" s="75">
        <f t="shared" si="15"/>
        <v>992.60869565217376</v>
      </c>
      <c r="AP29" s="75">
        <f t="shared" si="15"/>
        <v>1014.1956521739129</v>
      </c>
      <c r="AQ29" s="75">
        <f t="shared" si="15"/>
        <v>1035.782608695652</v>
      </c>
      <c r="AR29" s="75">
        <f t="shared" si="15"/>
        <v>1057.3695652173913</v>
      </c>
    </row>
    <row r="30" spans="1:44" ht="15" x14ac:dyDescent="0.25">
      <c r="A30" s="2"/>
      <c r="B30" s="1" t="s">
        <v>268</v>
      </c>
      <c r="C30" s="76" t="s">
        <v>95</v>
      </c>
      <c r="D30" s="92">
        <f>Inputs!$E$32</f>
        <v>365</v>
      </c>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row>
    <row r="31" spans="1:44" ht="15" x14ac:dyDescent="0.25">
      <c r="A31" s="2"/>
      <c r="B31" s="1" t="s">
        <v>279</v>
      </c>
      <c r="C31" s="76" t="s">
        <v>280</v>
      </c>
      <c r="D31" s="92">
        <f>SUM(F31:AR31)</f>
        <v>8701703.1521739122</v>
      </c>
      <c r="F31" s="75">
        <f t="shared" ref="F31:AR31" si="16">F29*$D$30</f>
        <v>0</v>
      </c>
      <c r="G31" s="75">
        <f t="shared" si="16"/>
        <v>0</v>
      </c>
      <c r="H31" s="75">
        <f t="shared" si="16"/>
        <v>0</v>
      </c>
      <c r="I31" s="75">
        <f t="shared" si="16"/>
        <v>0</v>
      </c>
      <c r="J31" s="75">
        <f t="shared" si="16"/>
        <v>0</v>
      </c>
      <c r="K31" s="75">
        <f t="shared" si="16"/>
        <v>125925</v>
      </c>
      <c r="L31" s="75">
        <f t="shared" si="16"/>
        <v>133804.23913043478</v>
      </c>
      <c r="M31" s="75">
        <f t="shared" si="16"/>
        <v>141683.47826086957</v>
      </c>
      <c r="N31" s="75">
        <f t="shared" si="16"/>
        <v>149562.71739130435</v>
      </c>
      <c r="O31" s="75">
        <f t="shared" si="16"/>
        <v>157441.95652173914</v>
      </c>
      <c r="P31" s="75">
        <f t="shared" si="16"/>
        <v>165321.19565217389</v>
      </c>
      <c r="Q31" s="75">
        <f t="shared" si="16"/>
        <v>173200.43478260867</v>
      </c>
      <c r="R31" s="75">
        <f t="shared" si="16"/>
        <v>181079.67391304346</v>
      </c>
      <c r="S31" s="75">
        <f t="shared" si="16"/>
        <v>188958.91304347824</v>
      </c>
      <c r="T31" s="75">
        <f t="shared" si="16"/>
        <v>196838.15217391303</v>
      </c>
      <c r="U31" s="75">
        <f t="shared" si="16"/>
        <v>204717.39130434781</v>
      </c>
      <c r="V31" s="75">
        <f t="shared" si="16"/>
        <v>212596.63043478259</v>
      </c>
      <c r="W31" s="75">
        <f t="shared" si="16"/>
        <v>220475.86956521738</v>
      </c>
      <c r="X31" s="75">
        <f t="shared" si="16"/>
        <v>228355.10869565216</v>
      </c>
      <c r="Y31" s="75">
        <f t="shared" si="16"/>
        <v>236234.34782608695</v>
      </c>
      <c r="Z31" s="75">
        <f t="shared" si="16"/>
        <v>244113.5869565217</v>
      </c>
      <c r="AA31" s="75">
        <f t="shared" si="16"/>
        <v>251992.82608695648</v>
      </c>
      <c r="AB31" s="75">
        <f t="shared" si="16"/>
        <v>259872.06521739127</v>
      </c>
      <c r="AC31" s="75">
        <f t="shared" si="16"/>
        <v>267751.30434782605</v>
      </c>
      <c r="AD31" s="75">
        <f t="shared" si="16"/>
        <v>275630.54347826081</v>
      </c>
      <c r="AE31" s="75">
        <f t="shared" si="16"/>
        <v>283509.78260869562</v>
      </c>
      <c r="AF31" s="75">
        <f t="shared" si="16"/>
        <v>291389.02173913037</v>
      </c>
      <c r="AG31" s="75">
        <f t="shared" si="16"/>
        <v>299268.26086956519</v>
      </c>
      <c r="AH31" s="75">
        <f t="shared" si="16"/>
        <v>307147.49999999994</v>
      </c>
      <c r="AI31" s="75">
        <f t="shared" si="16"/>
        <v>315026.73913043475</v>
      </c>
      <c r="AJ31" s="75">
        <f t="shared" si="16"/>
        <v>322905.97826086951</v>
      </c>
      <c r="AK31" s="75">
        <f t="shared" si="16"/>
        <v>330785.21739130432</v>
      </c>
      <c r="AL31" s="75">
        <f t="shared" si="16"/>
        <v>338664.45652173908</v>
      </c>
      <c r="AM31" s="75">
        <f t="shared" si="16"/>
        <v>346543.69565217389</v>
      </c>
      <c r="AN31" s="75">
        <f t="shared" si="16"/>
        <v>354422.93478260865</v>
      </c>
      <c r="AO31" s="75">
        <f t="shared" si="16"/>
        <v>362302.1739130434</v>
      </c>
      <c r="AP31" s="75">
        <f t="shared" si="16"/>
        <v>370181.41304347821</v>
      </c>
      <c r="AQ31" s="75">
        <f t="shared" si="16"/>
        <v>378060.65217391297</v>
      </c>
      <c r="AR31" s="75">
        <f t="shared" si="16"/>
        <v>385939.89130434778</v>
      </c>
    </row>
    <row r="32" spans="1:44" ht="15" x14ac:dyDescent="0.25">
      <c r="A32" s="2"/>
      <c r="C32" s="76"/>
      <c r="D32" s="92"/>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row>
    <row r="33" spans="1:44" ht="15" x14ac:dyDescent="0.25">
      <c r="A33" s="2"/>
      <c r="B33" s="2" t="s">
        <v>281</v>
      </c>
      <c r="C33" s="76"/>
      <c r="D33" s="62"/>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row>
    <row r="34" spans="1:44" ht="15" x14ac:dyDescent="0.25">
      <c r="A34" s="2"/>
      <c r="B34" s="1" t="str">
        <f>Inputs!C47</f>
        <v>Portion of Heavy Vehicles</v>
      </c>
      <c r="C34" s="76" t="s">
        <v>60</v>
      </c>
      <c r="D34" s="62">
        <f>Inputs!$E$47</f>
        <v>0.03</v>
      </c>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row>
    <row r="35" spans="1:44" ht="15" x14ac:dyDescent="0.25">
      <c r="A35" s="2"/>
      <c r="B35" s="1" t="s">
        <v>282</v>
      </c>
      <c r="C35" s="76" t="s">
        <v>280</v>
      </c>
      <c r="D35" s="92">
        <f>SUM(F35:AR35)</f>
        <v>8440652.0576086938</v>
      </c>
      <c r="F35" s="75">
        <f t="shared" ref="F35:AR35" si="17">F31*(1-$D$34)</f>
        <v>0</v>
      </c>
      <c r="G35" s="75">
        <f t="shared" si="17"/>
        <v>0</v>
      </c>
      <c r="H35" s="75">
        <f t="shared" si="17"/>
        <v>0</v>
      </c>
      <c r="I35" s="75">
        <f t="shared" si="17"/>
        <v>0</v>
      </c>
      <c r="J35" s="75">
        <f t="shared" si="17"/>
        <v>0</v>
      </c>
      <c r="K35" s="75">
        <f t="shared" si="17"/>
        <v>122147.25</v>
      </c>
      <c r="L35" s="75">
        <f t="shared" si="17"/>
        <v>129790.11195652174</v>
      </c>
      <c r="M35" s="75">
        <f t="shared" si="17"/>
        <v>137432.97391304348</v>
      </c>
      <c r="N35" s="75">
        <f t="shared" si="17"/>
        <v>145075.83586956523</v>
      </c>
      <c r="O35" s="75">
        <f t="shared" si="17"/>
        <v>152718.69782608695</v>
      </c>
      <c r="P35" s="75">
        <f t="shared" si="17"/>
        <v>160361.55978260867</v>
      </c>
      <c r="Q35" s="75">
        <f t="shared" si="17"/>
        <v>168004.4217391304</v>
      </c>
      <c r="R35" s="75">
        <f t="shared" si="17"/>
        <v>175647.28369565215</v>
      </c>
      <c r="S35" s="75">
        <f t="shared" si="17"/>
        <v>183290.1456521739</v>
      </c>
      <c r="T35" s="75">
        <f t="shared" si="17"/>
        <v>190933.00760869563</v>
      </c>
      <c r="U35" s="75">
        <f t="shared" si="17"/>
        <v>198575.86956521738</v>
      </c>
      <c r="V35" s="75">
        <f t="shared" si="17"/>
        <v>206218.7315217391</v>
      </c>
      <c r="W35" s="75">
        <f t="shared" si="17"/>
        <v>213861.59347826085</v>
      </c>
      <c r="X35" s="75">
        <f t="shared" si="17"/>
        <v>221504.45543478258</v>
      </c>
      <c r="Y35" s="75">
        <f t="shared" si="17"/>
        <v>229147.31739130433</v>
      </c>
      <c r="Z35" s="75">
        <f t="shared" si="17"/>
        <v>236790.17934782605</v>
      </c>
      <c r="AA35" s="75">
        <f t="shared" si="17"/>
        <v>244433.04130434777</v>
      </c>
      <c r="AB35" s="75">
        <f t="shared" si="17"/>
        <v>252075.90326086953</v>
      </c>
      <c r="AC35" s="75">
        <f t="shared" si="17"/>
        <v>259718.76521739125</v>
      </c>
      <c r="AD35" s="75">
        <f t="shared" si="17"/>
        <v>267361.627173913</v>
      </c>
      <c r="AE35" s="75">
        <f t="shared" si="17"/>
        <v>275004.48913043475</v>
      </c>
      <c r="AF35" s="75">
        <f t="shared" si="17"/>
        <v>282647.35108695645</v>
      </c>
      <c r="AG35" s="75">
        <f t="shared" si="17"/>
        <v>290290.2130434782</v>
      </c>
      <c r="AH35" s="75">
        <f t="shared" si="17"/>
        <v>297933.07499999995</v>
      </c>
      <c r="AI35" s="75">
        <f t="shared" si="17"/>
        <v>305575.93695652171</v>
      </c>
      <c r="AJ35" s="75">
        <f t="shared" si="17"/>
        <v>313218.7989130434</v>
      </c>
      <c r="AK35" s="75">
        <f t="shared" si="17"/>
        <v>320861.66086956521</v>
      </c>
      <c r="AL35" s="75">
        <f t="shared" si="17"/>
        <v>328504.5228260869</v>
      </c>
      <c r="AM35" s="75">
        <f t="shared" si="17"/>
        <v>336147.38478260866</v>
      </c>
      <c r="AN35" s="75">
        <f t="shared" si="17"/>
        <v>343790.24673913035</v>
      </c>
      <c r="AO35" s="75">
        <f t="shared" si="17"/>
        <v>351433.1086956521</v>
      </c>
      <c r="AP35" s="75">
        <f t="shared" si="17"/>
        <v>359075.97065217386</v>
      </c>
      <c r="AQ35" s="75">
        <f t="shared" si="17"/>
        <v>366718.83260869555</v>
      </c>
      <c r="AR35" s="75">
        <f t="shared" si="17"/>
        <v>374361.69456521736</v>
      </c>
    </row>
    <row r="36" spans="1:44" ht="15" x14ac:dyDescent="0.25">
      <c r="A36" s="2"/>
      <c r="B36" s="1" t="s">
        <v>283</v>
      </c>
      <c r="C36" s="76" t="s">
        <v>280</v>
      </c>
      <c r="D36" s="92">
        <f>SUM(F36:AR36)</f>
        <v>261051.09456521732</v>
      </c>
      <c r="F36" s="75">
        <f t="shared" ref="F36:AR36" si="18">F31*$D$34</f>
        <v>0</v>
      </c>
      <c r="G36" s="75">
        <f t="shared" si="18"/>
        <v>0</v>
      </c>
      <c r="H36" s="75">
        <f t="shared" si="18"/>
        <v>0</v>
      </c>
      <c r="I36" s="75">
        <f t="shared" si="18"/>
        <v>0</v>
      </c>
      <c r="J36" s="75">
        <f t="shared" si="18"/>
        <v>0</v>
      </c>
      <c r="K36" s="75">
        <f t="shared" si="18"/>
        <v>3777.75</v>
      </c>
      <c r="L36" s="75">
        <f t="shared" si="18"/>
        <v>4014.1271739130434</v>
      </c>
      <c r="M36" s="75">
        <f t="shared" si="18"/>
        <v>4250.5043478260868</v>
      </c>
      <c r="N36" s="75">
        <f t="shared" si="18"/>
        <v>4486.8815217391302</v>
      </c>
      <c r="O36" s="75">
        <f t="shared" si="18"/>
        <v>4723.2586956521736</v>
      </c>
      <c r="P36" s="75">
        <f t="shared" si="18"/>
        <v>4959.6358695652161</v>
      </c>
      <c r="Q36" s="75">
        <f t="shared" si="18"/>
        <v>5196.0130434782604</v>
      </c>
      <c r="R36" s="75">
        <f t="shared" si="18"/>
        <v>5432.3902173913038</v>
      </c>
      <c r="S36" s="75">
        <f t="shared" si="18"/>
        <v>5668.7673913043473</v>
      </c>
      <c r="T36" s="75">
        <f t="shared" si="18"/>
        <v>5905.1445652173907</v>
      </c>
      <c r="U36" s="75">
        <f t="shared" si="18"/>
        <v>6141.5217391304341</v>
      </c>
      <c r="V36" s="75">
        <f t="shared" si="18"/>
        <v>6377.8989130434775</v>
      </c>
      <c r="W36" s="75">
        <f t="shared" si="18"/>
        <v>6614.2760869565209</v>
      </c>
      <c r="X36" s="75">
        <f t="shared" si="18"/>
        <v>6850.6532608695643</v>
      </c>
      <c r="Y36" s="75">
        <f t="shared" si="18"/>
        <v>7087.0304347826077</v>
      </c>
      <c r="Z36" s="75">
        <f t="shared" si="18"/>
        <v>7323.4076086956511</v>
      </c>
      <c r="AA36" s="75">
        <f t="shared" si="18"/>
        <v>7559.7847826086945</v>
      </c>
      <c r="AB36" s="75">
        <f t="shared" si="18"/>
        <v>7796.1619565217379</v>
      </c>
      <c r="AC36" s="75">
        <f t="shared" si="18"/>
        <v>8032.5391304347813</v>
      </c>
      <c r="AD36" s="75">
        <f t="shared" si="18"/>
        <v>8268.9163043478238</v>
      </c>
      <c r="AE36" s="75">
        <f t="shared" si="18"/>
        <v>8505.2934782608681</v>
      </c>
      <c r="AF36" s="75">
        <f t="shared" si="18"/>
        <v>8741.6706521739106</v>
      </c>
      <c r="AG36" s="75">
        <f t="shared" si="18"/>
        <v>8978.047826086955</v>
      </c>
      <c r="AH36" s="75">
        <f t="shared" si="18"/>
        <v>9214.4249999999975</v>
      </c>
      <c r="AI36" s="75">
        <f t="shared" si="18"/>
        <v>9450.8021739130418</v>
      </c>
      <c r="AJ36" s="75">
        <f t="shared" si="18"/>
        <v>9687.1793478260843</v>
      </c>
      <c r="AK36" s="75">
        <f t="shared" si="18"/>
        <v>9923.5565217391286</v>
      </c>
      <c r="AL36" s="75">
        <f t="shared" si="18"/>
        <v>10159.933695652171</v>
      </c>
      <c r="AM36" s="75">
        <f t="shared" si="18"/>
        <v>10396.310869565217</v>
      </c>
      <c r="AN36" s="75">
        <f t="shared" si="18"/>
        <v>10632.68804347826</v>
      </c>
      <c r="AO36" s="75">
        <f t="shared" si="18"/>
        <v>10869.065217391302</v>
      </c>
      <c r="AP36" s="75">
        <f t="shared" si="18"/>
        <v>11105.442391304347</v>
      </c>
      <c r="AQ36" s="75">
        <f t="shared" si="18"/>
        <v>11341.819565217389</v>
      </c>
      <c r="AR36" s="75">
        <f t="shared" si="18"/>
        <v>11578.196739130433</v>
      </c>
    </row>
    <row r="37" spans="1:44" ht="15" x14ac:dyDescent="0.25">
      <c r="A37" s="2"/>
      <c r="C37" s="76"/>
      <c r="D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row>
    <row r="38" spans="1:44" ht="15" x14ac:dyDescent="0.25">
      <c r="B38" s="2" t="s">
        <v>284</v>
      </c>
      <c r="C38" s="76"/>
      <c r="D38" s="9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x14ac:dyDescent="0.2">
      <c r="B39" s="1" t="s">
        <v>285</v>
      </c>
      <c r="C39" s="76" t="s">
        <v>286</v>
      </c>
      <c r="D39" s="97"/>
      <c r="F39" s="15">
        <f>IFERROR(HLOOKUP(F$7,'REF Fuel Prices'!$A$11:$AH$85,24),0)</f>
        <v>0</v>
      </c>
      <c r="G39" s="15">
        <f>IFERROR(HLOOKUP(G$7,'REF Fuel Prices'!$A$11:$AH$85,24),0)</f>
        <v>0</v>
      </c>
      <c r="H39" s="15">
        <f>IFERROR(HLOOKUP(H$7,'REF Fuel Prices'!$A$11:$AH$85,24),0)</f>
        <v>0</v>
      </c>
      <c r="I39" s="15">
        <f>IFERROR(HLOOKUP(I$7,'REF Fuel Prices'!$A$11:$AH$85,24),0)</f>
        <v>0</v>
      </c>
      <c r="J39" s="15">
        <f>IFERROR(HLOOKUP(J$7,'REF Fuel Prices'!$A$11:$AH$85,24),0)</f>
        <v>4.1839969999999997</v>
      </c>
      <c r="K39" s="15">
        <f>IFERROR(HLOOKUP(K$7,'REF Fuel Prices'!$A$11:$AH$85,24),0)</f>
        <v>3.6677590000000002</v>
      </c>
      <c r="L39" s="15">
        <f>IFERROR(HLOOKUP(L$7,'REF Fuel Prices'!$A$11:$AH$85,24),0)</f>
        <v>3.3247</v>
      </c>
      <c r="M39" s="15">
        <f>IFERROR(HLOOKUP(M$7,'REF Fuel Prices'!$A$11:$AH$85,24),0)</f>
        <v>3.1027680000000002</v>
      </c>
      <c r="N39" s="15">
        <f>IFERROR(HLOOKUP(N$7,'REF Fuel Prices'!$A$11:$AH$85,24),0)</f>
        <v>3.069134</v>
      </c>
      <c r="O39" s="15">
        <f>IFERROR(HLOOKUP(O$7,'REF Fuel Prices'!$A$11:$AH$85,24),0)</f>
        <v>3.050068</v>
      </c>
      <c r="P39" s="15">
        <f>IFERROR(HLOOKUP(P$7,'REF Fuel Prices'!$A$11:$AH$85,24),0)</f>
        <v>3.0508000000000002</v>
      </c>
      <c r="Q39" s="15">
        <f>IFERROR(HLOOKUP(Q$7,'REF Fuel Prices'!$A$11:$AH$85,24),0)</f>
        <v>3.0554380000000001</v>
      </c>
      <c r="R39" s="15">
        <f>IFERROR(HLOOKUP(R$7,'REF Fuel Prices'!$A$11:$AH$85,24),0)</f>
        <v>3.065353</v>
      </c>
      <c r="S39" s="15">
        <f>IFERROR(HLOOKUP(S$7,'REF Fuel Prices'!$A$11:$AH$85,24),0)</f>
        <v>3.0602819999999999</v>
      </c>
      <c r="T39" s="15">
        <f>IFERROR(HLOOKUP(T$7,'REF Fuel Prices'!$A$11:$AH$85,24),0)</f>
        <v>3.075698</v>
      </c>
      <c r="U39" s="15">
        <f>IFERROR(HLOOKUP(U$7,'REF Fuel Prices'!$A$11:$AH$85,24),0)</f>
        <v>3.0825239999999998</v>
      </c>
      <c r="V39" s="15">
        <f>IFERROR(HLOOKUP(V$7,'REF Fuel Prices'!$A$11:$AH$85,24),0)</f>
        <v>3.0924680000000002</v>
      </c>
      <c r="W39" s="15">
        <f>IFERROR(HLOOKUP(W$7,'REF Fuel Prices'!$A$11:$AH$85,24),0)</f>
        <v>3.0986539999999998</v>
      </c>
      <c r="X39" s="15">
        <f>IFERROR(HLOOKUP(X$7,'REF Fuel Prices'!$A$11:$AH$85,24),0)</f>
        <v>3.1315810000000002</v>
      </c>
      <c r="Y39" s="15">
        <f>IFERROR(HLOOKUP(Y$7,'REF Fuel Prices'!$A$11:$AH$85,24),0)</f>
        <v>3.1356619999999999</v>
      </c>
      <c r="Z39" s="15">
        <f>IFERROR(HLOOKUP(Z$7,'REF Fuel Prices'!$A$11:$AH$85,24),0)</f>
        <v>3.1447769999999999</v>
      </c>
      <c r="AA39" s="15">
        <f>IFERROR(HLOOKUP(AA$7,'REF Fuel Prices'!$A$11:$AH$85,24),0)</f>
        <v>3.1580710000000001</v>
      </c>
      <c r="AB39" s="15">
        <f>IFERROR(HLOOKUP(AB$7,'REF Fuel Prices'!$A$11:$AH$85,24),0)</f>
        <v>3.161826</v>
      </c>
      <c r="AC39" s="15">
        <f>IFERROR(HLOOKUP(AC$7,'REF Fuel Prices'!$A$11:$AH$85,24),0)</f>
        <v>3.161508</v>
      </c>
      <c r="AD39" s="15">
        <f>IFERROR(HLOOKUP(AD$7,'REF Fuel Prices'!$A$11:$AH$85,24),0)</f>
        <v>3.169308</v>
      </c>
      <c r="AE39" s="15">
        <f>IFERROR(HLOOKUP(AE$7,'REF Fuel Prices'!$A$11:$AH$85,24),0)</f>
        <v>3.1561599999999999</v>
      </c>
      <c r="AF39" s="15">
        <f>IFERROR(HLOOKUP(AF$7,'REF Fuel Prices'!$A$11:$AH$85,24),0)</f>
        <v>3.1765319999999999</v>
      </c>
      <c r="AG39" s="15">
        <f>IFERROR(HLOOKUP(AG$7,'REF Fuel Prices'!$A$11:$AH$85,24),0)</f>
        <v>3.1773859999999998</v>
      </c>
      <c r="AH39" s="15">
        <f>IFERROR(HLOOKUP(AH$7,'REF Fuel Prices'!$A$11:$AH$85,24),0)</f>
        <v>3.2653660000000002</v>
      </c>
      <c r="AI39" s="15">
        <f>IFERROR(HLOOKUP(AI$7,'REF Fuel Prices'!$A$11:$AH$85,24),0)</f>
        <v>3.2646809999999999</v>
      </c>
      <c r="AJ39" s="15">
        <f>IFERROR(HLOOKUP(AJ$7,'REF Fuel Prices'!$A$11:$AH$85,24),0)</f>
        <v>3.2908629999999999</v>
      </c>
      <c r="AK39" s="15">
        <f>IFERROR(HLOOKUP(AK$7,'REF Fuel Prices'!$A$11:$AH$85,24),0)</f>
        <v>3.2989959999999998</v>
      </c>
      <c r="AL39" s="15">
        <f>IFERROR(HLOOKUP(AL$7,'REF Fuel Prices'!$A$11:$AH$85,24),0)</f>
        <v>3.327496</v>
      </c>
      <c r="AM39" s="15">
        <f>IFERROR(HLOOKUP(AM$7,'REF Fuel Prices'!$A$11:$AH$85,24),0)</f>
        <v>3.327496</v>
      </c>
      <c r="AN39" s="15">
        <f>IFERROR(HLOOKUP(AN$7,'REF Fuel Prices'!$A$11:$AH$85,24),0)</f>
        <v>3.327496</v>
      </c>
      <c r="AO39" s="15">
        <f>IFERROR(HLOOKUP(AO$7,'REF Fuel Prices'!$A$11:$AH$85,24),0)</f>
        <v>3.327496</v>
      </c>
      <c r="AP39" s="15">
        <f>IFERROR(HLOOKUP(AP$7,'REF Fuel Prices'!$A$11:$AH$85,24),0)</f>
        <v>3.327496</v>
      </c>
      <c r="AQ39" s="15">
        <f>IFERROR(HLOOKUP(AQ$7,'REF Fuel Prices'!$A$11:$AH$85,24),0)</f>
        <v>3.327496</v>
      </c>
      <c r="AR39" s="15">
        <f>IFERROR(HLOOKUP(AR$7,'REF Fuel Prices'!$A$11:$AH$85,24),0)</f>
        <v>3.327496</v>
      </c>
    </row>
    <row r="40" spans="1:44" x14ac:dyDescent="0.2">
      <c r="B40" s="1" t="s">
        <v>287</v>
      </c>
      <c r="C40" s="76" t="s">
        <v>286</v>
      </c>
      <c r="D40" s="97"/>
      <c r="F40" s="15">
        <f>IFERROR(HLOOKUP(F$7,'REF Fuel Prices'!$A$11:$AH$85,26),0)</f>
        <v>0</v>
      </c>
      <c r="G40" s="15">
        <f>IFERROR(HLOOKUP(G$7,'REF Fuel Prices'!$A$11:$AH$85,26),0)</f>
        <v>0</v>
      </c>
      <c r="H40" s="15">
        <f>IFERROR(HLOOKUP(H$7,'REF Fuel Prices'!$A$11:$AH$85,26),0)</f>
        <v>0</v>
      </c>
      <c r="I40" s="15">
        <f>IFERROR(HLOOKUP(I$7,'REF Fuel Prices'!$A$11:$AH$85,26),0)</f>
        <v>0</v>
      </c>
      <c r="J40" s="15">
        <f>IFERROR(HLOOKUP(J$7,'REF Fuel Prices'!$A$11:$AH$85,26),0)</f>
        <v>5.1050589999999998</v>
      </c>
      <c r="K40" s="15">
        <f>IFERROR(HLOOKUP(K$7,'REF Fuel Prices'!$A$11:$AH$85,26),0)</f>
        <v>4.5184139999999999</v>
      </c>
      <c r="L40" s="15">
        <f>IFERROR(HLOOKUP(L$7,'REF Fuel Prices'!$A$11:$AH$85,26),0)</f>
        <v>4.2866369999999998</v>
      </c>
      <c r="M40" s="15">
        <f>IFERROR(HLOOKUP(M$7,'REF Fuel Prices'!$A$11:$AH$85,26),0)</f>
        <v>3.996505</v>
      </c>
      <c r="N40" s="15">
        <f>IFERROR(HLOOKUP(N$7,'REF Fuel Prices'!$A$11:$AH$85,26),0)</f>
        <v>3.8693710000000001</v>
      </c>
      <c r="O40" s="15">
        <f>IFERROR(HLOOKUP(O$7,'REF Fuel Prices'!$A$11:$AH$85,26),0)</f>
        <v>3.7410540000000001</v>
      </c>
      <c r="P40" s="15">
        <f>IFERROR(HLOOKUP(P$7,'REF Fuel Prices'!$A$11:$AH$85,26),0)</f>
        <v>3.6345890000000001</v>
      </c>
      <c r="Q40" s="15">
        <f>IFERROR(HLOOKUP(Q$7,'REF Fuel Prices'!$A$11:$AH$85,26),0)</f>
        <v>3.647751</v>
      </c>
      <c r="R40" s="15">
        <f>IFERROR(HLOOKUP(R$7,'REF Fuel Prices'!$A$11:$AH$85,26),0)</f>
        <v>3.6511490000000002</v>
      </c>
      <c r="S40" s="15">
        <f>IFERROR(HLOOKUP(S$7,'REF Fuel Prices'!$A$11:$AH$85,26),0)</f>
        <v>3.6727180000000001</v>
      </c>
      <c r="T40" s="15">
        <f>IFERROR(HLOOKUP(T$7,'REF Fuel Prices'!$A$11:$AH$85,26),0)</f>
        <v>3.6899760000000001</v>
      </c>
      <c r="U40" s="15">
        <f>IFERROR(HLOOKUP(U$7,'REF Fuel Prices'!$A$11:$AH$85,26),0)</f>
        <v>3.7063929999999998</v>
      </c>
      <c r="V40" s="15">
        <f>IFERROR(HLOOKUP(V$7,'REF Fuel Prices'!$A$11:$AH$85,26),0)</f>
        <v>3.7128269999999999</v>
      </c>
      <c r="W40" s="15">
        <f>IFERROR(HLOOKUP(W$7,'REF Fuel Prices'!$A$11:$AH$85,26),0)</f>
        <v>3.7413090000000002</v>
      </c>
      <c r="X40" s="15">
        <f>IFERROR(HLOOKUP(X$7,'REF Fuel Prices'!$A$11:$AH$85,26),0)</f>
        <v>3.7421289999999998</v>
      </c>
      <c r="Y40" s="15">
        <f>IFERROR(HLOOKUP(Y$7,'REF Fuel Prices'!$A$11:$AH$85,26),0)</f>
        <v>3.7611910000000002</v>
      </c>
      <c r="Z40" s="15">
        <f>IFERROR(HLOOKUP(Z$7,'REF Fuel Prices'!$A$11:$AH$85,26),0)</f>
        <v>3.7750789999999999</v>
      </c>
      <c r="AA40" s="15">
        <f>IFERROR(HLOOKUP(AA$7,'REF Fuel Prices'!$A$11:$AH$85,26),0)</f>
        <v>3.7809750000000002</v>
      </c>
      <c r="AB40" s="15">
        <f>IFERROR(HLOOKUP(AB$7,'REF Fuel Prices'!$A$11:$AH$85,26),0)</f>
        <v>3.787541</v>
      </c>
      <c r="AC40" s="15">
        <f>IFERROR(HLOOKUP(AC$7,'REF Fuel Prices'!$A$11:$AH$85,26),0)</f>
        <v>3.810997</v>
      </c>
      <c r="AD40" s="15">
        <f>IFERROR(HLOOKUP(AD$7,'REF Fuel Prices'!$A$11:$AH$85,26),0)</f>
        <v>3.8124370000000001</v>
      </c>
      <c r="AE40" s="15">
        <f>IFERROR(HLOOKUP(AE$7,'REF Fuel Prices'!$A$11:$AH$85,26),0)</f>
        <v>3.8289230000000001</v>
      </c>
      <c r="AF40" s="15">
        <f>IFERROR(HLOOKUP(AF$7,'REF Fuel Prices'!$A$11:$AH$85,26),0)</f>
        <v>3.8159420000000002</v>
      </c>
      <c r="AG40" s="15">
        <f>IFERROR(HLOOKUP(AG$7,'REF Fuel Prices'!$A$11:$AH$85,26),0)</f>
        <v>3.82362</v>
      </c>
      <c r="AH40" s="15">
        <f>IFERROR(HLOOKUP(AH$7,'REF Fuel Prices'!$A$11:$AH$85,26),0)</f>
        <v>3.9042400000000002</v>
      </c>
      <c r="AI40" s="15">
        <f>IFERROR(HLOOKUP(AI$7,'REF Fuel Prices'!$A$11:$AH$85,26),0)</f>
        <v>3.9077069999999998</v>
      </c>
      <c r="AJ40" s="15">
        <f>IFERROR(HLOOKUP(AJ$7,'REF Fuel Prices'!$A$11:$AH$85,26),0)</f>
        <v>3.9143530000000002</v>
      </c>
      <c r="AK40" s="15">
        <f>IFERROR(HLOOKUP(AK$7,'REF Fuel Prices'!$A$11:$AH$85,26),0)</f>
        <v>3.9231009999999999</v>
      </c>
      <c r="AL40" s="15">
        <f>IFERROR(HLOOKUP(AL$7,'REF Fuel Prices'!$A$11:$AH$85,26),0)</f>
        <v>3.9241450000000002</v>
      </c>
      <c r="AM40" s="15">
        <f>IFERROR(HLOOKUP(AM$7,'REF Fuel Prices'!$A$11:$AH$85,26),0)</f>
        <v>3.9241450000000002</v>
      </c>
      <c r="AN40" s="15">
        <f>IFERROR(HLOOKUP(AN$7,'REF Fuel Prices'!$A$11:$AH$85,26),0)</f>
        <v>3.9241450000000002</v>
      </c>
      <c r="AO40" s="15">
        <f>IFERROR(HLOOKUP(AO$7,'REF Fuel Prices'!$A$11:$AH$85,26),0)</f>
        <v>3.9241450000000002</v>
      </c>
      <c r="AP40" s="15">
        <f>IFERROR(HLOOKUP(AP$7,'REF Fuel Prices'!$A$11:$AH$85,26),0)</f>
        <v>3.9241450000000002</v>
      </c>
      <c r="AQ40" s="15">
        <f>IFERROR(HLOOKUP(AQ$7,'REF Fuel Prices'!$A$11:$AH$85,26),0)</f>
        <v>3.9241450000000002</v>
      </c>
      <c r="AR40" s="15">
        <f>IFERROR(HLOOKUP(AR$7,'REF Fuel Prices'!$A$11:$AH$85,26),0)</f>
        <v>3.9241450000000002</v>
      </c>
    </row>
    <row r="41" spans="1:44" ht="15" x14ac:dyDescent="0.25">
      <c r="A41" s="2"/>
      <c r="B41" s="1" t="s">
        <v>288</v>
      </c>
      <c r="C41" s="19" t="s">
        <v>272</v>
      </c>
      <c r="D41" s="16">
        <f>SUM(F41:AR41)</f>
        <v>27146583.493316546</v>
      </c>
      <c r="F41" s="16">
        <f t="shared" ref="F41:J41" si="19">F35*F39</f>
        <v>0</v>
      </c>
      <c r="G41" s="16">
        <f t="shared" si="19"/>
        <v>0</v>
      </c>
      <c r="H41" s="16">
        <f t="shared" si="19"/>
        <v>0</v>
      </c>
      <c r="I41" s="16">
        <f t="shared" si="19"/>
        <v>0</v>
      </c>
      <c r="J41" s="16">
        <f t="shared" si="19"/>
        <v>0</v>
      </c>
      <c r="K41" s="16">
        <f>K35*K39</f>
        <v>448006.67551275005</v>
      </c>
      <c r="L41" s="16">
        <f t="shared" ref="L41:AR41" si="20">L35*L39</f>
        <v>431513.18522184785</v>
      </c>
      <c r="M41" s="16">
        <f t="shared" si="20"/>
        <v>426422.63360222609</v>
      </c>
      <c r="N41" s="16">
        <f t="shared" si="20"/>
        <v>445257.18044570222</v>
      </c>
      <c r="O41" s="16">
        <f t="shared" si="20"/>
        <v>465802.41324101738</v>
      </c>
      <c r="P41" s="16">
        <f t="shared" si="20"/>
        <v>489231.0465847826</v>
      </c>
      <c r="Q41" s="16">
        <f t="shared" si="20"/>
        <v>513327.0943497651</v>
      </c>
      <c r="R41" s="16">
        <f t="shared" si="20"/>
        <v>538420.92801831837</v>
      </c>
      <c r="S41" s="16">
        <f t="shared" si="20"/>
        <v>560919.53351672599</v>
      </c>
      <c r="T41" s="16">
        <f t="shared" si="20"/>
        <v>587252.26963604998</v>
      </c>
      <c r="U41" s="16">
        <f t="shared" si="20"/>
        <v>612114.88375565212</v>
      </c>
      <c r="V41" s="16">
        <f t="shared" si="20"/>
        <v>637724.8282315695</v>
      </c>
      <c r="W41" s="16">
        <f t="shared" si="20"/>
        <v>662683.08207778691</v>
      </c>
      <c r="X41" s="16">
        <f t="shared" si="20"/>
        <v>693659.14405491191</v>
      </c>
      <c r="Y41" s="16">
        <f t="shared" si="20"/>
        <v>718528.53554585215</v>
      </c>
      <c r="Z41" s="16">
        <f t="shared" si="20"/>
        <v>744652.30983891839</v>
      </c>
      <c r="AA41" s="16">
        <f t="shared" si="20"/>
        <v>771936.89918506285</v>
      </c>
      <c r="AB41" s="16">
        <f t="shared" si="20"/>
        <v>797020.14490370208</v>
      </c>
      <c r="AC41" s="16">
        <f t="shared" si="20"/>
        <v>821102.95398490422</v>
      </c>
      <c r="AD41" s="16">
        <f t="shared" si="20"/>
        <v>847351.34389529983</v>
      </c>
      <c r="AE41" s="16">
        <f t="shared" si="20"/>
        <v>867958.16841391288</v>
      </c>
      <c r="AF41" s="16">
        <f t="shared" si="20"/>
        <v>897838.3554429519</v>
      </c>
      <c r="AG41" s="16">
        <f t="shared" si="20"/>
        <v>922364.05886136496</v>
      </c>
      <c r="AH41" s="16">
        <f t="shared" si="20"/>
        <v>972860.53338044987</v>
      </c>
      <c r="AI41" s="16">
        <f t="shared" si="20"/>
        <v>997607.95543915418</v>
      </c>
      <c r="AJ41" s="16">
        <f t="shared" si="20"/>
        <v>1030760.1562473747</v>
      </c>
      <c r="AK41" s="16">
        <f t="shared" si="20"/>
        <v>1058521.3357620521</v>
      </c>
      <c r="AL41" s="16">
        <f t="shared" si="20"/>
        <v>1093097.4856857129</v>
      </c>
      <c r="AM41" s="16">
        <f t="shared" si="20"/>
        <v>1118529.0782745911</v>
      </c>
      <c r="AN41" s="16">
        <f t="shared" si="20"/>
        <v>1143960.6708634694</v>
      </c>
      <c r="AO41" s="16">
        <f t="shared" si="20"/>
        <v>1169392.2634523476</v>
      </c>
      <c r="AP41" s="16">
        <f t="shared" si="20"/>
        <v>1194823.8560412258</v>
      </c>
      <c r="AQ41" s="16">
        <f t="shared" si="20"/>
        <v>1220255.4486301041</v>
      </c>
      <c r="AR41" s="16">
        <f t="shared" si="20"/>
        <v>1245687.0412189825</v>
      </c>
    </row>
    <row r="42" spans="1:44" x14ac:dyDescent="0.2">
      <c r="B42" s="1" t="s">
        <v>289</v>
      </c>
      <c r="C42" s="19" t="s">
        <v>272</v>
      </c>
      <c r="D42" s="16">
        <f>SUM(F42:AR42)</f>
        <v>1005666.0704298388</v>
      </c>
      <c r="F42" s="16">
        <f t="shared" ref="F42:J42" si="21">F36*F40</f>
        <v>0</v>
      </c>
      <c r="G42" s="16">
        <f t="shared" si="21"/>
        <v>0</v>
      </c>
      <c r="H42" s="16">
        <f t="shared" si="21"/>
        <v>0</v>
      </c>
      <c r="I42" s="16">
        <f t="shared" si="21"/>
        <v>0</v>
      </c>
      <c r="J42" s="16">
        <f t="shared" si="21"/>
        <v>0</v>
      </c>
      <c r="K42" s="16">
        <f>K36*K40</f>
        <v>17069.4384885</v>
      </c>
      <c r="L42" s="16">
        <f t="shared" ref="L42:AR42" si="22">L36*L40</f>
        <v>17207.106066401087</v>
      </c>
      <c r="M42" s="16">
        <f t="shared" si="22"/>
        <v>16987.161878608695</v>
      </c>
      <c r="N42" s="16">
        <f t="shared" si="22"/>
        <v>17361.409240653262</v>
      </c>
      <c r="O42" s="16">
        <f t="shared" si="22"/>
        <v>17669.965836404346</v>
      </c>
      <c r="P42" s="16">
        <f t="shared" si="22"/>
        <v>18026.237975527169</v>
      </c>
      <c r="Q42" s="16">
        <f t="shared" si="22"/>
        <v>18953.761775360868</v>
      </c>
      <c r="R42" s="16">
        <f t="shared" si="22"/>
        <v>19834.466109838042</v>
      </c>
      <c r="S42" s="16">
        <f t="shared" si="22"/>
        <v>20819.784035856519</v>
      </c>
      <c r="T42" s="16">
        <f t="shared" si="22"/>
        <v>21789.841722182606</v>
      </c>
      <c r="U42" s="16">
        <f t="shared" si="22"/>
        <v>22762.893183260865</v>
      </c>
      <c r="V42" s="16">
        <f t="shared" si="22"/>
        <v>23680.035287618473</v>
      </c>
      <c r="W42" s="16">
        <f t="shared" si="22"/>
        <v>24746.050652615217</v>
      </c>
      <c r="X42" s="16">
        <f t="shared" si="22"/>
        <v>25636.028236444559</v>
      </c>
      <c r="Y42" s="16">
        <f t="shared" si="22"/>
        <v>26655.675088030432</v>
      </c>
      <c r="Z42" s="16">
        <f t="shared" si="22"/>
        <v>27646.442272027169</v>
      </c>
      <c r="AA42" s="16">
        <f t="shared" si="22"/>
        <v>28583.357268423912</v>
      </c>
      <c r="AB42" s="16">
        <f t="shared" si="22"/>
        <v>29528.283052966301</v>
      </c>
      <c r="AC42" s="16">
        <f t="shared" si="22"/>
        <v>30611.982528469562</v>
      </c>
      <c r="AD42" s="16">
        <f t="shared" si="22"/>
        <v>31524.722468598906</v>
      </c>
      <c r="AE42" s="16">
        <f t="shared" si="22"/>
        <v>32566.113820663038</v>
      </c>
      <c r="AF42" s="16">
        <f t="shared" si="22"/>
        <v>33357.708191797821</v>
      </c>
      <c r="AG42" s="16">
        <f t="shared" si="22"/>
        <v>34328.643228782603</v>
      </c>
      <c r="AH42" s="16">
        <f t="shared" si="22"/>
        <v>35975.326661999992</v>
      </c>
      <c r="AI42" s="16">
        <f t="shared" si="22"/>
        <v>36930.965810615206</v>
      </c>
      <c r="AJ42" s="16">
        <f t="shared" si="22"/>
        <v>37919.03954170108</v>
      </c>
      <c r="AK42" s="16">
        <f t="shared" si="22"/>
        <v>38931.114513991299</v>
      </c>
      <c r="AL42" s="16">
        <f t="shared" si="22"/>
        <v>39869.05301212499</v>
      </c>
      <c r="AM42" s="16">
        <f t="shared" si="22"/>
        <v>40796.631317250001</v>
      </c>
      <c r="AN42" s="16">
        <f t="shared" si="22"/>
        <v>41724.209622374998</v>
      </c>
      <c r="AO42" s="16">
        <f t="shared" si="22"/>
        <v>42651.787927499994</v>
      </c>
      <c r="AP42" s="16">
        <f t="shared" si="22"/>
        <v>43579.366232624998</v>
      </c>
      <c r="AQ42" s="16">
        <f t="shared" si="22"/>
        <v>44506.944537749994</v>
      </c>
      <c r="AR42" s="16">
        <f t="shared" si="22"/>
        <v>45434.522842874998</v>
      </c>
    </row>
    <row r="43" spans="1:44" x14ac:dyDescent="0.2">
      <c r="C43" s="19"/>
      <c r="D43" s="75"/>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4" ht="15" x14ac:dyDescent="0.25">
      <c r="A44" s="2" t="s">
        <v>261</v>
      </c>
      <c r="C44" s="76"/>
      <c r="D44" s="75"/>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1:44" x14ac:dyDescent="0.2">
      <c r="B45" s="1" t="s">
        <v>262</v>
      </c>
      <c r="C45" s="19" t="s">
        <v>252</v>
      </c>
      <c r="D45" s="75">
        <f>SUM(F45:AR45)</f>
        <v>28152249.563746378</v>
      </c>
      <c r="F45" s="16">
        <f t="shared" ref="F45:J45" si="23">F41+F42</f>
        <v>0</v>
      </c>
      <c r="G45" s="16">
        <f t="shared" si="23"/>
        <v>0</v>
      </c>
      <c r="H45" s="16">
        <f t="shared" si="23"/>
        <v>0</v>
      </c>
      <c r="I45" s="16">
        <f t="shared" si="23"/>
        <v>0</v>
      </c>
      <c r="J45" s="16">
        <f t="shared" si="23"/>
        <v>0</v>
      </c>
      <c r="K45" s="16">
        <f>K41+K42</f>
        <v>465076.11400125007</v>
      </c>
      <c r="L45" s="16">
        <f t="shared" ref="L45:AR45" si="24">L41+L42</f>
        <v>448720.29128824896</v>
      </c>
      <c r="M45" s="16">
        <f t="shared" si="24"/>
        <v>443409.79548083479</v>
      </c>
      <c r="N45" s="16">
        <f t="shared" si="24"/>
        <v>462618.5896863555</v>
      </c>
      <c r="O45" s="16">
        <f t="shared" si="24"/>
        <v>483472.37907742173</v>
      </c>
      <c r="P45" s="16">
        <f t="shared" si="24"/>
        <v>507257.28456030978</v>
      </c>
      <c r="Q45" s="16">
        <f t="shared" si="24"/>
        <v>532280.85612512601</v>
      </c>
      <c r="R45" s="16">
        <f t="shared" si="24"/>
        <v>558255.39412815636</v>
      </c>
      <c r="S45" s="16">
        <f t="shared" si="24"/>
        <v>581739.31755258248</v>
      </c>
      <c r="T45" s="16">
        <f t="shared" si="24"/>
        <v>609042.11135823256</v>
      </c>
      <c r="U45" s="16">
        <f t="shared" si="24"/>
        <v>634877.77693891292</v>
      </c>
      <c r="V45" s="16">
        <f t="shared" si="24"/>
        <v>661404.86351918802</v>
      </c>
      <c r="W45" s="16">
        <f t="shared" si="24"/>
        <v>687429.13273040217</v>
      </c>
      <c r="X45" s="16">
        <f t="shared" si="24"/>
        <v>719295.17229135649</v>
      </c>
      <c r="Y45" s="16">
        <f t="shared" si="24"/>
        <v>745184.21063388255</v>
      </c>
      <c r="Z45" s="16">
        <f t="shared" si="24"/>
        <v>772298.75211094553</v>
      </c>
      <c r="AA45" s="16">
        <f t="shared" si="24"/>
        <v>800520.25645348674</v>
      </c>
      <c r="AB45" s="16">
        <f t="shared" si="24"/>
        <v>826548.42795666843</v>
      </c>
      <c r="AC45" s="16">
        <f t="shared" si="24"/>
        <v>851714.93651337374</v>
      </c>
      <c r="AD45" s="16">
        <f t="shared" si="24"/>
        <v>878876.06636389869</v>
      </c>
      <c r="AE45" s="16">
        <f t="shared" si="24"/>
        <v>900524.28223457595</v>
      </c>
      <c r="AF45" s="16">
        <f t="shared" si="24"/>
        <v>931196.06363474973</v>
      </c>
      <c r="AG45" s="16">
        <f t="shared" si="24"/>
        <v>956692.70209014753</v>
      </c>
      <c r="AH45" s="16">
        <f t="shared" si="24"/>
        <v>1008835.8600424499</v>
      </c>
      <c r="AI45" s="16">
        <f t="shared" si="24"/>
        <v>1034538.9212497694</v>
      </c>
      <c r="AJ45" s="16">
        <f t="shared" si="24"/>
        <v>1068679.1957890757</v>
      </c>
      <c r="AK45" s="16">
        <f t="shared" si="24"/>
        <v>1097452.4502760435</v>
      </c>
      <c r="AL45" s="16">
        <f t="shared" si="24"/>
        <v>1132966.5386978379</v>
      </c>
      <c r="AM45" s="16">
        <f t="shared" si="24"/>
        <v>1159325.7095918411</v>
      </c>
      <c r="AN45" s="16">
        <f t="shared" si="24"/>
        <v>1185684.8804858443</v>
      </c>
      <c r="AO45" s="16">
        <f t="shared" si="24"/>
        <v>1212044.0513798476</v>
      </c>
      <c r="AP45" s="16">
        <f t="shared" si="24"/>
        <v>1238403.2222738508</v>
      </c>
      <c r="AQ45" s="16">
        <f t="shared" si="24"/>
        <v>1264762.3931678541</v>
      </c>
      <c r="AR45" s="16">
        <f t="shared" si="24"/>
        <v>1291121.5640618575</v>
      </c>
    </row>
    <row r="46" spans="1:44" x14ac:dyDescent="0.2">
      <c r="C46" s="12"/>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row>
    <row r="47" spans="1:44" s="9" customFormat="1" x14ac:dyDescent="0.2">
      <c r="A47" s="8" t="s">
        <v>211</v>
      </c>
      <c r="B47" s="13"/>
      <c r="C47" s="13"/>
    </row>
    <row r="48" spans="1:44" ht="15" x14ac:dyDescent="0.25">
      <c r="A48" s="2" t="s">
        <v>274</v>
      </c>
    </row>
    <row r="49" spans="1:44" ht="15" x14ac:dyDescent="0.25">
      <c r="B49" s="2" t="s">
        <v>275</v>
      </c>
      <c r="C49" s="76"/>
      <c r="D49" s="75"/>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1:44" x14ac:dyDescent="0.2">
      <c r="B50" s="1" t="s">
        <v>162</v>
      </c>
      <c r="C50" s="76" t="s">
        <v>160</v>
      </c>
      <c r="D50" s="92">
        <f>Inputs!$E$137</f>
        <v>294</v>
      </c>
      <c r="F50" s="96">
        <f t="shared" ref="F50:AR50" si="25">IF(F$7=$D$51,$D$50,0)</f>
        <v>0</v>
      </c>
      <c r="G50" s="96">
        <f t="shared" si="25"/>
        <v>0</v>
      </c>
      <c r="H50" s="96">
        <f t="shared" si="25"/>
        <v>0</v>
      </c>
      <c r="I50" s="96">
        <f t="shared" si="25"/>
        <v>0</v>
      </c>
      <c r="J50" s="96">
        <f t="shared" si="25"/>
        <v>0</v>
      </c>
      <c r="K50" s="96">
        <f t="shared" si="25"/>
        <v>294</v>
      </c>
      <c r="L50" s="96">
        <f t="shared" si="25"/>
        <v>0</v>
      </c>
      <c r="M50" s="96">
        <f t="shared" si="25"/>
        <v>0</v>
      </c>
      <c r="N50" s="96">
        <f t="shared" si="25"/>
        <v>0</v>
      </c>
      <c r="O50" s="96">
        <f t="shared" si="25"/>
        <v>0</v>
      </c>
      <c r="P50" s="96">
        <f t="shared" si="25"/>
        <v>0</v>
      </c>
      <c r="Q50" s="96">
        <f t="shared" si="25"/>
        <v>0</v>
      </c>
      <c r="R50" s="96">
        <f t="shared" si="25"/>
        <v>0</v>
      </c>
      <c r="S50" s="96">
        <f t="shared" si="25"/>
        <v>0</v>
      </c>
      <c r="T50" s="96">
        <f t="shared" si="25"/>
        <v>0</v>
      </c>
      <c r="U50" s="96">
        <f t="shared" si="25"/>
        <v>0</v>
      </c>
      <c r="V50" s="96">
        <f t="shared" si="25"/>
        <v>0</v>
      </c>
      <c r="W50" s="96">
        <f t="shared" si="25"/>
        <v>0</v>
      </c>
      <c r="X50" s="96">
        <f t="shared" si="25"/>
        <v>0</v>
      </c>
      <c r="Y50" s="96">
        <f t="shared" si="25"/>
        <v>0</v>
      </c>
      <c r="Z50" s="96">
        <f t="shared" si="25"/>
        <v>0</v>
      </c>
      <c r="AA50" s="96">
        <f t="shared" si="25"/>
        <v>0</v>
      </c>
      <c r="AB50" s="96">
        <f t="shared" si="25"/>
        <v>0</v>
      </c>
      <c r="AC50" s="96">
        <f t="shared" si="25"/>
        <v>0</v>
      </c>
      <c r="AD50" s="96">
        <f t="shared" si="25"/>
        <v>0</v>
      </c>
      <c r="AE50" s="96">
        <f t="shared" si="25"/>
        <v>0</v>
      </c>
      <c r="AF50" s="96">
        <f t="shared" si="25"/>
        <v>0</v>
      </c>
      <c r="AG50" s="96">
        <f t="shared" si="25"/>
        <v>0</v>
      </c>
      <c r="AH50" s="96">
        <f t="shared" si="25"/>
        <v>0</v>
      </c>
      <c r="AI50" s="96">
        <f t="shared" si="25"/>
        <v>0</v>
      </c>
      <c r="AJ50" s="96">
        <f t="shared" si="25"/>
        <v>0</v>
      </c>
      <c r="AK50" s="96">
        <f t="shared" si="25"/>
        <v>0</v>
      </c>
      <c r="AL50" s="96">
        <f t="shared" si="25"/>
        <v>0</v>
      </c>
      <c r="AM50" s="96">
        <f t="shared" si="25"/>
        <v>0</v>
      </c>
      <c r="AN50" s="96">
        <f t="shared" si="25"/>
        <v>0</v>
      </c>
      <c r="AO50" s="96">
        <f t="shared" si="25"/>
        <v>0</v>
      </c>
      <c r="AP50" s="96">
        <f t="shared" si="25"/>
        <v>0</v>
      </c>
      <c r="AQ50" s="96">
        <f t="shared" si="25"/>
        <v>0</v>
      </c>
      <c r="AR50" s="96">
        <f t="shared" si="25"/>
        <v>0</v>
      </c>
    </row>
    <row r="51" spans="1:44" x14ac:dyDescent="0.2">
      <c r="B51" s="1" t="s">
        <v>162</v>
      </c>
      <c r="C51" s="76" t="s">
        <v>102</v>
      </c>
      <c r="D51" s="20">
        <f>Inputs!$E$138</f>
        <v>2023</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44" x14ac:dyDescent="0.2">
      <c r="B52" s="1" t="s">
        <v>163</v>
      </c>
      <c r="C52" s="76" t="s">
        <v>160</v>
      </c>
      <c r="D52" s="92">
        <f>Inputs!$E$139</f>
        <v>598.5</v>
      </c>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1:44" x14ac:dyDescent="0.2">
      <c r="B53" s="1" t="s">
        <v>163</v>
      </c>
      <c r="C53" s="76" t="s">
        <v>102</v>
      </c>
      <c r="D53" s="20">
        <f>Inputs!$E$140</f>
        <v>2046</v>
      </c>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1:44" x14ac:dyDescent="0.2">
      <c r="B54" s="1" t="s">
        <v>242</v>
      </c>
      <c r="C54" s="76" t="s">
        <v>278</v>
      </c>
      <c r="D54" s="15">
        <f>(D52-D50)/(D53-D51)</f>
        <v>13.239130434782609</v>
      </c>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1:44" x14ac:dyDescent="0.2">
      <c r="B55" s="1" t="s">
        <v>243</v>
      </c>
      <c r="C55" s="76" t="s">
        <v>244</v>
      </c>
      <c r="D55" s="17"/>
      <c r="F55" s="16">
        <f t="shared" ref="F55:AR55" si="26">IF(F7&gt;$D$24,1,0)</f>
        <v>0</v>
      </c>
      <c r="G55" s="16">
        <f t="shared" si="26"/>
        <v>0</v>
      </c>
      <c r="H55" s="16">
        <f t="shared" si="26"/>
        <v>0</v>
      </c>
      <c r="I55" s="16">
        <f t="shared" si="26"/>
        <v>0</v>
      </c>
      <c r="J55" s="16">
        <f t="shared" si="26"/>
        <v>0</v>
      </c>
      <c r="K55" s="16">
        <f t="shared" si="26"/>
        <v>0</v>
      </c>
      <c r="L55" s="16">
        <f t="shared" si="26"/>
        <v>1</v>
      </c>
      <c r="M55" s="16">
        <f t="shared" si="26"/>
        <v>1</v>
      </c>
      <c r="N55" s="16">
        <f t="shared" si="26"/>
        <v>1</v>
      </c>
      <c r="O55" s="16">
        <f t="shared" si="26"/>
        <v>1</v>
      </c>
      <c r="P55" s="16">
        <f t="shared" si="26"/>
        <v>1</v>
      </c>
      <c r="Q55" s="16">
        <f t="shared" si="26"/>
        <v>1</v>
      </c>
      <c r="R55" s="16">
        <f t="shared" si="26"/>
        <v>1</v>
      </c>
      <c r="S55" s="16">
        <f t="shared" si="26"/>
        <v>1</v>
      </c>
      <c r="T55" s="16">
        <f t="shared" si="26"/>
        <v>1</v>
      </c>
      <c r="U55" s="16">
        <f t="shared" si="26"/>
        <v>1</v>
      </c>
      <c r="V55" s="16">
        <f t="shared" si="26"/>
        <v>1</v>
      </c>
      <c r="W55" s="16">
        <f t="shared" si="26"/>
        <v>1</v>
      </c>
      <c r="X55" s="16">
        <f t="shared" si="26"/>
        <v>1</v>
      </c>
      <c r="Y55" s="16">
        <f t="shared" si="26"/>
        <v>1</v>
      </c>
      <c r="Z55" s="16">
        <f t="shared" si="26"/>
        <v>1</v>
      </c>
      <c r="AA55" s="16">
        <f t="shared" si="26"/>
        <v>1</v>
      </c>
      <c r="AB55" s="16">
        <f t="shared" si="26"/>
        <v>1</v>
      </c>
      <c r="AC55" s="16">
        <f t="shared" si="26"/>
        <v>1</v>
      </c>
      <c r="AD55" s="16">
        <f t="shared" si="26"/>
        <v>1</v>
      </c>
      <c r="AE55" s="16">
        <f t="shared" si="26"/>
        <v>1</v>
      </c>
      <c r="AF55" s="16">
        <f t="shared" si="26"/>
        <v>1</v>
      </c>
      <c r="AG55" s="16">
        <f t="shared" si="26"/>
        <v>1</v>
      </c>
      <c r="AH55" s="16">
        <f t="shared" si="26"/>
        <v>1</v>
      </c>
      <c r="AI55" s="16">
        <f t="shared" si="26"/>
        <v>1</v>
      </c>
      <c r="AJ55" s="16">
        <f t="shared" si="26"/>
        <v>1</v>
      </c>
      <c r="AK55" s="16">
        <f t="shared" si="26"/>
        <v>1</v>
      </c>
      <c r="AL55" s="16">
        <f t="shared" si="26"/>
        <v>1</v>
      </c>
      <c r="AM55" s="16">
        <f t="shared" si="26"/>
        <v>1</v>
      </c>
      <c r="AN55" s="16">
        <f t="shared" si="26"/>
        <v>1</v>
      </c>
      <c r="AO55" s="16">
        <f t="shared" si="26"/>
        <v>1</v>
      </c>
      <c r="AP55" s="16">
        <f t="shared" si="26"/>
        <v>1</v>
      </c>
      <c r="AQ55" s="16">
        <f t="shared" si="26"/>
        <v>1</v>
      </c>
      <c r="AR55" s="16">
        <f t="shared" si="26"/>
        <v>1</v>
      </c>
    </row>
    <row r="56" spans="1:44" ht="15" x14ac:dyDescent="0.25">
      <c r="A56" s="2"/>
      <c r="B56" s="1" t="s">
        <v>279</v>
      </c>
      <c r="C56" s="76" t="s">
        <v>278</v>
      </c>
      <c r="D56" s="92">
        <f>SUM(F56:AR56)</f>
        <v>17423.152173913051</v>
      </c>
      <c r="F56" s="75">
        <f t="shared" ref="F56:K56" si="27">E56+F50+F55*$D$54</f>
        <v>0</v>
      </c>
      <c r="G56" s="75">
        <f t="shared" si="27"/>
        <v>0</v>
      </c>
      <c r="H56" s="75">
        <f t="shared" si="27"/>
        <v>0</v>
      </c>
      <c r="I56" s="75">
        <f t="shared" si="27"/>
        <v>0</v>
      </c>
      <c r="J56" s="75">
        <f t="shared" si="27"/>
        <v>0</v>
      </c>
      <c r="K56" s="75">
        <f t="shared" si="27"/>
        <v>294</v>
      </c>
      <c r="L56" s="75">
        <f>K56+L50+L55*$D$54</f>
        <v>307.23913043478262</v>
      </c>
      <c r="M56" s="75">
        <f t="shared" ref="M56:AR56" si="28">L56+M50+M55*$D$54</f>
        <v>320.47826086956525</v>
      </c>
      <c r="N56" s="75">
        <f t="shared" si="28"/>
        <v>333.71739130434787</v>
      </c>
      <c r="O56" s="75">
        <f t="shared" si="28"/>
        <v>346.95652173913049</v>
      </c>
      <c r="P56" s="75">
        <f t="shared" si="28"/>
        <v>360.19565217391312</v>
      </c>
      <c r="Q56" s="75">
        <f t="shared" si="28"/>
        <v>373.43478260869574</v>
      </c>
      <c r="R56" s="75">
        <f t="shared" si="28"/>
        <v>386.67391304347836</v>
      </c>
      <c r="S56" s="75">
        <f t="shared" si="28"/>
        <v>399.91304347826099</v>
      </c>
      <c r="T56" s="75">
        <f t="shared" si="28"/>
        <v>413.15217391304361</v>
      </c>
      <c r="U56" s="75">
        <f t="shared" si="28"/>
        <v>426.39130434782624</v>
      </c>
      <c r="V56" s="75">
        <f t="shared" si="28"/>
        <v>439.63043478260886</v>
      </c>
      <c r="W56" s="75">
        <f t="shared" si="28"/>
        <v>452.86956521739148</v>
      </c>
      <c r="X56" s="75">
        <f t="shared" si="28"/>
        <v>466.10869565217411</v>
      </c>
      <c r="Y56" s="75">
        <f t="shared" si="28"/>
        <v>479.34782608695673</v>
      </c>
      <c r="Z56" s="75">
        <f t="shared" si="28"/>
        <v>492.58695652173935</v>
      </c>
      <c r="AA56" s="75">
        <f t="shared" si="28"/>
        <v>505.82608695652198</v>
      </c>
      <c r="AB56" s="75">
        <f t="shared" si="28"/>
        <v>519.0652173913046</v>
      </c>
      <c r="AC56" s="75">
        <f t="shared" si="28"/>
        <v>532.30434782608722</v>
      </c>
      <c r="AD56" s="75">
        <f t="shared" si="28"/>
        <v>545.54347826086985</v>
      </c>
      <c r="AE56" s="75">
        <f t="shared" si="28"/>
        <v>558.78260869565247</v>
      </c>
      <c r="AF56" s="75">
        <f t="shared" si="28"/>
        <v>572.02173913043509</v>
      </c>
      <c r="AG56" s="75">
        <f t="shared" si="28"/>
        <v>585.26086956521772</v>
      </c>
      <c r="AH56" s="75">
        <f t="shared" si="28"/>
        <v>598.50000000000034</v>
      </c>
      <c r="AI56" s="75">
        <f t="shared" si="28"/>
        <v>611.73913043478296</v>
      </c>
      <c r="AJ56" s="75">
        <f t="shared" si="28"/>
        <v>624.97826086956559</v>
      </c>
      <c r="AK56" s="75">
        <f t="shared" si="28"/>
        <v>638.21739130434821</v>
      </c>
      <c r="AL56" s="75">
        <f t="shared" si="28"/>
        <v>651.45652173913084</v>
      </c>
      <c r="AM56" s="75">
        <f t="shared" si="28"/>
        <v>664.69565217391346</v>
      </c>
      <c r="AN56" s="75">
        <f t="shared" si="28"/>
        <v>677.93478260869608</v>
      </c>
      <c r="AO56" s="75">
        <f t="shared" si="28"/>
        <v>691.17391304347871</v>
      </c>
      <c r="AP56" s="75">
        <f t="shared" si="28"/>
        <v>704.41304347826133</v>
      </c>
      <c r="AQ56" s="75">
        <f t="shared" si="28"/>
        <v>717.65217391304395</v>
      </c>
      <c r="AR56" s="75">
        <f t="shared" si="28"/>
        <v>730.89130434782658</v>
      </c>
    </row>
    <row r="57" spans="1:44" ht="15" x14ac:dyDescent="0.25">
      <c r="A57" s="2"/>
      <c r="B57" s="1" t="s">
        <v>268</v>
      </c>
      <c r="C57" s="76" t="s">
        <v>95</v>
      </c>
      <c r="D57" s="92">
        <f>Inputs!$E$32</f>
        <v>365</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row>
    <row r="58" spans="1:44" ht="15" x14ac:dyDescent="0.25">
      <c r="A58" s="2"/>
      <c r="B58" s="1" t="s">
        <v>279</v>
      </c>
      <c r="C58" s="76" t="s">
        <v>280</v>
      </c>
      <c r="D58" s="92">
        <f>SUM(F58:AR58)</f>
        <v>6359450.5434782645</v>
      </c>
      <c r="F58" s="75">
        <f>F56*$D$30</f>
        <v>0</v>
      </c>
      <c r="G58" s="75">
        <f t="shared" ref="G58:AR58" si="29">G56*$D$30</f>
        <v>0</v>
      </c>
      <c r="H58" s="75">
        <f t="shared" si="29"/>
        <v>0</v>
      </c>
      <c r="I58" s="75">
        <f t="shared" si="29"/>
        <v>0</v>
      </c>
      <c r="J58" s="75">
        <f t="shared" si="29"/>
        <v>0</v>
      </c>
      <c r="K58" s="75">
        <f t="shared" si="29"/>
        <v>107310</v>
      </c>
      <c r="L58" s="75">
        <f t="shared" si="29"/>
        <v>112142.28260869566</v>
      </c>
      <c r="M58" s="75">
        <f t="shared" si="29"/>
        <v>116974.56521739131</v>
      </c>
      <c r="N58" s="75">
        <f t="shared" si="29"/>
        <v>121806.84782608697</v>
      </c>
      <c r="O58" s="75">
        <f t="shared" si="29"/>
        <v>126639.13043478264</v>
      </c>
      <c r="P58" s="75">
        <f t="shared" si="29"/>
        <v>131471.4130434783</v>
      </c>
      <c r="Q58" s="75">
        <f t="shared" si="29"/>
        <v>136303.69565217395</v>
      </c>
      <c r="R58" s="75">
        <f t="shared" si="29"/>
        <v>141135.9782608696</v>
      </c>
      <c r="S58" s="75">
        <f t="shared" si="29"/>
        <v>145968.26086956527</v>
      </c>
      <c r="T58" s="75">
        <f t="shared" si="29"/>
        <v>150800.54347826092</v>
      </c>
      <c r="U58" s="75">
        <f t="shared" si="29"/>
        <v>155632.82608695657</v>
      </c>
      <c r="V58" s="75">
        <f t="shared" si="29"/>
        <v>160465.10869565222</v>
      </c>
      <c r="W58" s="75">
        <f t="shared" si="29"/>
        <v>165297.3913043479</v>
      </c>
      <c r="X58" s="75">
        <f t="shared" si="29"/>
        <v>170129.67391304355</v>
      </c>
      <c r="Y58" s="75">
        <f t="shared" si="29"/>
        <v>174961.95652173919</v>
      </c>
      <c r="Z58" s="75">
        <f t="shared" si="29"/>
        <v>179794.23913043487</v>
      </c>
      <c r="AA58" s="75">
        <f t="shared" si="29"/>
        <v>184626.52173913052</v>
      </c>
      <c r="AB58" s="75">
        <f t="shared" si="29"/>
        <v>189458.80434782617</v>
      </c>
      <c r="AC58" s="75">
        <f t="shared" si="29"/>
        <v>194291.08695652185</v>
      </c>
      <c r="AD58" s="75">
        <f t="shared" si="29"/>
        <v>199123.36956521749</v>
      </c>
      <c r="AE58" s="75">
        <f t="shared" si="29"/>
        <v>203955.65217391314</v>
      </c>
      <c r="AF58" s="75">
        <f t="shared" si="29"/>
        <v>208787.93478260882</v>
      </c>
      <c r="AG58" s="75">
        <f t="shared" si="29"/>
        <v>213620.21739130447</v>
      </c>
      <c r="AH58" s="75">
        <f t="shared" si="29"/>
        <v>218452.50000000012</v>
      </c>
      <c r="AI58" s="75">
        <f t="shared" si="29"/>
        <v>223284.78260869579</v>
      </c>
      <c r="AJ58" s="75">
        <f t="shared" si="29"/>
        <v>228117.06521739144</v>
      </c>
      <c r="AK58" s="75">
        <f t="shared" si="29"/>
        <v>232949.34782608709</v>
      </c>
      <c r="AL58" s="75">
        <f t="shared" si="29"/>
        <v>237781.63043478277</v>
      </c>
      <c r="AM58" s="75">
        <f t="shared" si="29"/>
        <v>242613.91304347842</v>
      </c>
      <c r="AN58" s="75">
        <f t="shared" si="29"/>
        <v>247446.19565217406</v>
      </c>
      <c r="AO58" s="75">
        <f t="shared" si="29"/>
        <v>252278.47826086971</v>
      </c>
      <c r="AP58" s="75">
        <f t="shared" si="29"/>
        <v>257110.76086956539</v>
      </c>
      <c r="AQ58" s="75">
        <f t="shared" si="29"/>
        <v>261943.04347826104</v>
      </c>
      <c r="AR58" s="75">
        <f t="shared" si="29"/>
        <v>266775.32608695672</v>
      </c>
    </row>
    <row r="59" spans="1:44" ht="15" x14ac:dyDescent="0.25">
      <c r="A59" s="2"/>
      <c r="C59" s="76"/>
      <c r="D59" s="92"/>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row>
    <row r="60" spans="1:44" ht="15" x14ac:dyDescent="0.25">
      <c r="A60" s="2"/>
      <c r="B60" s="2" t="s">
        <v>281</v>
      </c>
      <c r="C60" s="76"/>
      <c r="D60" s="62"/>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row>
    <row r="61" spans="1:44" ht="15" x14ac:dyDescent="0.25">
      <c r="A61" s="2"/>
      <c r="B61" s="1" t="str">
        <f>Inputs!C138</f>
        <v>Fuel Consumption Base Year - Build</v>
      </c>
      <c r="C61" s="76" t="s">
        <v>60</v>
      </c>
      <c r="D61" s="62">
        <f>Inputs!$E$47</f>
        <v>0.03</v>
      </c>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row>
    <row r="62" spans="1:44" ht="15" x14ac:dyDescent="0.25">
      <c r="A62" s="2"/>
      <c r="B62" s="1" t="s">
        <v>282</v>
      </c>
      <c r="C62" s="76" t="s">
        <v>280</v>
      </c>
      <c r="D62" s="92">
        <f>SUM(F62:AR62)</f>
        <v>6168667.027173914</v>
      </c>
      <c r="F62" s="75">
        <f t="shared" ref="F62:AG62" si="30">F58*(1-$D$61)</f>
        <v>0</v>
      </c>
      <c r="G62" s="75">
        <f t="shared" si="30"/>
        <v>0</v>
      </c>
      <c r="H62" s="75">
        <f t="shared" si="30"/>
        <v>0</v>
      </c>
      <c r="I62" s="75">
        <f t="shared" si="30"/>
        <v>0</v>
      </c>
      <c r="J62" s="75">
        <f t="shared" si="30"/>
        <v>0</v>
      </c>
      <c r="K62" s="75">
        <f t="shared" si="30"/>
        <v>104090.7</v>
      </c>
      <c r="L62" s="75">
        <f t="shared" si="30"/>
        <v>108778.01413043479</v>
      </c>
      <c r="M62" s="75">
        <f t="shared" si="30"/>
        <v>113465.32826086957</v>
      </c>
      <c r="N62" s="75">
        <f t="shared" si="30"/>
        <v>118152.64239130435</v>
      </c>
      <c r="O62" s="75">
        <f t="shared" si="30"/>
        <v>122839.95652173915</v>
      </c>
      <c r="P62" s="75">
        <f t="shared" si="30"/>
        <v>127527.27065217395</v>
      </c>
      <c r="Q62" s="75">
        <f t="shared" si="30"/>
        <v>132214.58478260873</v>
      </c>
      <c r="R62" s="75">
        <f t="shared" si="30"/>
        <v>136901.89891304349</v>
      </c>
      <c r="S62" s="75">
        <f t="shared" si="30"/>
        <v>141589.21304347832</v>
      </c>
      <c r="T62" s="75">
        <f t="shared" si="30"/>
        <v>146276.52717391308</v>
      </c>
      <c r="U62" s="75">
        <f t="shared" si="30"/>
        <v>150963.84130434788</v>
      </c>
      <c r="V62" s="75">
        <f t="shared" si="30"/>
        <v>155651.15543478265</v>
      </c>
      <c r="W62" s="75">
        <f t="shared" si="30"/>
        <v>160338.46956521744</v>
      </c>
      <c r="X62" s="75">
        <f t="shared" si="30"/>
        <v>165025.78369565224</v>
      </c>
      <c r="Y62" s="75">
        <f t="shared" si="30"/>
        <v>169713.097826087</v>
      </c>
      <c r="Z62" s="75">
        <f t="shared" si="30"/>
        <v>174400.41195652183</v>
      </c>
      <c r="AA62" s="75">
        <f t="shared" si="30"/>
        <v>179087.72608695659</v>
      </c>
      <c r="AB62" s="75">
        <f t="shared" si="30"/>
        <v>183775.04021739139</v>
      </c>
      <c r="AC62" s="75">
        <f t="shared" si="30"/>
        <v>188462.35434782619</v>
      </c>
      <c r="AD62" s="75">
        <f t="shared" si="30"/>
        <v>193149.66847826095</v>
      </c>
      <c r="AE62" s="75">
        <f t="shared" si="30"/>
        <v>197836.98260869575</v>
      </c>
      <c r="AF62" s="75">
        <f t="shared" si="30"/>
        <v>202524.29673913054</v>
      </c>
      <c r="AG62" s="75">
        <f t="shared" si="30"/>
        <v>207211.61086956534</v>
      </c>
      <c r="AH62" s="75">
        <f>AH58*(1-$D$61)</f>
        <v>211898.9250000001</v>
      </c>
      <c r="AI62" s="75">
        <f t="shared" ref="AI62:AR62" si="31">AI58*(1-$D$61)</f>
        <v>216586.2391304349</v>
      </c>
      <c r="AJ62" s="75">
        <f t="shared" si="31"/>
        <v>221273.5532608697</v>
      </c>
      <c r="AK62" s="75">
        <f t="shared" si="31"/>
        <v>225960.86739130446</v>
      </c>
      <c r="AL62" s="75">
        <f t="shared" si="31"/>
        <v>230648.18152173929</v>
      </c>
      <c r="AM62" s="75">
        <f t="shared" si="31"/>
        <v>235335.49565217405</v>
      </c>
      <c r="AN62" s="75">
        <f t="shared" si="31"/>
        <v>240022.80978260885</v>
      </c>
      <c r="AO62" s="75">
        <f t="shared" si="31"/>
        <v>244710.12391304362</v>
      </c>
      <c r="AP62" s="75">
        <f t="shared" si="31"/>
        <v>249397.43804347841</v>
      </c>
      <c r="AQ62" s="75">
        <f t="shared" si="31"/>
        <v>254084.75217391321</v>
      </c>
      <c r="AR62" s="75">
        <f t="shared" si="31"/>
        <v>258772.066304348</v>
      </c>
    </row>
    <row r="63" spans="1:44" ht="15" x14ac:dyDescent="0.25">
      <c r="A63" s="2"/>
      <c r="B63" s="1" t="s">
        <v>283</v>
      </c>
      <c r="C63" s="76" t="s">
        <v>280</v>
      </c>
      <c r="D63" s="92">
        <f>SUM(F63:AR63)</f>
        <v>190783.51630434793</v>
      </c>
      <c r="F63" s="75">
        <f t="shared" ref="F63:J63" si="32">F58*$D$61</f>
        <v>0</v>
      </c>
      <c r="G63" s="75">
        <f t="shared" si="32"/>
        <v>0</v>
      </c>
      <c r="H63" s="75">
        <f t="shared" si="32"/>
        <v>0</v>
      </c>
      <c r="I63" s="75">
        <f t="shared" si="32"/>
        <v>0</v>
      </c>
      <c r="J63" s="75">
        <f t="shared" si="32"/>
        <v>0</v>
      </c>
      <c r="K63" s="75">
        <f>K58*$D$61</f>
        <v>3219.2999999999997</v>
      </c>
      <c r="L63" s="75">
        <f t="shared" ref="L63:AR63" si="33">L58*$D$61</f>
        <v>3364.2684782608699</v>
      </c>
      <c r="M63" s="75">
        <f t="shared" si="33"/>
        <v>3509.2369565217391</v>
      </c>
      <c r="N63" s="75">
        <f t="shared" si="33"/>
        <v>3654.2054347826092</v>
      </c>
      <c r="O63" s="75">
        <f t="shared" si="33"/>
        <v>3799.1739130434789</v>
      </c>
      <c r="P63" s="75">
        <f t="shared" si="33"/>
        <v>3944.1423913043491</v>
      </c>
      <c r="Q63" s="75">
        <f t="shared" si="33"/>
        <v>4089.1108695652183</v>
      </c>
      <c r="R63" s="75">
        <f t="shared" si="33"/>
        <v>4234.0793478260875</v>
      </c>
      <c r="S63" s="75">
        <f t="shared" si="33"/>
        <v>4379.0478260869577</v>
      </c>
      <c r="T63" s="75">
        <f t="shared" si="33"/>
        <v>4524.0163043478278</v>
      </c>
      <c r="U63" s="75">
        <f t="shared" si="33"/>
        <v>4668.9847826086971</v>
      </c>
      <c r="V63" s="75">
        <f t="shared" si="33"/>
        <v>4813.9532608695663</v>
      </c>
      <c r="W63" s="75">
        <f t="shared" si="33"/>
        <v>4958.9217391304364</v>
      </c>
      <c r="X63" s="75">
        <f t="shared" si="33"/>
        <v>5103.8902173913066</v>
      </c>
      <c r="Y63" s="75">
        <f t="shared" si="33"/>
        <v>5248.8586956521758</v>
      </c>
      <c r="Z63" s="75">
        <f t="shared" si="33"/>
        <v>5393.827173913046</v>
      </c>
      <c r="AA63" s="75">
        <f t="shared" si="33"/>
        <v>5538.7956521739152</v>
      </c>
      <c r="AB63" s="75">
        <f t="shared" si="33"/>
        <v>5683.7641304347844</v>
      </c>
      <c r="AC63" s="75">
        <f t="shared" si="33"/>
        <v>5828.7326086956555</v>
      </c>
      <c r="AD63" s="75">
        <f t="shared" si="33"/>
        <v>5973.7010869565247</v>
      </c>
      <c r="AE63" s="75">
        <f t="shared" si="33"/>
        <v>6118.6695652173939</v>
      </c>
      <c r="AF63" s="75">
        <f t="shared" si="33"/>
        <v>6263.6380434782641</v>
      </c>
      <c r="AG63" s="75">
        <f t="shared" si="33"/>
        <v>6408.6065217391342</v>
      </c>
      <c r="AH63" s="75">
        <f t="shared" si="33"/>
        <v>6553.5750000000035</v>
      </c>
      <c r="AI63" s="75">
        <f t="shared" si="33"/>
        <v>6698.5434782608736</v>
      </c>
      <c r="AJ63" s="75">
        <f t="shared" si="33"/>
        <v>6843.5119565217428</v>
      </c>
      <c r="AK63" s="75">
        <f t="shared" si="33"/>
        <v>6988.4804347826121</v>
      </c>
      <c r="AL63" s="75">
        <f t="shared" si="33"/>
        <v>7133.4489130434831</v>
      </c>
      <c r="AM63" s="75">
        <f t="shared" si="33"/>
        <v>7278.4173913043523</v>
      </c>
      <c r="AN63" s="75">
        <f t="shared" si="33"/>
        <v>7423.3858695652216</v>
      </c>
      <c r="AO63" s="75">
        <f t="shared" si="33"/>
        <v>7568.3543478260908</v>
      </c>
      <c r="AP63" s="75">
        <f t="shared" si="33"/>
        <v>7713.3228260869619</v>
      </c>
      <c r="AQ63" s="75">
        <f t="shared" si="33"/>
        <v>7858.2913043478311</v>
      </c>
      <c r="AR63" s="75">
        <f t="shared" si="33"/>
        <v>8003.2597826087012</v>
      </c>
    </row>
    <row r="64" spans="1:44" ht="15" x14ac:dyDescent="0.25">
      <c r="A64" s="2"/>
      <c r="C64" s="76"/>
      <c r="D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row>
    <row r="65" spans="1:44" ht="15" x14ac:dyDescent="0.25">
      <c r="B65" s="2" t="s">
        <v>284</v>
      </c>
      <c r="C65" s="76"/>
      <c r="D65" s="92"/>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row>
    <row r="66" spans="1:44" x14ac:dyDescent="0.2">
      <c r="B66" s="1" t="s">
        <v>285</v>
      </c>
      <c r="C66" s="76" t="s">
        <v>286</v>
      </c>
      <c r="D66" s="97"/>
      <c r="F66" s="15">
        <f>IFERROR(HLOOKUP(F$7,'REF Fuel Prices'!#REF!,13),0)</f>
        <v>0</v>
      </c>
      <c r="G66" s="15">
        <f>IFERROR(HLOOKUP(G$7,'REF Fuel Prices'!#REF!,13),0)</f>
        <v>0</v>
      </c>
      <c r="H66" s="15">
        <f>IFERROR(HLOOKUP(H$7,'REF Fuel Prices'!#REF!,13),0)</f>
        <v>0</v>
      </c>
      <c r="I66" s="15">
        <f>IFERROR(HLOOKUP(I$7,'REF Fuel Prices'!#REF!,13),0)</f>
        <v>0</v>
      </c>
      <c r="J66" s="15">
        <f>IFERROR(HLOOKUP(J$7,'REF Fuel Prices'!#REF!,13),0)</f>
        <v>0</v>
      </c>
      <c r="K66" s="15">
        <f>IFERROR(HLOOKUP(K$7,'REF Fuel Prices'!#REF!,13),0)</f>
        <v>0</v>
      </c>
      <c r="L66" s="15">
        <f>IFERROR(HLOOKUP(L$7,'REF Fuel Prices'!#REF!,13),0)</f>
        <v>0</v>
      </c>
      <c r="M66" s="15">
        <f>IFERROR(HLOOKUP(M$7,'REF Fuel Prices'!#REF!,13),0)</f>
        <v>0</v>
      </c>
      <c r="N66" s="15">
        <f>IFERROR(HLOOKUP(N$7,'REF Fuel Prices'!#REF!,13),0)</f>
        <v>0</v>
      </c>
      <c r="O66" s="15">
        <f>IFERROR(HLOOKUP(O$7,'REF Fuel Prices'!#REF!,13),0)</f>
        <v>0</v>
      </c>
      <c r="P66" s="15">
        <f>IFERROR(HLOOKUP(P$7,'REF Fuel Prices'!#REF!,13),0)</f>
        <v>0</v>
      </c>
      <c r="Q66" s="15">
        <f>IFERROR(HLOOKUP(Q$7,'REF Fuel Prices'!#REF!,13),0)</f>
        <v>0</v>
      </c>
      <c r="R66" s="15">
        <f>IFERROR(HLOOKUP(R$7,'REF Fuel Prices'!#REF!,13),0)</f>
        <v>0</v>
      </c>
      <c r="S66" s="15">
        <f>IFERROR(HLOOKUP(S$7,'REF Fuel Prices'!#REF!,13),0)</f>
        <v>0</v>
      </c>
      <c r="T66" s="15">
        <f>IFERROR(HLOOKUP(T$7,'REF Fuel Prices'!#REF!,13),0)</f>
        <v>0</v>
      </c>
      <c r="U66" s="15">
        <f>IFERROR(HLOOKUP(U$7,'REF Fuel Prices'!#REF!,13),0)</f>
        <v>0</v>
      </c>
      <c r="V66" s="15">
        <f>IFERROR(HLOOKUP(V$7,'REF Fuel Prices'!#REF!,13),0)</f>
        <v>0</v>
      </c>
      <c r="W66" s="15">
        <f>IFERROR(HLOOKUP(W$7,'REF Fuel Prices'!#REF!,13),0)</f>
        <v>0</v>
      </c>
      <c r="X66" s="15">
        <f>IFERROR(HLOOKUP(X$7,'REF Fuel Prices'!#REF!,13),0)</f>
        <v>0</v>
      </c>
      <c r="Y66" s="15">
        <f>IFERROR(HLOOKUP(Y$7,'REF Fuel Prices'!#REF!,13),0)</f>
        <v>0</v>
      </c>
      <c r="Z66" s="15">
        <f>IFERROR(HLOOKUP(Z$7,'REF Fuel Prices'!#REF!,13),0)</f>
        <v>0</v>
      </c>
      <c r="AA66" s="15">
        <f>IFERROR(HLOOKUP(AA$7,'REF Fuel Prices'!#REF!,13),0)</f>
        <v>0</v>
      </c>
      <c r="AB66" s="15">
        <f>IFERROR(HLOOKUP(AB$7,'REF Fuel Prices'!#REF!,13),0)</f>
        <v>0</v>
      </c>
      <c r="AC66" s="15">
        <f>IFERROR(HLOOKUP(AC$7,'REF Fuel Prices'!#REF!,13),0)</f>
        <v>0</v>
      </c>
      <c r="AD66" s="15">
        <f>IFERROR(HLOOKUP(AD$7,'REF Fuel Prices'!#REF!,13),0)</f>
        <v>0</v>
      </c>
      <c r="AE66" s="15">
        <f>IFERROR(HLOOKUP(AE$7,'REF Fuel Prices'!#REF!,13),0)</f>
        <v>0</v>
      </c>
      <c r="AF66" s="15">
        <f>IFERROR(HLOOKUP(AF$7,'REF Fuel Prices'!#REF!,13),0)</f>
        <v>0</v>
      </c>
      <c r="AG66" s="15">
        <f>IFERROR(HLOOKUP(AG$7,'REF Fuel Prices'!#REF!,13),0)</f>
        <v>0</v>
      </c>
      <c r="AH66" s="15">
        <f>IFERROR(HLOOKUP(AH$7,'REF Fuel Prices'!#REF!,13),0)</f>
        <v>0</v>
      </c>
      <c r="AI66" s="15">
        <f>IFERROR(HLOOKUP(AI$7,'REF Fuel Prices'!#REF!,13),0)</f>
        <v>0</v>
      </c>
      <c r="AJ66" s="15">
        <f>IFERROR(HLOOKUP(AJ$7,'REF Fuel Prices'!#REF!,13),0)</f>
        <v>0</v>
      </c>
      <c r="AK66" s="15">
        <f>IFERROR(HLOOKUP(AK$7,'REF Fuel Prices'!#REF!,13),0)</f>
        <v>0</v>
      </c>
      <c r="AL66" s="15">
        <f>IFERROR(HLOOKUP(AL$7,'REF Fuel Prices'!#REF!,13),0)</f>
        <v>0</v>
      </c>
      <c r="AM66" s="15">
        <f>IFERROR(HLOOKUP(AM$7,'REF Fuel Prices'!#REF!,13),0)</f>
        <v>0</v>
      </c>
      <c r="AN66" s="15">
        <f>IFERROR(HLOOKUP(AN$7,'REF Fuel Prices'!#REF!,13),0)</f>
        <v>0</v>
      </c>
      <c r="AO66" s="15">
        <f>IFERROR(HLOOKUP(AO$7,'REF Fuel Prices'!#REF!,13),0)</f>
        <v>0</v>
      </c>
      <c r="AP66" s="15">
        <f>IFERROR(HLOOKUP(AP$7,'REF Fuel Prices'!#REF!,13),0)</f>
        <v>0</v>
      </c>
      <c r="AQ66" s="15">
        <f>IFERROR(HLOOKUP(AQ$7,'REF Fuel Prices'!#REF!,13),0)</f>
        <v>0</v>
      </c>
      <c r="AR66" s="15">
        <f>IFERROR(HLOOKUP(AR$7,'REF Fuel Prices'!#REF!,13),0)</f>
        <v>0</v>
      </c>
    </row>
    <row r="67" spans="1:44" x14ac:dyDescent="0.2">
      <c r="B67" s="1" t="s">
        <v>287</v>
      </c>
      <c r="C67" s="76" t="s">
        <v>286</v>
      </c>
      <c r="D67" s="97"/>
      <c r="F67" s="15">
        <f>IFERROR(HLOOKUP(F$7,'REF Fuel Prices'!#REF!,14),0)</f>
        <v>0</v>
      </c>
      <c r="G67" s="15">
        <f>IFERROR(HLOOKUP(G$7,'REF Fuel Prices'!#REF!,14),0)</f>
        <v>0</v>
      </c>
      <c r="H67" s="15">
        <f>IFERROR(HLOOKUP(H$7,'REF Fuel Prices'!#REF!,14),0)</f>
        <v>0</v>
      </c>
      <c r="I67" s="15">
        <f>IFERROR(HLOOKUP(I$7,'REF Fuel Prices'!#REF!,14),0)</f>
        <v>0</v>
      </c>
      <c r="J67" s="15">
        <f>IFERROR(HLOOKUP(J$7,'REF Fuel Prices'!#REF!,14),0)</f>
        <v>0</v>
      </c>
      <c r="K67" s="15">
        <f>IFERROR(HLOOKUP(K$7,'REF Fuel Prices'!#REF!,14),0)</f>
        <v>0</v>
      </c>
      <c r="L67" s="15">
        <f>IFERROR(HLOOKUP(L$7,'REF Fuel Prices'!#REF!,14),0)</f>
        <v>0</v>
      </c>
      <c r="M67" s="15">
        <f>IFERROR(HLOOKUP(M$7,'REF Fuel Prices'!#REF!,14),0)</f>
        <v>0</v>
      </c>
      <c r="N67" s="15">
        <f>IFERROR(HLOOKUP(N$7,'REF Fuel Prices'!#REF!,14),0)</f>
        <v>0</v>
      </c>
      <c r="O67" s="15">
        <f>IFERROR(HLOOKUP(O$7,'REF Fuel Prices'!#REF!,14),0)</f>
        <v>0</v>
      </c>
      <c r="P67" s="15">
        <f>IFERROR(HLOOKUP(P$7,'REF Fuel Prices'!#REF!,14),0)</f>
        <v>0</v>
      </c>
      <c r="Q67" s="15">
        <f>IFERROR(HLOOKUP(Q$7,'REF Fuel Prices'!#REF!,14),0)</f>
        <v>0</v>
      </c>
      <c r="R67" s="15">
        <f>IFERROR(HLOOKUP(R$7,'REF Fuel Prices'!#REF!,14),0)</f>
        <v>0</v>
      </c>
      <c r="S67" s="15">
        <f>IFERROR(HLOOKUP(S$7,'REF Fuel Prices'!#REF!,14),0)</f>
        <v>0</v>
      </c>
      <c r="T67" s="15">
        <f>IFERROR(HLOOKUP(T$7,'REF Fuel Prices'!#REF!,14),0)</f>
        <v>0</v>
      </c>
      <c r="U67" s="15">
        <f>IFERROR(HLOOKUP(U$7,'REF Fuel Prices'!#REF!,14),0)</f>
        <v>0</v>
      </c>
      <c r="V67" s="15">
        <f>IFERROR(HLOOKUP(V$7,'REF Fuel Prices'!#REF!,14),0)</f>
        <v>0</v>
      </c>
      <c r="W67" s="15">
        <f>IFERROR(HLOOKUP(W$7,'REF Fuel Prices'!#REF!,14),0)</f>
        <v>0</v>
      </c>
      <c r="X67" s="15">
        <f>IFERROR(HLOOKUP(X$7,'REF Fuel Prices'!#REF!,14),0)</f>
        <v>0</v>
      </c>
      <c r="Y67" s="15">
        <f>IFERROR(HLOOKUP(Y$7,'REF Fuel Prices'!#REF!,14),0)</f>
        <v>0</v>
      </c>
      <c r="Z67" s="15">
        <f>IFERROR(HLOOKUP(Z$7,'REF Fuel Prices'!#REF!,14),0)</f>
        <v>0</v>
      </c>
      <c r="AA67" s="15">
        <f>IFERROR(HLOOKUP(AA$7,'REF Fuel Prices'!#REF!,14),0)</f>
        <v>0</v>
      </c>
      <c r="AB67" s="15">
        <f>IFERROR(HLOOKUP(AB$7,'REF Fuel Prices'!#REF!,14),0)</f>
        <v>0</v>
      </c>
      <c r="AC67" s="15">
        <f>IFERROR(HLOOKUP(AC$7,'REF Fuel Prices'!#REF!,14),0)</f>
        <v>0</v>
      </c>
      <c r="AD67" s="15">
        <f>IFERROR(HLOOKUP(AD$7,'REF Fuel Prices'!#REF!,14),0)</f>
        <v>0</v>
      </c>
      <c r="AE67" s="15">
        <f>IFERROR(HLOOKUP(AE$7,'REF Fuel Prices'!#REF!,14),0)</f>
        <v>0</v>
      </c>
      <c r="AF67" s="15">
        <f>IFERROR(HLOOKUP(AF$7,'REF Fuel Prices'!#REF!,14),0)</f>
        <v>0</v>
      </c>
      <c r="AG67" s="15">
        <f>IFERROR(HLOOKUP(AG$7,'REF Fuel Prices'!#REF!,14),0)</f>
        <v>0</v>
      </c>
      <c r="AH67" s="15">
        <f>IFERROR(HLOOKUP(AH$7,'REF Fuel Prices'!#REF!,14),0)</f>
        <v>0</v>
      </c>
      <c r="AI67" s="15">
        <f>IFERROR(HLOOKUP(AI$7,'REF Fuel Prices'!#REF!,14),0)</f>
        <v>0</v>
      </c>
      <c r="AJ67" s="15">
        <f>IFERROR(HLOOKUP(AJ$7,'REF Fuel Prices'!#REF!,14),0)</f>
        <v>0</v>
      </c>
      <c r="AK67" s="15">
        <f>IFERROR(HLOOKUP(AK$7,'REF Fuel Prices'!#REF!,14),0)</f>
        <v>0</v>
      </c>
      <c r="AL67" s="15">
        <f>IFERROR(HLOOKUP(AL$7,'REF Fuel Prices'!#REF!,14),0)</f>
        <v>0</v>
      </c>
      <c r="AM67" s="15">
        <f>IFERROR(HLOOKUP(AM$7,'REF Fuel Prices'!#REF!,14),0)</f>
        <v>0</v>
      </c>
      <c r="AN67" s="15">
        <f>IFERROR(HLOOKUP(AN$7,'REF Fuel Prices'!#REF!,14),0)</f>
        <v>0</v>
      </c>
      <c r="AO67" s="15">
        <f>IFERROR(HLOOKUP(AO$7,'REF Fuel Prices'!#REF!,14),0)</f>
        <v>0</v>
      </c>
      <c r="AP67" s="15">
        <f>IFERROR(HLOOKUP(AP$7,'REF Fuel Prices'!#REF!,14),0)</f>
        <v>0</v>
      </c>
      <c r="AQ67" s="15">
        <f>IFERROR(HLOOKUP(AQ$7,'REF Fuel Prices'!#REF!,14),0)</f>
        <v>0</v>
      </c>
      <c r="AR67" s="15">
        <f>IFERROR(HLOOKUP(AR$7,'REF Fuel Prices'!#REF!,14),0)</f>
        <v>0</v>
      </c>
    </row>
    <row r="68" spans="1:44" ht="15" x14ac:dyDescent="0.25">
      <c r="A68" s="2"/>
      <c r="B68" s="1" t="s">
        <v>288</v>
      </c>
      <c r="C68" s="19" t="s">
        <v>272</v>
      </c>
      <c r="D68" s="16">
        <f>SUM(F68:AR68)</f>
        <v>0</v>
      </c>
      <c r="F68" s="16">
        <f t="shared" ref="F68:J68" si="34">F62*F66</f>
        <v>0</v>
      </c>
      <c r="G68" s="16">
        <f t="shared" si="34"/>
        <v>0</v>
      </c>
      <c r="H68" s="16">
        <f t="shared" si="34"/>
        <v>0</v>
      </c>
      <c r="I68" s="16">
        <f t="shared" si="34"/>
        <v>0</v>
      </c>
      <c r="J68" s="16">
        <f t="shared" si="34"/>
        <v>0</v>
      </c>
      <c r="K68" s="16">
        <f>K62*K66</f>
        <v>0</v>
      </c>
      <c r="L68" s="16">
        <f t="shared" ref="L68:AR68" si="35">L62*L66</f>
        <v>0</v>
      </c>
      <c r="M68" s="16">
        <f t="shared" si="35"/>
        <v>0</v>
      </c>
      <c r="N68" s="16">
        <f t="shared" si="35"/>
        <v>0</v>
      </c>
      <c r="O68" s="16">
        <f t="shared" si="35"/>
        <v>0</v>
      </c>
      <c r="P68" s="16">
        <f t="shared" si="35"/>
        <v>0</v>
      </c>
      <c r="Q68" s="16">
        <f t="shared" si="35"/>
        <v>0</v>
      </c>
      <c r="R68" s="16">
        <f t="shared" si="35"/>
        <v>0</v>
      </c>
      <c r="S68" s="16">
        <f t="shared" si="35"/>
        <v>0</v>
      </c>
      <c r="T68" s="16">
        <f t="shared" si="35"/>
        <v>0</v>
      </c>
      <c r="U68" s="16">
        <f t="shared" si="35"/>
        <v>0</v>
      </c>
      <c r="V68" s="16">
        <f t="shared" si="35"/>
        <v>0</v>
      </c>
      <c r="W68" s="16">
        <f t="shared" si="35"/>
        <v>0</v>
      </c>
      <c r="X68" s="16">
        <f t="shared" si="35"/>
        <v>0</v>
      </c>
      <c r="Y68" s="16">
        <f t="shared" si="35"/>
        <v>0</v>
      </c>
      <c r="Z68" s="16">
        <f t="shared" si="35"/>
        <v>0</v>
      </c>
      <c r="AA68" s="16">
        <f t="shared" si="35"/>
        <v>0</v>
      </c>
      <c r="AB68" s="16">
        <f t="shared" si="35"/>
        <v>0</v>
      </c>
      <c r="AC68" s="16">
        <f t="shared" si="35"/>
        <v>0</v>
      </c>
      <c r="AD68" s="16">
        <f t="shared" si="35"/>
        <v>0</v>
      </c>
      <c r="AE68" s="16">
        <f t="shared" si="35"/>
        <v>0</v>
      </c>
      <c r="AF68" s="16">
        <f t="shared" si="35"/>
        <v>0</v>
      </c>
      <c r="AG68" s="16">
        <f t="shared" si="35"/>
        <v>0</v>
      </c>
      <c r="AH68" s="16">
        <f t="shared" si="35"/>
        <v>0</v>
      </c>
      <c r="AI68" s="16">
        <f t="shared" si="35"/>
        <v>0</v>
      </c>
      <c r="AJ68" s="16">
        <f t="shared" si="35"/>
        <v>0</v>
      </c>
      <c r="AK68" s="16">
        <f t="shared" si="35"/>
        <v>0</v>
      </c>
      <c r="AL68" s="16">
        <f t="shared" si="35"/>
        <v>0</v>
      </c>
      <c r="AM68" s="16">
        <f t="shared" si="35"/>
        <v>0</v>
      </c>
      <c r="AN68" s="16">
        <f t="shared" si="35"/>
        <v>0</v>
      </c>
      <c r="AO68" s="16">
        <f t="shared" si="35"/>
        <v>0</v>
      </c>
      <c r="AP68" s="16">
        <f t="shared" si="35"/>
        <v>0</v>
      </c>
      <c r="AQ68" s="16">
        <f t="shared" si="35"/>
        <v>0</v>
      </c>
      <c r="AR68" s="16">
        <f t="shared" si="35"/>
        <v>0</v>
      </c>
    </row>
    <row r="69" spans="1:44" x14ac:dyDescent="0.2">
      <c r="B69" s="1" t="s">
        <v>289</v>
      </c>
      <c r="C69" s="19" t="s">
        <v>272</v>
      </c>
      <c r="D69" s="16">
        <f>SUM(F69:AR69)</f>
        <v>0</v>
      </c>
      <c r="F69" s="16">
        <f t="shared" ref="F69:J69" si="36">F63*F67</f>
        <v>0</v>
      </c>
      <c r="G69" s="16">
        <f t="shared" si="36"/>
        <v>0</v>
      </c>
      <c r="H69" s="16">
        <f t="shared" si="36"/>
        <v>0</v>
      </c>
      <c r="I69" s="16">
        <f t="shared" si="36"/>
        <v>0</v>
      </c>
      <c r="J69" s="16">
        <f t="shared" si="36"/>
        <v>0</v>
      </c>
      <c r="K69" s="16">
        <f>K63*K67</f>
        <v>0</v>
      </c>
      <c r="L69" s="16">
        <f t="shared" ref="L69:AR69" si="37">L63*L67</f>
        <v>0</v>
      </c>
      <c r="M69" s="16">
        <f t="shared" si="37"/>
        <v>0</v>
      </c>
      <c r="N69" s="16">
        <f t="shared" si="37"/>
        <v>0</v>
      </c>
      <c r="O69" s="16">
        <f t="shared" si="37"/>
        <v>0</v>
      </c>
      <c r="P69" s="16">
        <f t="shared" si="37"/>
        <v>0</v>
      </c>
      <c r="Q69" s="16">
        <f t="shared" si="37"/>
        <v>0</v>
      </c>
      <c r="R69" s="16">
        <f t="shared" si="37"/>
        <v>0</v>
      </c>
      <c r="S69" s="16">
        <f t="shared" si="37"/>
        <v>0</v>
      </c>
      <c r="T69" s="16">
        <f t="shared" si="37"/>
        <v>0</v>
      </c>
      <c r="U69" s="16">
        <f t="shared" si="37"/>
        <v>0</v>
      </c>
      <c r="V69" s="16">
        <f t="shared" si="37"/>
        <v>0</v>
      </c>
      <c r="W69" s="16">
        <f t="shared" si="37"/>
        <v>0</v>
      </c>
      <c r="X69" s="16">
        <f t="shared" si="37"/>
        <v>0</v>
      </c>
      <c r="Y69" s="16">
        <f t="shared" si="37"/>
        <v>0</v>
      </c>
      <c r="Z69" s="16">
        <f t="shared" si="37"/>
        <v>0</v>
      </c>
      <c r="AA69" s="16">
        <f t="shared" si="37"/>
        <v>0</v>
      </c>
      <c r="AB69" s="16">
        <f t="shared" si="37"/>
        <v>0</v>
      </c>
      <c r="AC69" s="16">
        <f t="shared" si="37"/>
        <v>0</v>
      </c>
      <c r="AD69" s="16">
        <f t="shared" si="37"/>
        <v>0</v>
      </c>
      <c r="AE69" s="16">
        <f t="shared" si="37"/>
        <v>0</v>
      </c>
      <c r="AF69" s="16">
        <f t="shared" si="37"/>
        <v>0</v>
      </c>
      <c r="AG69" s="16">
        <f t="shared" si="37"/>
        <v>0</v>
      </c>
      <c r="AH69" s="16">
        <f t="shared" si="37"/>
        <v>0</v>
      </c>
      <c r="AI69" s="16">
        <f t="shared" si="37"/>
        <v>0</v>
      </c>
      <c r="AJ69" s="16">
        <f t="shared" si="37"/>
        <v>0</v>
      </c>
      <c r="AK69" s="16">
        <f t="shared" si="37"/>
        <v>0</v>
      </c>
      <c r="AL69" s="16">
        <f t="shared" si="37"/>
        <v>0</v>
      </c>
      <c r="AM69" s="16">
        <f t="shared" si="37"/>
        <v>0</v>
      </c>
      <c r="AN69" s="16">
        <f t="shared" si="37"/>
        <v>0</v>
      </c>
      <c r="AO69" s="16">
        <f t="shared" si="37"/>
        <v>0</v>
      </c>
      <c r="AP69" s="16">
        <f t="shared" si="37"/>
        <v>0</v>
      </c>
      <c r="AQ69" s="16">
        <f t="shared" si="37"/>
        <v>0</v>
      </c>
      <c r="AR69" s="16">
        <f t="shared" si="37"/>
        <v>0</v>
      </c>
    </row>
    <row r="70" spans="1:44" x14ac:dyDescent="0.2">
      <c r="C70" s="19"/>
      <c r="D70" s="75"/>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row>
    <row r="71" spans="1:44" ht="15" x14ac:dyDescent="0.25">
      <c r="A71" s="2" t="s">
        <v>261</v>
      </c>
      <c r="C71" s="76"/>
      <c r="D71" s="75"/>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row>
    <row r="72" spans="1:44" x14ac:dyDescent="0.2">
      <c r="B72" s="1" t="s">
        <v>262</v>
      </c>
      <c r="C72" s="19" t="s">
        <v>252</v>
      </c>
      <c r="D72" s="75">
        <f>SUM(F72:AR72)</f>
        <v>0</v>
      </c>
      <c r="F72" s="16">
        <f t="shared" ref="F72:J72" si="38">F68+F69</f>
        <v>0</v>
      </c>
      <c r="G72" s="16">
        <f t="shared" si="38"/>
        <v>0</v>
      </c>
      <c r="H72" s="16">
        <f t="shared" si="38"/>
        <v>0</v>
      </c>
      <c r="I72" s="16">
        <f t="shared" si="38"/>
        <v>0</v>
      </c>
      <c r="J72" s="16">
        <f t="shared" si="38"/>
        <v>0</v>
      </c>
      <c r="K72" s="16">
        <f>K68+K69</f>
        <v>0</v>
      </c>
      <c r="L72" s="16">
        <f t="shared" ref="L72:AR72" si="39">L68+L69</f>
        <v>0</v>
      </c>
      <c r="M72" s="16">
        <f t="shared" si="39"/>
        <v>0</v>
      </c>
      <c r="N72" s="16">
        <f t="shared" si="39"/>
        <v>0</v>
      </c>
      <c r="O72" s="16">
        <f t="shared" si="39"/>
        <v>0</v>
      </c>
      <c r="P72" s="16">
        <f t="shared" si="39"/>
        <v>0</v>
      </c>
      <c r="Q72" s="16">
        <f t="shared" si="39"/>
        <v>0</v>
      </c>
      <c r="R72" s="16">
        <f t="shared" si="39"/>
        <v>0</v>
      </c>
      <c r="S72" s="16">
        <f t="shared" si="39"/>
        <v>0</v>
      </c>
      <c r="T72" s="16">
        <f t="shared" si="39"/>
        <v>0</v>
      </c>
      <c r="U72" s="16">
        <f t="shared" si="39"/>
        <v>0</v>
      </c>
      <c r="V72" s="16">
        <f t="shared" si="39"/>
        <v>0</v>
      </c>
      <c r="W72" s="16">
        <f t="shared" si="39"/>
        <v>0</v>
      </c>
      <c r="X72" s="16">
        <f t="shared" si="39"/>
        <v>0</v>
      </c>
      <c r="Y72" s="16">
        <f t="shared" si="39"/>
        <v>0</v>
      </c>
      <c r="Z72" s="16">
        <f t="shared" si="39"/>
        <v>0</v>
      </c>
      <c r="AA72" s="16">
        <f t="shared" si="39"/>
        <v>0</v>
      </c>
      <c r="AB72" s="16">
        <f t="shared" si="39"/>
        <v>0</v>
      </c>
      <c r="AC72" s="16">
        <f t="shared" si="39"/>
        <v>0</v>
      </c>
      <c r="AD72" s="16">
        <f t="shared" si="39"/>
        <v>0</v>
      </c>
      <c r="AE72" s="16">
        <f t="shared" si="39"/>
        <v>0</v>
      </c>
      <c r="AF72" s="16">
        <f t="shared" si="39"/>
        <v>0</v>
      </c>
      <c r="AG72" s="16">
        <f t="shared" si="39"/>
        <v>0</v>
      </c>
      <c r="AH72" s="16">
        <f t="shared" si="39"/>
        <v>0</v>
      </c>
      <c r="AI72" s="16">
        <f t="shared" si="39"/>
        <v>0</v>
      </c>
      <c r="AJ72" s="16">
        <f t="shared" si="39"/>
        <v>0</v>
      </c>
      <c r="AK72" s="16">
        <f t="shared" si="39"/>
        <v>0</v>
      </c>
      <c r="AL72" s="16">
        <f t="shared" si="39"/>
        <v>0</v>
      </c>
      <c r="AM72" s="16">
        <f t="shared" si="39"/>
        <v>0</v>
      </c>
      <c r="AN72" s="16">
        <f t="shared" si="39"/>
        <v>0</v>
      </c>
      <c r="AO72" s="16">
        <f t="shared" si="39"/>
        <v>0</v>
      </c>
      <c r="AP72" s="16">
        <f t="shared" si="39"/>
        <v>0</v>
      </c>
      <c r="AQ72" s="16">
        <f t="shared" si="39"/>
        <v>0</v>
      </c>
      <c r="AR72" s="16">
        <f t="shared" si="39"/>
        <v>0</v>
      </c>
    </row>
    <row r="73" spans="1:44" x14ac:dyDescent="0.2">
      <c r="C73" s="12"/>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row>
    <row r="74" spans="1:44" s="9" customFormat="1" x14ac:dyDescent="0.2">
      <c r="A74" s="8" t="s">
        <v>238</v>
      </c>
      <c r="B74" s="8"/>
      <c r="C74" s="13"/>
    </row>
    <row r="75" spans="1:44" ht="15" x14ac:dyDescent="0.25">
      <c r="A75" s="2" t="s">
        <v>239</v>
      </c>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row>
    <row r="76" spans="1:44" x14ac:dyDescent="0.2">
      <c r="B76" s="1" t="s">
        <v>209</v>
      </c>
      <c r="C76" s="76" t="s">
        <v>72</v>
      </c>
      <c r="D76" s="75">
        <f>SUM(F76:AR76)</f>
        <v>14647445.846315864</v>
      </c>
      <c r="F76" s="16">
        <f t="shared" ref="F76:AR76" si="40">(F$45-F$72)*F$11*F15</f>
        <v>0</v>
      </c>
      <c r="G76" s="16">
        <f t="shared" si="40"/>
        <v>0</v>
      </c>
      <c r="H76" s="16">
        <f t="shared" si="40"/>
        <v>0</v>
      </c>
      <c r="I76" s="16">
        <f t="shared" si="40"/>
        <v>0</v>
      </c>
      <c r="J76" s="16">
        <f t="shared" si="40"/>
        <v>0</v>
      </c>
      <c r="K76" s="16">
        <f t="shared" si="40"/>
        <v>0</v>
      </c>
      <c r="L76" s="16">
        <f t="shared" si="40"/>
        <v>0</v>
      </c>
      <c r="M76" s="16">
        <f t="shared" si="40"/>
        <v>0</v>
      </c>
      <c r="N76" s="16">
        <f t="shared" si="40"/>
        <v>0</v>
      </c>
      <c r="O76" s="16">
        <f t="shared" si="40"/>
        <v>483472.37907742173</v>
      </c>
      <c r="P76" s="16">
        <f t="shared" si="40"/>
        <v>507257.28456030978</v>
      </c>
      <c r="Q76" s="16">
        <f t="shared" si="40"/>
        <v>532280.85612512601</v>
      </c>
      <c r="R76" s="16">
        <f t="shared" si="40"/>
        <v>558255.39412815636</v>
      </c>
      <c r="S76" s="16">
        <f t="shared" si="40"/>
        <v>581739.31755258248</v>
      </c>
      <c r="T76" s="16">
        <f t="shared" si="40"/>
        <v>609042.11135823256</v>
      </c>
      <c r="U76" s="16">
        <f t="shared" si="40"/>
        <v>634877.77693891292</v>
      </c>
      <c r="V76" s="16">
        <f t="shared" si="40"/>
        <v>661404.86351918802</v>
      </c>
      <c r="W76" s="16">
        <f t="shared" si="40"/>
        <v>687429.13273040217</v>
      </c>
      <c r="X76" s="16">
        <f t="shared" si="40"/>
        <v>719295.17229135649</v>
      </c>
      <c r="Y76" s="16">
        <f t="shared" si="40"/>
        <v>745184.21063388255</v>
      </c>
      <c r="Z76" s="16">
        <f t="shared" si="40"/>
        <v>772298.75211094553</v>
      </c>
      <c r="AA76" s="16">
        <f t="shared" si="40"/>
        <v>800520.25645348674</v>
      </c>
      <c r="AB76" s="16">
        <f t="shared" si="40"/>
        <v>826548.42795666843</v>
      </c>
      <c r="AC76" s="16">
        <f t="shared" si="40"/>
        <v>851714.93651337374</v>
      </c>
      <c r="AD76" s="16">
        <f t="shared" si="40"/>
        <v>878876.06636389869</v>
      </c>
      <c r="AE76" s="16">
        <f t="shared" si="40"/>
        <v>900524.28223457595</v>
      </c>
      <c r="AF76" s="16">
        <f t="shared" si="40"/>
        <v>931196.06363474973</v>
      </c>
      <c r="AG76" s="16">
        <f t="shared" si="40"/>
        <v>956692.70209014753</v>
      </c>
      <c r="AH76" s="16">
        <f t="shared" si="40"/>
        <v>1008835.8600424499</v>
      </c>
      <c r="AI76" s="16">
        <f t="shared" si="40"/>
        <v>0</v>
      </c>
      <c r="AJ76" s="16">
        <f t="shared" si="40"/>
        <v>0</v>
      </c>
      <c r="AK76" s="16">
        <f t="shared" si="40"/>
        <v>0</v>
      </c>
      <c r="AL76" s="16">
        <f t="shared" si="40"/>
        <v>0</v>
      </c>
      <c r="AM76" s="16">
        <f t="shared" si="40"/>
        <v>0</v>
      </c>
      <c r="AN76" s="16">
        <f t="shared" si="40"/>
        <v>0</v>
      </c>
      <c r="AO76" s="16">
        <f t="shared" si="40"/>
        <v>0</v>
      </c>
      <c r="AP76" s="16">
        <f t="shared" si="40"/>
        <v>0</v>
      </c>
      <c r="AQ76" s="16">
        <f t="shared" si="40"/>
        <v>0</v>
      </c>
      <c r="AR76" s="16">
        <f t="shared" si="40"/>
        <v>0</v>
      </c>
    </row>
    <row r="77" spans="1:44" x14ac:dyDescent="0.2">
      <c r="B77" s="1" t="str">
        <f>Inputs!$C$30</f>
        <v>2% Discount Factor</v>
      </c>
      <c r="C77" s="76" t="s">
        <v>72</v>
      </c>
      <c r="D77" s="75">
        <f>SUM(F77:AR77)</f>
        <v>10584707.69622579</v>
      </c>
      <c r="F77" s="16">
        <f t="shared" ref="F77:AR77" si="41">(F$45-F$72)*F$11*F16</f>
        <v>0</v>
      </c>
      <c r="G77" s="16">
        <f t="shared" si="41"/>
        <v>0</v>
      </c>
      <c r="H77" s="16">
        <f t="shared" si="41"/>
        <v>0</v>
      </c>
      <c r="I77" s="16">
        <f t="shared" si="41"/>
        <v>0</v>
      </c>
      <c r="J77" s="16">
        <f t="shared" si="41"/>
        <v>0</v>
      </c>
      <c r="K77" s="16">
        <f t="shared" si="41"/>
        <v>0</v>
      </c>
      <c r="L77" s="16">
        <f t="shared" si="41"/>
        <v>0</v>
      </c>
      <c r="M77" s="16">
        <f t="shared" si="41"/>
        <v>0</v>
      </c>
      <c r="N77" s="16">
        <f t="shared" si="41"/>
        <v>0</v>
      </c>
      <c r="O77" s="16">
        <f t="shared" si="41"/>
        <v>429309.63669822476</v>
      </c>
      <c r="P77" s="16">
        <f t="shared" si="41"/>
        <v>441597.9922500322</v>
      </c>
      <c r="Q77" s="16">
        <f t="shared" si="41"/>
        <v>454296.58547162422</v>
      </c>
      <c r="R77" s="16">
        <f t="shared" si="41"/>
        <v>467123.14073855121</v>
      </c>
      <c r="S77" s="16">
        <f t="shared" si="41"/>
        <v>477228.86012479413</v>
      </c>
      <c r="T77" s="16">
        <f t="shared" si="41"/>
        <v>489830.05941676587</v>
      </c>
      <c r="U77" s="16">
        <f t="shared" si="41"/>
        <v>500596.79444478598</v>
      </c>
      <c r="V77" s="16">
        <f t="shared" si="41"/>
        <v>511287.47174646729</v>
      </c>
      <c r="W77" s="16">
        <f t="shared" si="41"/>
        <v>520985.37087076006</v>
      </c>
      <c r="X77" s="16">
        <f t="shared" si="41"/>
        <v>534446.90822210768</v>
      </c>
      <c r="Y77" s="16">
        <f t="shared" si="41"/>
        <v>542826.31868219806</v>
      </c>
      <c r="Z77" s="16">
        <f t="shared" si="41"/>
        <v>551546.85579602502</v>
      </c>
      <c r="AA77" s="16">
        <f t="shared" si="41"/>
        <v>560491.76240579376</v>
      </c>
      <c r="AB77" s="16">
        <f t="shared" si="41"/>
        <v>567368.26538917597</v>
      </c>
      <c r="AC77" s="16">
        <f t="shared" si="41"/>
        <v>573179.73625344993</v>
      </c>
      <c r="AD77" s="16">
        <f t="shared" si="41"/>
        <v>579861.17452713603</v>
      </c>
      <c r="AE77" s="16">
        <f t="shared" si="41"/>
        <v>582494.25866164872</v>
      </c>
      <c r="AF77" s="16">
        <f t="shared" si="41"/>
        <v>590523.49429070775</v>
      </c>
      <c r="AG77" s="16">
        <f t="shared" si="41"/>
        <v>594796.41024372051</v>
      </c>
      <c r="AH77" s="16">
        <f t="shared" si="41"/>
        <v>614916.59999181994</v>
      </c>
      <c r="AI77" s="16">
        <f t="shared" si="41"/>
        <v>0</v>
      </c>
      <c r="AJ77" s="16">
        <f t="shared" si="41"/>
        <v>0</v>
      </c>
      <c r="AK77" s="16">
        <f t="shared" si="41"/>
        <v>0</v>
      </c>
      <c r="AL77" s="16">
        <f t="shared" si="41"/>
        <v>0</v>
      </c>
      <c r="AM77" s="16">
        <f t="shared" si="41"/>
        <v>0</v>
      </c>
      <c r="AN77" s="16">
        <f t="shared" si="41"/>
        <v>0</v>
      </c>
      <c r="AO77" s="16">
        <f t="shared" si="41"/>
        <v>0</v>
      </c>
      <c r="AP77" s="16">
        <f t="shared" si="41"/>
        <v>0</v>
      </c>
      <c r="AQ77" s="16">
        <f t="shared" si="41"/>
        <v>0</v>
      </c>
      <c r="AR77" s="16">
        <f t="shared" si="41"/>
        <v>0</v>
      </c>
    </row>
    <row r="78" spans="1:44" x14ac:dyDescent="0.2">
      <c r="B78" s="1" t="str">
        <f>Inputs!$C$31</f>
        <v>3.1% Discount Factor</v>
      </c>
      <c r="C78" s="76" t="s">
        <v>72</v>
      </c>
      <c r="D78" s="75">
        <f>SUM(F78:AR78)</f>
        <v>8924130.5218828619</v>
      </c>
      <c r="F78" s="16">
        <f t="shared" ref="F78:AR78" si="42">(F$45-F$72)*F$11*F17</f>
        <v>0</v>
      </c>
      <c r="G78" s="16">
        <f t="shared" si="42"/>
        <v>0</v>
      </c>
      <c r="H78" s="16">
        <f t="shared" si="42"/>
        <v>0</v>
      </c>
      <c r="I78" s="16">
        <f t="shared" si="42"/>
        <v>0</v>
      </c>
      <c r="J78" s="16">
        <f t="shared" si="42"/>
        <v>0</v>
      </c>
      <c r="K78" s="16">
        <f t="shared" si="42"/>
        <v>0</v>
      </c>
      <c r="L78" s="16">
        <f t="shared" si="42"/>
        <v>0</v>
      </c>
      <c r="M78" s="16">
        <f t="shared" si="42"/>
        <v>0</v>
      </c>
      <c r="N78" s="16">
        <f t="shared" si="42"/>
        <v>0</v>
      </c>
      <c r="O78" s="16">
        <f t="shared" si="42"/>
        <v>402549.85639805032</v>
      </c>
      <c r="P78" s="16">
        <f t="shared" si="42"/>
        <v>409654.41099524562</v>
      </c>
      <c r="Q78" s="16">
        <f t="shared" si="42"/>
        <v>416938.0438274272</v>
      </c>
      <c r="R78" s="16">
        <f t="shared" si="42"/>
        <v>424135.80888829229</v>
      </c>
      <c r="S78" s="16">
        <f t="shared" si="42"/>
        <v>428688.43188090198</v>
      </c>
      <c r="T78" s="16">
        <f t="shared" si="42"/>
        <v>435313.3681591957</v>
      </c>
      <c r="U78" s="16">
        <f t="shared" si="42"/>
        <v>440135.23972051108</v>
      </c>
      <c r="V78" s="16">
        <f t="shared" si="42"/>
        <v>444738.50865011342</v>
      </c>
      <c r="W78" s="16">
        <f t="shared" si="42"/>
        <v>448339.10373763402</v>
      </c>
      <c r="X78" s="16">
        <f t="shared" si="42"/>
        <v>455016.52166907373</v>
      </c>
      <c r="Y78" s="16">
        <f t="shared" si="42"/>
        <v>457219.76881043578</v>
      </c>
      <c r="Z78" s="16">
        <f t="shared" si="42"/>
        <v>459608.46967813058</v>
      </c>
      <c r="AA78" s="16">
        <f t="shared" si="42"/>
        <v>462079.12665889628</v>
      </c>
      <c r="AB78" s="16">
        <f t="shared" si="42"/>
        <v>462757.71061215876</v>
      </c>
      <c r="AC78" s="16">
        <f t="shared" si="42"/>
        <v>462509.81973700848</v>
      </c>
      <c r="AD78" s="16">
        <f t="shared" si="42"/>
        <v>462909.04519065033</v>
      </c>
      <c r="AE78" s="16">
        <f t="shared" si="42"/>
        <v>460049.74215948815</v>
      </c>
      <c r="AF78" s="16">
        <f t="shared" si="42"/>
        <v>461415.12873794313</v>
      </c>
      <c r="AG78" s="16">
        <f t="shared" si="42"/>
        <v>459795.26467237232</v>
      </c>
      <c r="AH78" s="16">
        <f t="shared" si="42"/>
        <v>470277.15169933322</v>
      </c>
      <c r="AI78" s="16">
        <f t="shared" si="42"/>
        <v>0</v>
      </c>
      <c r="AJ78" s="16">
        <f t="shared" si="42"/>
        <v>0</v>
      </c>
      <c r="AK78" s="16">
        <f t="shared" si="42"/>
        <v>0</v>
      </c>
      <c r="AL78" s="16">
        <f t="shared" si="42"/>
        <v>0</v>
      </c>
      <c r="AM78" s="16">
        <f t="shared" si="42"/>
        <v>0</v>
      </c>
      <c r="AN78" s="16">
        <f t="shared" si="42"/>
        <v>0</v>
      </c>
      <c r="AO78" s="16">
        <f t="shared" si="42"/>
        <v>0</v>
      </c>
      <c r="AP78" s="16">
        <f t="shared" si="42"/>
        <v>0</v>
      </c>
      <c r="AQ78" s="16">
        <f t="shared" si="42"/>
        <v>0</v>
      </c>
      <c r="AR78" s="16">
        <f t="shared" si="42"/>
        <v>0</v>
      </c>
    </row>
    <row r="79" spans="1:44" x14ac:dyDescent="0.2">
      <c r="C79" s="76"/>
      <c r="D79" s="75"/>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A728-3FAD-4404-8B99-E8A684C40B66}">
  <sheetPr>
    <tabColor theme="9"/>
  </sheetPr>
  <dimension ref="A1:AS61"/>
  <sheetViews>
    <sheetView workbookViewId="0">
      <pane xSplit="4" ySplit="11" topLeftCell="E50" activePane="bottomRight" state="frozen"/>
      <selection pane="topRight" activeCell="E1" sqref="E1"/>
      <selection pane="bottomLeft" activeCell="A12" sqref="A12"/>
      <selection pane="bottomRight" activeCell="C4" sqref="C4:D4"/>
    </sheetView>
  </sheetViews>
  <sheetFormatPr defaultColWidth="0" defaultRowHeight="14.25" x14ac:dyDescent="0.2"/>
  <cols>
    <col min="1" max="1" width="10.5703125" style="1" customWidth="1"/>
    <col min="2" max="2" width="43.8554687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7" t="str">
        <f>Summary!$A$1</f>
        <v>Multimodal Improvements to Safely Connect Tulsa at US-75 and 81st Street Interchange</v>
      </c>
    </row>
    <row r="2" spans="1:44" ht="19.5" x14ac:dyDescent="0.3">
      <c r="A2" s="7" t="s">
        <v>290</v>
      </c>
      <c r="C2" s="12"/>
    </row>
    <row r="3" spans="1:44" x14ac:dyDescent="0.2">
      <c r="A3" s="45">
        <f ca="1">Summary!A3</f>
        <v>45345</v>
      </c>
      <c r="C3" s="12"/>
      <c r="D3" s="12"/>
    </row>
    <row r="4" spans="1:44" x14ac:dyDescent="0.2">
      <c r="A4" s="46" t="str">
        <f>Summary!A4</f>
        <v>All $ values 2022, unless otherwise noted</v>
      </c>
      <c r="C4" s="449" t="s">
        <v>997</v>
      </c>
      <c r="D4" s="450">
        <f>Summary!$E$9</f>
        <v>2.0575994382092198</v>
      </c>
    </row>
    <row r="5" spans="1:44" x14ac:dyDescent="0.2">
      <c r="B5" s="59"/>
      <c r="C5" s="12"/>
    </row>
    <row r="6" spans="1:44" x14ac:dyDescent="0.2">
      <c r="C6" s="1" t="s">
        <v>38</v>
      </c>
      <c r="D6" s="1" t="s">
        <v>39</v>
      </c>
    </row>
    <row r="7" spans="1:44" s="9" customFormat="1" x14ac:dyDescent="0.2">
      <c r="A7" s="9" t="s">
        <v>192</v>
      </c>
      <c r="C7" s="236" t="s">
        <v>192</v>
      </c>
      <c r="F7" s="9">
        <f>Inputs!$E$12</f>
        <v>2018</v>
      </c>
      <c r="G7" s="9">
        <f>F7+1</f>
        <v>2019</v>
      </c>
      <c r="H7" s="9">
        <f t="shared" ref="H7:W8" si="0">G7+1</f>
        <v>2020</v>
      </c>
      <c r="I7" s="9">
        <f t="shared" si="0"/>
        <v>2021</v>
      </c>
      <c r="J7" s="9">
        <f t="shared" si="0"/>
        <v>2022</v>
      </c>
      <c r="K7" s="9">
        <f t="shared" si="0"/>
        <v>2023</v>
      </c>
      <c r="L7" s="9">
        <f t="shared" si="0"/>
        <v>2024</v>
      </c>
      <c r="M7" s="9">
        <f t="shared" si="0"/>
        <v>2025</v>
      </c>
      <c r="N7" s="9">
        <f t="shared" si="0"/>
        <v>2026</v>
      </c>
      <c r="O7" s="9">
        <f t="shared" si="0"/>
        <v>2027</v>
      </c>
      <c r="P7" s="9">
        <f t="shared" si="0"/>
        <v>2028</v>
      </c>
      <c r="Q7" s="9">
        <f t="shared" si="0"/>
        <v>2029</v>
      </c>
      <c r="R7" s="9">
        <f t="shared" si="0"/>
        <v>2030</v>
      </c>
      <c r="S7" s="9">
        <f t="shared" si="0"/>
        <v>2031</v>
      </c>
      <c r="T7" s="9">
        <f t="shared" si="0"/>
        <v>2032</v>
      </c>
      <c r="U7" s="9">
        <f t="shared" si="0"/>
        <v>2033</v>
      </c>
      <c r="V7" s="9">
        <f t="shared" si="0"/>
        <v>2034</v>
      </c>
      <c r="W7" s="9">
        <f t="shared" si="0"/>
        <v>2035</v>
      </c>
      <c r="X7" s="9">
        <f t="shared" ref="X7:AM8" si="1">W7+1</f>
        <v>2036</v>
      </c>
      <c r="Y7" s="9">
        <f t="shared" si="1"/>
        <v>2037</v>
      </c>
      <c r="Z7" s="9">
        <f t="shared" si="1"/>
        <v>2038</v>
      </c>
      <c r="AA7" s="9">
        <f t="shared" si="1"/>
        <v>2039</v>
      </c>
      <c r="AB7" s="9">
        <f t="shared" si="1"/>
        <v>2040</v>
      </c>
      <c r="AC7" s="9">
        <f t="shared" si="1"/>
        <v>2041</v>
      </c>
      <c r="AD7" s="9">
        <f t="shared" si="1"/>
        <v>2042</v>
      </c>
      <c r="AE7" s="9">
        <f t="shared" si="1"/>
        <v>2043</v>
      </c>
      <c r="AF7" s="9">
        <f t="shared" si="1"/>
        <v>2044</v>
      </c>
      <c r="AG7" s="9">
        <f t="shared" si="1"/>
        <v>2045</v>
      </c>
      <c r="AH7" s="9">
        <f t="shared" si="1"/>
        <v>2046</v>
      </c>
      <c r="AI7" s="9">
        <f t="shared" si="1"/>
        <v>2047</v>
      </c>
      <c r="AJ7" s="9">
        <f t="shared" si="1"/>
        <v>2048</v>
      </c>
      <c r="AK7" s="9">
        <f t="shared" si="1"/>
        <v>2049</v>
      </c>
      <c r="AL7" s="9">
        <f t="shared" si="1"/>
        <v>2050</v>
      </c>
      <c r="AM7" s="9">
        <f t="shared" si="1"/>
        <v>2051</v>
      </c>
      <c r="AN7" s="9">
        <f t="shared" ref="AN7:AR8" si="2">AM7+1</f>
        <v>2052</v>
      </c>
      <c r="AO7" s="9">
        <f t="shared" si="2"/>
        <v>2053</v>
      </c>
      <c r="AP7" s="9">
        <f t="shared" si="2"/>
        <v>2054</v>
      </c>
      <c r="AQ7" s="9">
        <f t="shared" si="2"/>
        <v>2055</v>
      </c>
      <c r="AR7" s="9">
        <f t="shared" si="2"/>
        <v>2056</v>
      </c>
    </row>
    <row r="8" spans="1:44" x14ac:dyDescent="0.2">
      <c r="B8" s="1" t="s">
        <v>193</v>
      </c>
      <c r="C8" s="19" t="s">
        <v>44</v>
      </c>
      <c r="F8" s="1">
        <f>D8+1</f>
        <v>1</v>
      </c>
      <c r="G8" s="1">
        <f t="shared" ref="G8" si="3">F8+1</f>
        <v>2</v>
      </c>
      <c r="H8" s="1">
        <f t="shared" si="0"/>
        <v>3</v>
      </c>
      <c r="I8" s="1">
        <f t="shared" si="0"/>
        <v>4</v>
      </c>
      <c r="J8" s="1">
        <f t="shared" si="0"/>
        <v>5</v>
      </c>
      <c r="K8" s="1">
        <f t="shared" si="0"/>
        <v>6</v>
      </c>
      <c r="L8" s="1">
        <f t="shared" si="0"/>
        <v>7</v>
      </c>
      <c r="M8" s="1">
        <f t="shared" si="0"/>
        <v>8</v>
      </c>
      <c r="N8" s="1">
        <f t="shared" si="0"/>
        <v>9</v>
      </c>
      <c r="O8" s="1">
        <f t="shared" si="0"/>
        <v>10</v>
      </c>
      <c r="P8" s="1">
        <f t="shared" si="0"/>
        <v>11</v>
      </c>
      <c r="Q8" s="1">
        <f t="shared" si="0"/>
        <v>12</v>
      </c>
      <c r="R8" s="1">
        <f t="shared" si="0"/>
        <v>13</v>
      </c>
      <c r="S8" s="1">
        <f t="shared" si="0"/>
        <v>14</v>
      </c>
      <c r="T8" s="1">
        <f t="shared" si="0"/>
        <v>15</v>
      </c>
      <c r="U8" s="1">
        <f t="shared" si="0"/>
        <v>16</v>
      </c>
      <c r="V8" s="1">
        <f t="shared" si="0"/>
        <v>17</v>
      </c>
      <c r="W8" s="1">
        <f t="shared" si="0"/>
        <v>18</v>
      </c>
      <c r="X8" s="1">
        <f t="shared" si="1"/>
        <v>19</v>
      </c>
      <c r="Y8" s="1">
        <f t="shared" si="1"/>
        <v>20</v>
      </c>
      <c r="Z8" s="1">
        <f t="shared" si="1"/>
        <v>21</v>
      </c>
      <c r="AA8" s="1">
        <f t="shared" si="1"/>
        <v>22</v>
      </c>
      <c r="AB8" s="1">
        <f t="shared" si="1"/>
        <v>23</v>
      </c>
      <c r="AC8" s="1">
        <f t="shared" si="1"/>
        <v>24</v>
      </c>
      <c r="AD8" s="1">
        <f t="shared" si="1"/>
        <v>25</v>
      </c>
      <c r="AE8" s="1">
        <f t="shared" si="1"/>
        <v>26</v>
      </c>
      <c r="AF8" s="1">
        <f t="shared" si="1"/>
        <v>27</v>
      </c>
      <c r="AG8" s="1">
        <f t="shared" si="1"/>
        <v>28</v>
      </c>
      <c r="AH8" s="1">
        <f t="shared" si="1"/>
        <v>29</v>
      </c>
      <c r="AI8" s="1">
        <f t="shared" si="1"/>
        <v>30</v>
      </c>
      <c r="AJ8" s="1">
        <f t="shared" si="1"/>
        <v>31</v>
      </c>
      <c r="AK8" s="1">
        <f t="shared" si="1"/>
        <v>32</v>
      </c>
      <c r="AL8" s="1">
        <f t="shared" si="1"/>
        <v>33</v>
      </c>
      <c r="AM8" s="1">
        <f t="shared" si="1"/>
        <v>34</v>
      </c>
      <c r="AN8" s="1">
        <f t="shared" si="2"/>
        <v>35</v>
      </c>
      <c r="AO8" s="1">
        <f t="shared" si="2"/>
        <v>36</v>
      </c>
      <c r="AP8" s="1">
        <f t="shared" si="2"/>
        <v>37</v>
      </c>
      <c r="AQ8" s="1">
        <f t="shared" si="2"/>
        <v>38</v>
      </c>
      <c r="AR8" s="1">
        <f t="shared" si="2"/>
        <v>39</v>
      </c>
    </row>
    <row r="9" spans="1:44" x14ac:dyDescent="0.2">
      <c r="B9" s="1" t="s">
        <v>194</v>
      </c>
      <c r="C9" s="19" t="s">
        <v>195</v>
      </c>
      <c r="F9" s="1">
        <f>IF(F7=Inputs!$E$13,1,0)</f>
        <v>0</v>
      </c>
      <c r="G9" s="1">
        <f>IF(G7=Inputs!$E$13,1,0)</f>
        <v>0</v>
      </c>
      <c r="H9" s="1">
        <f>IF(H7=Inputs!$E$13,1,0)</f>
        <v>0</v>
      </c>
      <c r="I9" s="1">
        <f>IF(I7=Inputs!$E$13,1,0)</f>
        <v>0</v>
      </c>
      <c r="J9" s="1">
        <f>IF(J7=Inputs!$E$13,1,0)</f>
        <v>1</v>
      </c>
      <c r="K9" s="1">
        <f>IF(K7=Inputs!$E$13,1,0)</f>
        <v>0</v>
      </c>
      <c r="L9" s="1">
        <f>IF(L7=Inputs!$E$13,1,0)</f>
        <v>0</v>
      </c>
      <c r="M9" s="1">
        <f>IF(M7=Inputs!$E$13,1,0)</f>
        <v>0</v>
      </c>
      <c r="N9" s="1">
        <f>IF(N7=Inputs!$E$13,1,0)</f>
        <v>0</v>
      </c>
      <c r="O9" s="1">
        <f>IF(O7=Inputs!$E$13,1,0)</f>
        <v>0</v>
      </c>
      <c r="P9" s="1">
        <f>IF(P7=Inputs!$E$13,1,0)</f>
        <v>0</v>
      </c>
      <c r="Q9" s="1">
        <f>IF(Q7=Inputs!$E$13,1,0)</f>
        <v>0</v>
      </c>
      <c r="R9" s="1">
        <f>IF(R7=Inputs!$E$13,1,0)</f>
        <v>0</v>
      </c>
      <c r="S9" s="1">
        <f>IF(S7=Inputs!$E$13,1,0)</f>
        <v>0</v>
      </c>
      <c r="T9" s="1">
        <f>IF(T7=Inputs!$E$13,1,0)</f>
        <v>0</v>
      </c>
      <c r="U9" s="1">
        <f>IF(U7=Inputs!$E$13,1,0)</f>
        <v>0</v>
      </c>
      <c r="V9" s="1">
        <f>IF(V7=Inputs!$E$13,1,0)</f>
        <v>0</v>
      </c>
      <c r="W9" s="1">
        <f>IF(W7=Inputs!$E$13,1,0)</f>
        <v>0</v>
      </c>
      <c r="X9" s="1">
        <f>IF(X7=Inputs!$E$13,1,0)</f>
        <v>0</v>
      </c>
      <c r="Y9" s="1">
        <f>IF(Y7=Inputs!$E$13,1,0)</f>
        <v>0</v>
      </c>
      <c r="Z9" s="1">
        <f>IF(Z7=Inputs!$E$13,1,0)</f>
        <v>0</v>
      </c>
      <c r="AA9" s="1">
        <f>IF(AA7=Inputs!$E$13,1,0)</f>
        <v>0</v>
      </c>
      <c r="AB9" s="1">
        <f>IF(AB7=Inputs!$E$13,1,0)</f>
        <v>0</v>
      </c>
      <c r="AC9" s="1">
        <f>IF(AC7=Inputs!$E$13,1,0)</f>
        <v>0</v>
      </c>
      <c r="AD9" s="1">
        <f>IF(AD7=Inputs!$E$13,1,0)</f>
        <v>0</v>
      </c>
      <c r="AE9" s="1">
        <f>IF(AE7=Inputs!$E$13,1,0)</f>
        <v>0</v>
      </c>
      <c r="AF9" s="1">
        <f>IF(AF7=Inputs!$E$13,1,0)</f>
        <v>0</v>
      </c>
      <c r="AG9" s="1">
        <f>IF(AG7=Inputs!$E$13,1,0)</f>
        <v>0</v>
      </c>
      <c r="AH9" s="1">
        <f>IF(AH7=Inputs!$E$13,1,0)</f>
        <v>0</v>
      </c>
      <c r="AI9" s="1">
        <f>IF(AI7=Inputs!$E$13,1,0)</f>
        <v>0</v>
      </c>
      <c r="AJ9" s="1">
        <f>IF(AJ7=Inputs!$E$13,1,0)</f>
        <v>0</v>
      </c>
      <c r="AK9" s="1">
        <f>IF(AK7=Inputs!$E$13,1,0)</f>
        <v>0</v>
      </c>
      <c r="AL9" s="1">
        <f>IF(AL7=Inputs!$E$13,1,0)</f>
        <v>0</v>
      </c>
      <c r="AM9" s="1">
        <f>IF(AM7=Inputs!$E$13,1,0)</f>
        <v>0</v>
      </c>
      <c r="AN9" s="1">
        <f>IF(AN7=Inputs!$E$13,1,0)</f>
        <v>0</v>
      </c>
      <c r="AO9" s="1">
        <f>IF(AO7=Inputs!$E$13,1,0)</f>
        <v>0</v>
      </c>
      <c r="AP9" s="1">
        <f>IF(AP7=Inputs!$E$13,1,0)</f>
        <v>0</v>
      </c>
      <c r="AQ9" s="1">
        <f>IF(AQ7=Inputs!$E$13,1,0)</f>
        <v>0</v>
      </c>
      <c r="AR9" s="1">
        <f>IF(AR7=Inputs!$E$13,1,0)</f>
        <v>0</v>
      </c>
    </row>
    <row r="10" spans="1:44" x14ac:dyDescent="0.2">
      <c r="B10" s="1" t="s">
        <v>196</v>
      </c>
      <c r="C10" s="19" t="s">
        <v>51</v>
      </c>
      <c r="F10" s="1">
        <f t="shared" ref="F10:H10" si="4">F7-$I$7+1</f>
        <v>-2</v>
      </c>
      <c r="G10" s="1">
        <f t="shared" si="4"/>
        <v>-1</v>
      </c>
      <c r="H10" s="1">
        <f t="shared" si="4"/>
        <v>0</v>
      </c>
      <c r="I10" s="1">
        <f>I7-$I$7+1</f>
        <v>1</v>
      </c>
      <c r="J10" s="1">
        <f t="shared" ref="J10:AR10" si="5">J7-$I$7+1</f>
        <v>2</v>
      </c>
      <c r="K10" s="1">
        <f t="shared" si="5"/>
        <v>3</v>
      </c>
      <c r="L10" s="1">
        <f t="shared" si="5"/>
        <v>4</v>
      </c>
      <c r="M10" s="1">
        <f t="shared" si="5"/>
        <v>5</v>
      </c>
      <c r="N10" s="1">
        <f t="shared" si="5"/>
        <v>6</v>
      </c>
      <c r="O10" s="1">
        <f t="shared" si="5"/>
        <v>7</v>
      </c>
      <c r="P10" s="1">
        <f t="shared" si="5"/>
        <v>8</v>
      </c>
      <c r="Q10" s="1">
        <f t="shared" si="5"/>
        <v>9</v>
      </c>
      <c r="R10" s="1">
        <f t="shared" si="5"/>
        <v>10</v>
      </c>
      <c r="S10" s="1">
        <f t="shared" si="5"/>
        <v>11</v>
      </c>
      <c r="T10" s="1">
        <f t="shared" si="5"/>
        <v>12</v>
      </c>
      <c r="U10" s="1">
        <f t="shared" si="5"/>
        <v>13</v>
      </c>
      <c r="V10" s="1">
        <f t="shared" si="5"/>
        <v>14</v>
      </c>
      <c r="W10" s="1">
        <f t="shared" si="5"/>
        <v>15</v>
      </c>
      <c r="X10" s="1">
        <f t="shared" si="5"/>
        <v>16</v>
      </c>
      <c r="Y10" s="1">
        <f t="shared" si="5"/>
        <v>17</v>
      </c>
      <c r="Z10" s="1">
        <f t="shared" si="5"/>
        <v>18</v>
      </c>
      <c r="AA10" s="1">
        <f t="shared" si="5"/>
        <v>19</v>
      </c>
      <c r="AB10" s="1">
        <f t="shared" si="5"/>
        <v>20</v>
      </c>
      <c r="AC10" s="1">
        <f t="shared" si="5"/>
        <v>21</v>
      </c>
      <c r="AD10" s="1">
        <f t="shared" si="5"/>
        <v>22</v>
      </c>
      <c r="AE10" s="1">
        <f t="shared" si="5"/>
        <v>23</v>
      </c>
      <c r="AF10" s="1">
        <f t="shared" si="5"/>
        <v>24</v>
      </c>
      <c r="AG10" s="1">
        <f t="shared" si="5"/>
        <v>25</v>
      </c>
      <c r="AH10" s="1">
        <f t="shared" si="5"/>
        <v>26</v>
      </c>
      <c r="AI10" s="1">
        <f t="shared" si="5"/>
        <v>27</v>
      </c>
      <c r="AJ10" s="1">
        <f t="shared" si="5"/>
        <v>28</v>
      </c>
      <c r="AK10" s="1">
        <f t="shared" si="5"/>
        <v>29</v>
      </c>
      <c r="AL10" s="1">
        <f t="shared" si="5"/>
        <v>30</v>
      </c>
      <c r="AM10" s="1">
        <f t="shared" si="5"/>
        <v>31</v>
      </c>
      <c r="AN10" s="1">
        <f t="shared" si="5"/>
        <v>32</v>
      </c>
      <c r="AO10" s="1">
        <f t="shared" si="5"/>
        <v>33</v>
      </c>
      <c r="AP10" s="1">
        <f t="shared" si="5"/>
        <v>34</v>
      </c>
      <c r="AQ10" s="1">
        <f t="shared" si="5"/>
        <v>35</v>
      </c>
      <c r="AR10" s="1">
        <f t="shared" si="5"/>
        <v>36</v>
      </c>
    </row>
    <row r="11" spans="1:44" x14ac:dyDescent="0.2">
      <c r="B11" s="1" t="s">
        <v>197</v>
      </c>
      <c r="C11" s="19" t="s">
        <v>195</v>
      </c>
      <c r="F11" s="1">
        <f>IF(AND(F7&gt;=Inputs!$E$17,F7&lt;Inputs!$E$26),1,0)</f>
        <v>0</v>
      </c>
      <c r="G11" s="1">
        <f>IF(AND(G7&gt;=Inputs!$E$17,G7&lt;Inputs!$E$26),1,0)</f>
        <v>0</v>
      </c>
      <c r="H11" s="1">
        <f>IF(AND(H7&gt;=Inputs!$E$17,H7&lt;Inputs!$E$26),1,0)</f>
        <v>0</v>
      </c>
      <c r="I11" s="1">
        <f>IF(AND(I7&gt;=Inputs!$E$17,I7&lt;Inputs!$E$26),1,0)</f>
        <v>0</v>
      </c>
      <c r="J11" s="1">
        <f>IF(AND(J7&gt;=Inputs!$E$17,J7&lt;Inputs!$E$26),1,0)</f>
        <v>0</v>
      </c>
      <c r="K11" s="1">
        <f>IF(AND(K7&gt;=Inputs!$E$17,K7&lt;Inputs!$E$26),1,0)</f>
        <v>0</v>
      </c>
      <c r="L11" s="1">
        <f>IF(AND(L7&gt;=Inputs!$E$17,L7&lt;Inputs!$E$26),1,0)</f>
        <v>0</v>
      </c>
      <c r="M11" s="1">
        <f>IF(AND(M7&gt;=Inputs!$E$17,M7&lt;Inputs!$E$26),1,0)</f>
        <v>0</v>
      </c>
      <c r="N11" s="1">
        <f>IF(AND(N7&gt;=Inputs!$E$17,N7&lt;Inputs!$E$26),1,0)</f>
        <v>0</v>
      </c>
      <c r="O11" s="1">
        <f>IF(AND(O7&gt;=Inputs!$E$17,O7&lt;Inputs!$E$26),1,0)</f>
        <v>1</v>
      </c>
      <c r="P11" s="1">
        <f>IF(AND(P7&gt;=Inputs!$E$17,P7&lt;Inputs!$E$26),1,0)</f>
        <v>1</v>
      </c>
      <c r="Q11" s="1">
        <f>IF(AND(Q7&gt;=Inputs!$E$17,Q7&lt;Inputs!$E$26),1,0)</f>
        <v>1</v>
      </c>
      <c r="R11" s="1">
        <f>IF(AND(R7&gt;=Inputs!$E$17,R7&lt;Inputs!$E$26),1,0)</f>
        <v>1</v>
      </c>
      <c r="S11" s="1">
        <f>IF(AND(S7&gt;=Inputs!$E$17,S7&lt;Inputs!$E$26),1,0)</f>
        <v>1</v>
      </c>
      <c r="T11" s="1">
        <f>IF(AND(T7&gt;=Inputs!$E$17,T7&lt;Inputs!$E$26),1,0)</f>
        <v>1</v>
      </c>
      <c r="U11" s="1">
        <f>IF(AND(U7&gt;=Inputs!$E$17,U7&lt;Inputs!$E$26),1,0)</f>
        <v>1</v>
      </c>
      <c r="V11" s="1">
        <f>IF(AND(V7&gt;=Inputs!$E$17,V7&lt;Inputs!$E$26),1,0)</f>
        <v>1</v>
      </c>
      <c r="W11" s="1">
        <f>IF(AND(W7&gt;=Inputs!$E$17,W7&lt;Inputs!$E$26),1,0)</f>
        <v>1</v>
      </c>
      <c r="X11" s="1">
        <f>IF(AND(X7&gt;=Inputs!$E$17,X7&lt;Inputs!$E$26),1,0)</f>
        <v>1</v>
      </c>
      <c r="Y11" s="1">
        <f>IF(AND(Y7&gt;=Inputs!$E$17,Y7&lt;Inputs!$E$26),1,0)</f>
        <v>1</v>
      </c>
      <c r="Z11" s="1">
        <f>IF(AND(Z7&gt;=Inputs!$E$17,Z7&lt;Inputs!$E$26),1,0)</f>
        <v>1</v>
      </c>
      <c r="AA11" s="1">
        <f>IF(AND(AA7&gt;=Inputs!$E$17,AA7&lt;Inputs!$E$26),1,0)</f>
        <v>1</v>
      </c>
      <c r="AB11" s="1">
        <f>IF(AND(AB7&gt;=Inputs!$E$17,AB7&lt;Inputs!$E$26),1,0)</f>
        <v>1</v>
      </c>
      <c r="AC11" s="1">
        <f>IF(AND(AC7&gt;=Inputs!$E$17,AC7&lt;Inputs!$E$26),1,0)</f>
        <v>1</v>
      </c>
      <c r="AD11" s="1">
        <f>IF(AND(AD7&gt;=Inputs!$E$17,AD7&lt;Inputs!$E$26),1,0)</f>
        <v>1</v>
      </c>
      <c r="AE11" s="1">
        <f>IF(AND(AE7&gt;=Inputs!$E$17,AE7&lt;Inputs!$E$26),1,0)</f>
        <v>1</v>
      </c>
      <c r="AF11" s="1">
        <f>IF(AND(AF7&gt;=Inputs!$E$17,AF7&lt;Inputs!$E$26),1,0)</f>
        <v>1</v>
      </c>
      <c r="AG11" s="1">
        <f>IF(AND(AG7&gt;=Inputs!$E$17,AG7&lt;Inputs!$E$26),1,0)</f>
        <v>1</v>
      </c>
      <c r="AH11" s="1">
        <f>IF(AND(AH7&gt;=Inputs!$E$17,AH7&lt;Inputs!$E$26),1,0)</f>
        <v>1</v>
      </c>
      <c r="AI11" s="1">
        <f>IF(AND(AI7&gt;=Inputs!$E$17,AI7&lt;Inputs!$E$26),1,0)</f>
        <v>0</v>
      </c>
      <c r="AJ11" s="1">
        <f>IF(AND(AJ7&gt;=Inputs!$E$17,AJ7&lt;Inputs!$E$26),1,0)</f>
        <v>0</v>
      </c>
      <c r="AK11" s="1">
        <f>IF(AND(AK7&gt;=Inputs!$E$17,AK7&lt;Inputs!$E$26),1,0)</f>
        <v>0</v>
      </c>
      <c r="AL11" s="1">
        <f>IF(AND(AL7&gt;=Inputs!$E$17,AL7&lt;Inputs!$E$26),1,0)</f>
        <v>0</v>
      </c>
      <c r="AM11" s="1">
        <f>IF(AND(AM7&gt;=Inputs!$E$17,AM7&lt;Inputs!$E$26),1,0)</f>
        <v>0</v>
      </c>
      <c r="AN11" s="1">
        <f>IF(AND(AN7&gt;=Inputs!$E$17,AN7&lt;Inputs!$E$26),1,0)</f>
        <v>0</v>
      </c>
      <c r="AO11" s="1">
        <f>IF(AND(AO7&gt;=Inputs!$E$17,AO7&lt;Inputs!$E$26),1,0)</f>
        <v>0</v>
      </c>
      <c r="AP11" s="1">
        <f>IF(AND(AP7&gt;=Inputs!$E$17,AP7&lt;Inputs!$E$26),1,0)</f>
        <v>0</v>
      </c>
      <c r="AQ11" s="1">
        <f>IF(AND(AQ7&gt;=Inputs!$E$17,AQ7&lt;Inputs!$E$26),1,0)</f>
        <v>0</v>
      </c>
      <c r="AR11" s="1">
        <f>IF(AND(AR7&gt;=Inputs!$E$17,AR7&lt;Inputs!$E$26),1,0)</f>
        <v>0</v>
      </c>
    </row>
    <row r="12" spans="1:44" ht="15" x14ac:dyDescent="0.25">
      <c r="A12" s="2" t="s">
        <v>198</v>
      </c>
      <c r="C12" s="19"/>
    </row>
    <row r="13" spans="1:44" x14ac:dyDescent="0.2">
      <c r="B13" s="1" t="s">
        <v>199</v>
      </c>
      <c r="C13" s="19" t="s">
        <v>44</v>
      </c>
      <c r="F13" s="1">
        <f>(F11+D13)*F11</f>
        <v>0</v>
      </c>
      <c r="G13" s="1">
        <f t="shared" ref="G13:AG13" si="6">(G11+F13)*G11</f>
        <v>0</v>
      </c>
      <c r="H13" s="1">
        <f t="shared" si="6"/>
        <v>0</v>
      </c>
      <c r="I13" s="1">
        <f t="shared" si="6"/>
        <v>0</v>
      </c>
      <c r="J13" s="1">
        <f t="shared" si="6"/>
        <v>0</v>
      </c>
      <c r="K13" s="1">
        <f t="shared" si="6"/>
        <v>0</v>
      </c>
      <c r="L13" s="1">
        <f t="shared" si="6"/>
        <v>0</v>
      </c>
      <c r="M13" s="1">
        <f t="shared" si="6"/>
        <v>0</v>
      </c>
      <c r="N13" s="1">
        <f t="shared" si="6"/>
        <v>0</v>
      </c>
      <c r="O13" s="1">
        <f t="shared" si="6"/>
        <v>1</v>
      </c>
      <c r="P13" s="1">
        <f t="shared" si="6"/>
        <v>2</v>
      </c>
      <c r="Q13" s="1">
        <f t="shared" si="6"/>
        <v>3</v>
      </c>
      <c r="R13" s="1">
        <f t="shared" si="6"/>
        <v>4</v>
      </c>
      <c r="S13" s="1">
        <f t="shared" si="6"/>
        <v>5</v>
      </c>
      <c r="T13" s="1">
        <f t="shared" si="6"/>
        <v>6</v>
      </c>
      <c r="U13" s="1">
        <f t="shared" si="6"/>
        <v>7</v>
      </c>
      <c r="V13" s="1">
        <f t="shared" si="6"/>
        <v>8</v>
      </c>
      <c r="W13" s="1">
        <f t="shared" si="6"/>
        <v>9</v>
      </c>
      <c r="X13" s="1">
        <f t="shared" si="6"/>
        <v>10</v>
      </c>
      <c r="Y13" s="1">
        <f t="shared" si="6"/>
        <v>11</v>
      </c>
      <c r="Z13" s="1">
        <f t="shared" si="6"/>
        <v>12</v>
      </c>
      <c r="AA13" s="1">
        <f t="shared" si="6"/>
        <v>13</v>
      </c>
      <c r="AB13" s="1">
        <f t="shared" si="6"/>
        <v>14</v>
      </c>
      <c r="AC13" s="1">
        <f t="shared" si="6"/>
        <v>15</v>
      </c>
      <c r="AD13" s="1">
        <f t="shared" si="6"/>
        <v>16</v>
      </c>
      <c r="AE13" s="1">
        <f t="shared" si="6"/>
        <v>17</v>
      </c>
      <c r="AF13" s="1">
        <f t="shared" si="6"/>
        <v>18</v>
      </c>
      <c r="AG13" s="1">
        <f t="shared" si="6"/>
        <v>19</v>
      </c>
      <c r="AH13" s="1">
        <f>(AH11+AG13)*AH11</f>
        <v>20</v>
      </c>
      <c r="AI13" s="1">
        <f t="shared" ref="AI13:AR13" si="7">(AI11+AH13)*AI11</f>
        <v>0</v>
      </c>
      <c r="AJ13" s="1">
        <f t="shared" si="7"/>
        <v>0</v>
      </c>
      <c r="AK13" s="1">
        <f t="shared" si="7"/>
        <v>0</v>
      </c>
      <c r="AL13" s="1">
        <f t="shared" si="7"/>
        <v>0</v>
      </c>
      <c r="AM13" s="1">
        <f t="shared" si="7"/>
        <v>0</v>
      </c>
      <c r="AN13" s="1">
        <f t="shared" si="7"/>
        <v>0</v>
      </c>
      <c r="AO13" s="1">
        <f t="shared" si="7"/>
        <v>0</v>
      </c>
      <c r="AP13" s="1">
        <f t="shared" si="7"/>
        <v>0</v>
      </c>
      <c r="AQ13" s="1">
        <f t="shared" si="7"/>
        <v>0</v>
      </c>
      <c r="AR13" s="1">
        <f t="shared" si="7"/>
        <v>0</v>
      </c>
    </row>
    <row r="14" spans="1:44" ht="15" x14ac:dyDescent="0.25">
      <c r="A14" s="2" t="s">
        <v>7</v>
      </c>
      <c r="C14" s="19"/>
    </row>
    <row r="15" spans="1:44" x14ac:dyDescent="0.2">
      <c r="B15" s="1" t="s">
        <v>59</v>
      </c>
      <c r="C15" s="19" t="s">
        <v>44</v>
      </c>
      <c r="D15" s="62">
        <f>Inputs!E29</f>
        <v>0</v>
      </c>
      <c r="E15" s="62"/>
      <c r="F15" s="3">
        <f>1/(1+$D15)^(F$10-1)</f>
        <v>1</v>
      </c>
      <c r="G15" s="3">
        <f t="shared" ref="G15:AR15" si="8">1/(1+$D15)^(G$10-1)</f>
        <v>1</v>
      </c>
      <c r="H15" s="3">
        <f t="shared" si="8"/>
        <v>1</v>
      </c>
      <c r="I15" s="3">
        <f t="shared" si="8"/>
        <v>1</v>
      </c>
      <c r="J15" s="3">
        <f t="shared" si="8"/>
        <v>1</v>
      </c>
      <c r="K15" s="3">
        <f t="shared" si="8"/>
        <v>1</v>
      </c>
      <c r="L15" s="3">
        <f t="shared" si="8"/>
        <v>1</v>
      </c>
      <c r="M15" s="3">
        <f t="shared" si="8"/>
        <v>1</v>
      </c>
      <c r="N15" s="3">
        <f t="shared" si="8"/>
        <v>1</v>
      </c>
      <c r="O15" s="3">
        <f t="shared" si="8"/>
        <v>1</v>
      </c>
      <c r="P15" s="3">
        <f t="shared" si="8"/>
        <v>1</v>
      </c>
      <c r="Q15" s="3">
        <f t="shared" si="8"/>
        <v>1</v>
      </c>
      <c r="R15" s="3">
        <f t="shared" si="8"/>
        <v>1</v>
      </c>
      <c r="S15" s="3">
        <f t="shared" si="8"/>
        <v>1</v>
      </c>
      <c r="T15" s="3">
        <f t="shared" si="8"/>
        <v>1</v>
      </c>
      <c r="U15" s="3">
        <f t="shared" si="8"/>
        <v>1</v>
      </c>
      <c r="V15" s="3">
        <f t="shared" si="8"/>
        <v>1</v>
      </c>
      <c r="W15" s="3">
        <f t="shared" si="8"/>
        <v>1</v>
      </c>
      <c r="X15" s="3">
        <f t="shared" si="8"/>
        <v>1</v>
      </c>
      <c r="Y15" s="3">
        <f t="shared" si="8"/>
        <v>1</v>
      </c>
      <c r="Z15" s="3">
        <f t="shared" si="8"/>
        <v>1</v>
      </c>
      <c r="AA15" s="3">
        <f t="shared" si="8"/>
        <v>1</v>
      </c>
      <c r="AB15" s="3">
        <f t="shared" si="8"/>
        <v>1</v>
      </c>
      <c r="AC15" s="3">
        <f t="shared" si="8"/>
        <v>1</v>
      </c>
      <c r="AD15" s="3">
        <f t="shared" si="8"/>
        <v>1</v>
      </c>
      <c r="AE15" s="3">
        <f t="shared" si="8"/>
        <v>1</v>
      </c>
      <c r="AF15" s="3">
        <f t="shared" si="8"/>
        <v>1</v>
      </c>
      <c r="AG15" s="3">
        <f t="shared" si="8"/>
        <v>1</v>
      </c>
      <c r="AH15" s="3">
        <f t="shared" si="8"/>
        <v>1</v>
      </c>
      <c r="AI15" s="3">
        <f t="shared" si="8"/>
        <v>1</v>
      </c>
      <c r="AJ15" s="3">
        <f t="shared" si="8"/>
        <v>1</v>
      </c>
      <c r="AK15" s="3">
        <f t="shared" si="8"/>
        <v>1</v>
      </c>
      <c r="AL15" s="3">
        <f t="shared" si="8"/>
        <v>1</v>
      </c>
      <c r="AM15" s="3">
        <f t="shared" si="8"/>
        <v>1</v>
      </c>
      <c r="AN15" s="3">
        <f t="shared" si="8"/>
        <v>1</v>
      </c>
      <c r="AO15" s="3">
        <f t="shared" si="8"/>
        <v>1</v>
      </c>
      <c r="AP15" s="3">
        <f t="shared" si="8"/>
        <v>1</v>
      </c>
      <c r="AQ15" s="3">
        <f t="shared" si="8"/>
        <v>1</v>
      </c>
      <c r="AR15" s="3">
        <f t="shared" si="8"/>
        <v>1</v>
      </c>
    </row>
    <row r="16" spans="1:44" x14ac:dyDescent="0.2">
      <c r="B16" s="1" t="str">
        <f>Inputs!$C$30</f>
        <v>2% Discount Factor</v>
      </c>
      <c r="C16" s="19" t="s">
        <v>44</v>
      </c>
      <c r="D16" s="62">
        <f>Inputs!E30</f>
        <v>0.02</v>
      </c>
      <c r="E16" s="62"/>
      <c r="F16" s="3">
        <f t="shared" ref="F16:G16" si="9">MIN(1,IF(F10=0,1,1/(1+$D16)^(F$10-1)))</f>
        <v>1</v>
      </c>
      <c r="G16" s="3">
        <f t="shared" si="9"/>
        <v>1</v>
      </c>
      <c r="H16" s="3">
        <f>MIN(1,IF(H10=0,1,1/(1+$D16)^(H$10-1)))</f>
        <v>1</v>
      </c>
      <c r="I16" s="3">
        <f t="shared" ref="I16:AR16" si="10">MIN(1,IF(I10=0,1,1/(1+$D16)^(I$10-1)))</f>
        <v>1</v>
      </c>
      <c r="J16" s="3">
        <f t="shared" si="10"/>
        <v>0.98039215686274506</v>
      </c>
      <c r="K16" s="3">
        <f t="shared" si="10"/>
        <v>0.96116878123798544</v>
      </c>
      <c r="L16" s="3">
        <f t="shared" si="10"/>
        <v>0.94232233454704462</v>
      </c>
      <c r="M16" s="3">
        <f t="shared" si="10"/>
        <v>0.9238454260265142</v>
      </c>
      <c r="N16" s="3">
        <f t="shared" si="10"/>
        <v>0.90573080982991594</v>
      </c>
      <c r="O16" s="3">
        <f t="shared" si="10"/>
        <v>0.88797138218619198</v>
      </c>
      <c r="P16" s="3">
        <f t="shared" si="10"/>
        <v>0.87056017861391388</v>
      </c>
      <c r="Q16" s="3">
        <f t="shared" si="10"/>
        <v>0.85349037119011162</v>
      </c>
      <c r="R16" s="3">
        <f t="shared" si="10"/>
        <v>0.83675526587265847</v>
      </c>
      <c r="S16" s="3">
        <f t="shared" si="10"/>
        <v>0.82034829987515534</v>
      </c>
      <c r="T16" s="3">
        <f t="shared" si="10"/>
        <v>0.80426303909328967</v>
      </c>
      <c r="U16" s="3">
        <f t="shared" si="10"/>
        <v>0.78849317558165644</v>
      </c>
      <c r="V16" s="3">
        <f t="shared" si="10"/>
        <v>0.77303252508005538</v>
      </c>
      <c r="W16" s="3">
        <f t="shared" si="10"/>
        <v>0.75787502458828948</v>
      </c>
      <c r="X16" s="3">
        <f t="shared" si="10"/>
        <v>0.74301472998851925</v>
      </c>
      <c r="Y16" s="3">
        <f t="shared" si="10"/>
        <v>0.72844581371423445</v>
      </c>
      <c r="Z16" s="3">
        <f t="shared" si="10"/>
        <v>0.7141625624649357</v>
      </c>
      <c r="AA16" s="3">
        <f t="shared" si="10"/>
        <v>0.7001593749656233</v>
      </c>
      <c r="AB16" s="3">
        <f t="shared" si="10"/>
        <v>0.68643075977021895</v>
      </c>
      <c r="AC16" s="3">
        <f t="shared" si="10"/>
        <v>0.67297133310805779</v>
      </c>
      <c r="AD16" s="3">
        <f t="shared" si="10"/>
        <v>0.65977581677260566</v>
      </c>
      <c r="AE16" s="3">
        <f t="shared" si="10"/>
        <v>0.64683903605157411</v>
      </c>
      <c r="AF16" s="3">
        <f t="shared" si="10"/>
        <v>0.63415591769762181</v>
      </c>
      <c r="AG16" s="3">
        <f t="shared" si="10"/>
        <v>0.62172148793884485</v>
      </c>
      <c r="AH16" s="3">
        <f t="shared" si="10"/>
        <v>0.60953087052827937</v>
      </c>
      <c r="AI16" s="3">
        <f t="shared" si="10"/>
        <v>0.59757928483164635</v>
      </c>
      <c r="AJ16" s="3">
        <f t="shared" si="10"/>
        <v>0.58586204395259456</v>
      </c>
      <c r="AK16" s="3">
        <f t="shared" si="10"/>
        <v>0.57437455289470041</v>
      </c>
      <c r="AL16" s="3">
        <f t="shared" si="10"/>
        <v>0.56311230675951029</v>
      </c>
      <c r="AM16" s="3">
        <f t="shared" si="10"/>
        <v>0.55207088897991197</v>
      </c>
      <c r="AN16" s="3">
        <f t="shared" si="10"/>
        <v>0.54124596958814919</v>
      </c>
      <c r="AO16" s="3">
        <f t="shared" si="10"/>
        <v>0.53063330351779314</v>
      </c>
      <c r="AP16" s="3">
        <f t="shared" si="10"/>
        <v>0.52022872893901284</v>
      </c>
      <c r="AQ16" s="3">
        <f t="shared" si="10"/>
        <v>0.51002816562648323</v>
      </c>
      <c r="AR16" s="3">
        <f t="shared" si="10"/>
        <v>0.50002761335929735</v>
      </c>
    </row>
    <row r="17" spans="1:44" x14ac:dyDescent="0.2">
      <c r="B17" s="1" t="str">
        <f>Inputs!$C$31</f>
        <v>3.1% Discount Factor</v>
      </c>
      <c r="C17" s="19" t="s">
        <v>44</v>
      </c>
      <c r="D17" s="62">
        <f>Inputs!E31</f>
        <v>3.1E-2</v>
      </c>
      <c r="E17" s="62"/>
      <c r="F17" s="3">
        <f t="shared" ref="F17:G17" si="11">MIN(1,IF(F10=0,1,1/(1+$D17)^(F$10-1)))</f>
        <v>1</v>
      </c>
      <c r="G17" s="3">
        <f t="shared" si="11"/>
        <v>1</v>
      </c>
      <c r="H17" s="3">
        <f>MIN(1,IF(H10=0,1,1/(1+$D17)^(H$10-1)))</f>
        <v>1</v>
      </c>
      <c r="I17" s="3">
        <f t="shared" ref="I17:AR17" si="12">MIN(1,IF(I10=0,1,1/(1+$D17)^(I$10-1)))</f>
        <v>1</v>
      </c>
      <c r="J17" s="3">
        <f t="shared" si="12"/>
        <v>0.96993210475266745</v>
      </c>
      <c r="K17" s="3">
        <f t="shared" si="12"/>
        <v>0.94076828782993938</v>
      </c>
      <c r="L17" s="3">
        <f t="shared" si="12"/>
        <v>0.91248136549945624</v>
      </c>
      <c r="M17" s="3">
        <f t="shared" si="12"/>
        <v>0.88504497138647553</v>
      </c>
      <c r="N17" s="3">
        <f t="shared" si="12"/>
        <v>0.85843353189764848</v>
      </c>
      <c r="O17" s="3">
        <f t="shared" si="12"/>
        <v>0.83262224238375215</v>
      </c>
      <c r="P17" s="3">
        <f t="shared" si="12"/>
        <v>0.80758704401915837</v>
      </c>
      <c r="Q17" s="3">
        <f t="shared" si="12"/>
        <v>0.78330460137648728</v>
      </c>
      <c r="R17" s="3">
        <f t="shared" si="12"/>
        <v>0.75975228067554545</v>
      </c>
      <c r="S17" s="3">
        <f t="shared" si="12"/>
        <v>0.73690812868627109</v>
      </c>
      <c r="T17" s="3">
        <f t="shared" si="12"/>
        <v>0.71475085226602442</v>
      </c>
      <c r="U17" s="3">
        <f t="shared" si="12"/>
        <v>0.69325979851214781</v>
      </c>
      <c r="V17" s="3">
        <f t="shared" si="12"/>
        <v>0.67241493551129761</v>
      </c>
      <c r="W17" s="3">
        <f t="shared" si="12"/>
        <v>0.65219683366760206</v>
      </c>
      <c r="X17" s="3">
        <f t="shared" si="12"/>
        <v>0.63258664759224259</v>
      </c>
      <c r="Y17" s="3">
        <f t="shared" si="12"/>
        <v>0.6135660985375776</v>
      </c>
      <c r="Z17" s="3">
        <f t="shared" si="12"/>
        <v>0.59511745735943511</v>
      </c>
      <c r="AA17" s="3">
        <f t="shared" si="12"/>
        <v>0.57722352799169274</v>
      </c>
      <c r="AB17" s="3">
        <f t="shared" si="12"/>
        <v>0.55986763141774276</v>
      </c>
      <c r="AC17" s="3">
        <f t="shared" si="12"/>
        <v>0.54303359012390184</v>
      </c>
      <c r="AD17" s="3">
        <f t="shared" si="12"/>
        <v>0.52670571302027336</v>
      </c>
      <c r="AE17" s="3">
        <f t="shared" si="12"/>
        <v>0.51086878081500819</v>
      </c>
      <c r="AF17" s="3">
        <f t="shared" si="12"/>
        <v>0.49550803182832992</v>
      </c>
      <c r="AG17" s="3">
        <f t="shared" si="12"/>
        <v>0.4806091482331038</v>
      </c>
      <c r="AH17" s="3">
        <f t="shared" si="12"/>
        <v>0.46615824270912104</v>
      </c>
      <c r="AI17" s="3">
        <f t="shared" si="12"/>
        <v>0.4521418454986626</v>
      </c>
      <c r="AJ17" s="3">
        <f t="shared" si="12"/>
        <v>0.4385468918512731</v>
      </c>
      <c r="AK17" s="3">
        <f t="shared" si="12"/>
        <v>0.42536070984604568</v>
      </c>
      <c r="AL17" s="3">
        <f t="shared" si="12"/>
        <v>0.41257100858006374</v>
      </c>
      <c r="AM17" s="3">
        <f t="shared" si="12"/>
        <v>0.400165866711992</v>
      </c>
      <c r="AN17" s="3">
        <f t="shared" si="12"/>
        <v>0.38813372135013779</v>
      </c>
      <c r="AO17" s="3">
        <f t="shared" si="12"/>
        <v>0.37646335727462438</v>
      </c>
      <c r="AP17" s="3">
        <f t="shared" si="12"/>
        <v>0.36514389648363188</v>
      </c>
      <c r="AQ17" s="3">
        <f t="shared" si="12"/>
        <v>0.35416478805395912</v>
      </c>
      <c r="AR17" s="3">
        <f t="shared" si="12"/>
        <v>0.34351579830645895</v>
      </c>
    </row>
    <row r="18" spans="1:44" x14ac:dyDescent="0.2">
      <c r="C18" s="18"/>
    </row>
    <row r="19" spans="1:44" x14ac:dyDescent="0.2">
      <c r="B19" s="1" t="s">
        <v>200</v>
      </c>
      <c r="C19" s="1" t="s">
        <v>38</v>
      </c>
      <c r="D19" s="1" t="s">
        <v>39</v>
      </c>
    </row>
    <row r="20" spans="1:44" s="9" customFormat="1" x14ac:dyDescent="0.2">
      <c r="A20" s="8" t="s">
        <v>201</v>
      </c>
    </row>
    <row r="21" spans="1:44" ht="15" x14ac:dyDescent="0.25">
      <c r="A21" s="2" t="s">
        <v>223</v>
      </c>
      <c r="C21" s="19"/>
      <c r="D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1:44" ht="15" x14ac:dyDescent="0.25">
      <c r="A22" s="2"/>
      <c r="B22" s="1" t="s">
        <v>291</v>
      </c>
      <c r="C22" s="76"/>
      <c r="D22" s="7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4" ht="15" x14ac:dyDescent="0.25">
      <c r="A23" s="2"/>
      <c r="B23" s="1" t="s">
        <v>292</v>
      </c>
      <c r="C23" s="76"/>
      <c r="D23" s="7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ht="15" x14ac:dyDescent="0.25">
      <c r="A24" s="2"/>
      <c r="B24" s="1" t="s">
        <v>293</v>
      </c>
      <c r="C24" s="76"/>
      <c r="D24" s="7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1:44" x14ac:dyDescent="0.2">
      <c r="B25" s="1" t="s">
        <v>262</v>
      </c>
      <c r="C25" s="19" t="s">
        <v>252</v>
      </c>
      <c r="D25" s="75">
        <f>SUM(F25:AR25)</f>
        <v>0</v>
      </c>
      <c r="F25" s="16">
        <v>0</v>
      </c>
      <c r="G25" s="16">
        <v>0</v>
      </c>
      <c r="H25" s="16">
        <v>0</v>
      </c>
      <c r="I25" s="16">
        <v>0</v>
      </c>
      <c r="J25" s="16">
        <v>0</v>
      </c>
      <c r="K25" s="16">
        <v>0</v>
      </c>
      <c r="L25" s="16">
        <v>0</v>
      </c>
      <c r="M25" s="16">
        <v>0</v>
      </c>
      <c r="N25" s="16">
        <v>0</v>
      </c>
      <c r="O25" s="16">
        <v>0</v>
      </c>
      <c r="P25" s="16">
        <v>0</v>
      </c>
      <c r="Q25" s="16">
        <v>0</v>
      </c>
      <c r="R25" s="16">
        <v>0</v>
      </c>
      <c r="S25" s="16">
        <v>0</v>
      </c>
      <c r="T25" s="16">
        <v>0</v>
      </c>
      <c r="U25" s="16">
        <v>0</v>
      </c>
      <c r="V25" s="16">
        <v>0</v>
      </c>
      <c r="W25" s="16">
        <v>0</v>
      </c>
      <c r="X25" s="16">
        <v>0</v>
      </c>
      <c r="Y25" s="16">
        <v>0</v>
      </c>
      <c r="Z25" s="16">
        <v>0</v>
      </c>
      <c r="AA25" s="16">
        <v>0</v>
      </c>
      <c r="AB25" s="16">
        <v>0</v>
      </c>
      <c r="AC25" s="16">
        <v>0</v>
      </c>
      <c r="AD25" s="16">
        <v>0</v>
      </c>
      <c r="AE25" s="16">
        <v>0</v>
      </c>
      <c r="AF25" s="16">
        <v>0</v>
      </c>
      <c r="AG25" s="16">
        <v>0</v>
      </c>
      <c r="AH25" s="16">
        <v>0</v>
      </c>
      <c r="AI25" s="16">
        <v>0</v>
      </c>
      <c r="AJ25" s="16">
        <v>0</v>
      </c>
      <c r="AK25" s="16">
        <v>0</v>
      </c>
      <c r="AL25" s="16">
        <v>0</v>
      </c>
      <c r="AM25" s="16">
        <v>0</v>
      </c>
      <c r="AN25" s="16">
        <v>0</v>
      </c>
      <c r="AO25" s="16">
        <v>0</v>
      </c>
      <c r="AP25" s="16">
        <v>0</v>
      </c>
      <c r="AQ25" s="16">
        <v>0</v>
      </c>
      <c r="AR25" s="16">
        <v>0</v>
      </c>
    </row>
    <row r="26" spans="1:44" x14ac:dyDescent="0.2">
      <c r="C26" s="12"/>
    </row>
    <row r="27" spans="1:44" s="9" customFormat="1" x14ac:dyDescent="0.2">
      <c r="A27" s="8" t="s">
        <v>211</v>
      </c>
      <c r="B27" s="13"/>
      <c r="C27" s="13"/>
    </row>
    <row r="28" spans="1:44" ht="15" x14ac:dyDescent="0.25">
      <c r="A28" s="2" t="s">
        <v>226</v>
      </c>
      <c r="C28" s="19"/>
      <c r="D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1:44" ht="15" x14ac:dyDescent="0.25">
      <c r="A29" s="2"/>
      <c r="B29" s="1" t="str">
        <f>Traffic!$B$52</f>
        <v>Pedestrian Forecast</v>
      </c>
      <c r="C29" s="19" t="s">
        <v>168</v>
      </c>
      <c r="D29" s="15"/>
      <c r="F29" s="16">
        <f>Traffic!F83</f>
        <v>66.680335831680836</v>
      </c>
      <c r="G29" s="16">
        <f>Traffic!G83</f>
        <v>67.040359895154836</v>
      </c>
      <c r="H29" s="16">
        <f>Traffic!H83</f>
        <v>67.402327819958614</v>
      </c>
      <c r="I29" s="16">
        <f>Traffic!I83</f>
        <v>67.766250101493057</v>
      </c>
      <c r="J29" s="16">
        <f>Traffic!J83</f>
        <v>68.132137291826353</v>
      </c>
      <c r="K29" s="16">
        <f>Traffic!K83</f>
        <v>68.500000000000014</v>
      </c>
      <c r="L29" s="16">
        <f>Traffic!L83</f>
        <v>68.869848892336449</v>
      </c>
      <c r="M29" s="16">
        <f>Traffic!M83</f>
        <v>69.241694692748254</v>
      </c>
      <c r="N29" s="16">
        <f>Traffic!N83</f>
        <v>69.615548183049142</v>
      </c>
      <c r="O29" s="16">
        <f>Traffic!O83</f>
        <v>111.1282106869738</v>
      </c>
      <c r="P29" s="16">
        <f>Traffic!P83</f>
        <v>133.10167205185692</v>
      </c>
      <c r="Q29" s="16">
        <f>Traffic!Q83</f>
        <v>155.78474827702286</v>
      </c>
      <c r="R29" s="16">
        <f>Traffic!R83</f>
        <v>157.58226996620684</v>
      </c>
      <c r="S29" s="16">
        <f>Traffic!S83</f>
        <v>159.40541748278952</v>
      </c>
      <c r="T29" s="16">
        <f>Traffic!T83</f>
        <v>161.25459420581774</v>
      </c>
      <c r="U29" s="16">
        <f>Traffic!U83</f>
        <v>163.13021010387212</v>
      </c>
      <c r="V29" s="16">
        <f>Traffic!V83</f>
        <v>165.03268184408216</v>
      </c>
      <c r="W29" s="16">
        <f>Traffic!W83</f>
        <v>166.96243290295274</v>
      </c>
      <c r="X29" s="16">
        <f>Traffic!X83</f>
        <v>168.9198936790317</v>
      </c>
      <c r="Y29" s="16">
        <f>Traffic!Y83</f>
        <v>170.90550160744897</v>
      </c>
      <c r="Z29" s="16">
        <f>Traffic!Z83</f>
        <v>172.91970127635909</v>
      </c>
      <c r="AA29" s="16">
        <f>Traffic!AA83</f>
        <v>174.96294454531795</v>
      </c>
      <c r="AB29" s="16">
        <f>Traffic!AB83</f>
        <v>177.03569066562656</v>
      </c>
      <c r="AC29" s="16">
        <f>Traffic!AC83</f>
        <v>179.13840640267415</v>
      </c>
      <c r="AD29" s="16">
        <f>Traffic!AD83</f>
        <v>181.27156616031428</v>
      </c>
      <c r="AE29" s="16">
        <f>Traffic!AE83</f>
        <v>183.43565210730725</v>
      </c>
      <c r="AF29" s="16">
        <f>Traffic!AF83</f>
        <v>185.63115430586367</v>
      </c>
      <c r="AG29" s="16">
        <f>Traffic!AG83</f>
        <v>187.8585708423241</v>
      </c>
      <c r="AH29" s="16">
        <f>Traffic!AH83</f>
        <v>190.11840796000962</v>
      </c>
      <c r="AI29" s="16">
        <f>Traffic!AI83</f>
        <v>192.41118019428058</v>
      </c>
      <c r="AJ29" s="16">
        <f>Traffic!AJ83</f>
        <v>194.73741050983935</v>
      </c>
      <c r="AK29" s="16">
        <f>Traffic!AK83</f>
        <v>197.09763044031479</v>
      </c>
      <c r="AL29" s="16">
        <f>Traffic!AL83</f>
        <v>199.49238023016625</v>
      </c>
      <c r="AM29" s="16">
        <f>Traffic!AM83</f>
        <v>201.92220897894595</v>
      </c>
      <c r="AN29" s="16">
        <f>Traffic!AN83</f>
        <v>204.38767478795859</v>
      </c>
      <c r="AO29" s="16">
        <f>Traffic!AO83</f>
        <v>206.8893449093585</v>
      </c>
      <c r="AP29" s="16">
        <f>Traffic!AP83</f>
        <v>209.42779589772437</v>
      </c>
      <c r="AQ29" s="16">
        <f>Traffic!AQ83</f>
        <v>212.00361376415344</v>
      </c>
      <c r="AR29" s="16">
        <f>Traffic!AR83</f>
        <v>214.61739413291633</v>
      </c>
    </row>
    <row r="30" spans="1:44" ht="15" x14ac:dyDescent="0.25">
      <c r="A30" s="2"/>
      <c r="B30" s="1" t="s">
        <v>294</v>
      </c>
      <c r="C30" s="19" t="s">
        <v>85</v>
      </c>
      <c r="D30" s="15">
        <f>Inputs!$E$44</f>
        <v>0.53030303030303028</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1:44" ht="15" x14ac:dyDescent="0.25">
      <c r="A31" s="2"/>
      <c r="B31" s="1" t="s">
        <v>295</v>
      </c>
      <c r="C31" s="19" t="s">
        <v>296</v>
      </c>
      <c r="D31" s="15"/>
      <c r="F31" s="16">
        <f t="shared" ref="F31:AR31" si="13">F29*$D$30</f>
        <v>35.360784153164076</v>
      </c>
      <c r="G31" s="16">
        <f t="shared" si="13"/>
        <v>35.551706005006352</v>
      </c>
      <c r="H31" s="16">
        <f t="shared" si="13"/>
        <v>35.743658692402292</v>
      </c>
      <c r="I31" s="16">
        <f t="shared" si="13"/>
        <v>35.936647781094798</v>
      </c>
      <c r="J31" s="16">
        <f t="shared" si="13"/>
        <v>36.130678866877609</v>
      </c>
      <c r="K31" s="16">
        <f t="shared" si="13"/>
        <v>36.325757575757578</v>
      </c>
      <c r="L31" s="16">
        <f t="shared" si="13"/>
        <v>36.521889564117814</v>
      </c>
      <c r="M31" s="16">
        <f t="shared" si="13"/>
        <v>36.719080518881647</v>
      </c>
      <c r="N31" s="16">
        <f t="shared" si="13"/>
        <v>36.917336157677575</v>
      </c>
      <c r="O31" s="16">
        <f t="shared" si="13"/>
        <v>58.931626879455798</v>
      </c>
      <c r="P31" s="16">
        <f t="shared" si="13"/>
        <v>70.584220027499882</v>
      </c>
      <c r="Q31" s="16">
        <f t="shared" si="13"/>
        <v>82.61312408629999</v>
      </c>
      <c r="R31" s="16">
        <f t="shared" si="13"/>
        <v>83.56635528510968</v>
      </c>
      <c r="S31" s="16">
        <f t="shared" si="13"/>
        <v>84.533175937842927</v>
      </c>
      <c r="T31" s="16">
        <f t="shared" si="13"/>
        <v>85.51379995763061</v>
      </c>
      <c r="U31" s="16">
        <f t="shared" si="13"/>
        <v>86.508444752053393</v>
      </c>
      <c r="V31" s="16">
        <f t="shared" si="13"/>
        <v>87.517331280952661</v>
      </c>
      <c r="W31" s="16">
        <f t="shared" si="13"/>
        <v>88.540684115202211</v>
      </c>
      <c r="X31" s="16">
        <f t="shared" si="13"/>
        <v>89.5787314964562</v>
      </c>
      <c r="Y31" s="16">
        <f t="shared" si="13"/>
        <v>90.631705397889604</v>
      </c>
      <c r="Z31" s="16">
        <f t="shared" si="13"/>
        <v>91.699841585947993</v>
      </c>
      <c r="AA31" s="16">
        <f t="shared" si="13"/>
        <v>92.783379683123158</v>
      </c>
      <c r="AB31" s="16">
        <f t="shared" si="13"/>
        <v>93.882563231771655</v>
      </c>
      <c r="AC31" s="16">
        <f t="shared" si="13"/>
        <v>94.997639758993856</v>
      </c>
      <c r="AD31" s="16">
        <f t="shared" si="13"/>
        <v>96.128860842590896</v>
      </c>
      <c r="AE31" s="16">
        <f t="shared" si="13"/>
        <v>97.276482178117476</v>
      </c>
      <c r="AF31" s="16">
        <f t="shared" si="13"/>
        <v>98.440763647048911</v>
      </c>
      <c r="AG31" s="16">
        <f t="shared" si="13"/>
        <v>99.621969386080963</v>
      </c>
      <c r="AH31" s="16">
        <f t="shared" si="13"/>
        <v>100.82036785758085</v>
      </c>
      <c r="AI31" s="16">
        <f t="shared" si="13"/>
        <v>102.03623192120939</v>
      </c>
      <c r="AJ31" s="16">
        <f t="shared" si="13"/>
        <v>103.26983890673299</v>
      </c>
      <c r="AK31" s="16">
        <f t="shared" si="13"/>
        <v>104.52147068804571</v>
      </c>
      <c r="AL31" s="16">
        <f t="shared" si="13"/>
        <v>105.79141375842148</v>
      </c>
      <c r="AM31" s="16">
        <f t="shared" si="13"/>
        <v>107.07995930701678</v>
      </c>
      <c r="AN31" s="16">
        <f t="shared" si="13"/>
        <v>108.38740329664471</v>
      </c>
      <c r="AO31" s="16">
        <f t="shared" si="13"/>
        <v>109.71404654284163</v>
      </c>
      <c r="AP31" s="16">
        <f t="shared" si="13"/>
        <v>111.06019479424776</v>
      </c>
      <c r="AQ31" s="16">
        <f t="shared" si="13"/>
        <v>112.42615881432378</v>
      </c>
      <c r="AR31" s="16">
        <f t="shared" si="13"/>
        <v>113.81225446442532</v>
      </c>
    </row>
    <row r="32" spans="1:44" ht="15" x14ac:dyDescent="0.25">
      <c r="A32" s="2" t="s">
        <v>297</v>
      </c>
      <c r="C32" s="19"/>
      <c r="D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1:44" ht="15" x14ac:dyDescent="0.25">
      <c r="A33" s="2"/>
      <c r="B33" s="1" t="s">
        <v>78</v>
      </c>
      <c r="C33" s="19" t="s">
        <v>79</v>
      </c>
      <c r="D33" s="248">
        <f>Inputs!$E$41</f>
        <v>12</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ht="15" x14ac:dyDescent="0.25">
      <c r="A34" s="2"/>
      <c r="B34" s="1" t="s">
        <v>298</v>
      </c>
      <c r="C34" s="19" t="s">
        <v>172</v>
      </c>
      <c r="D34" s="253">
        <f>Inputs!$E$147</f>
        <v>0.11</v>
      </c>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1:44" x14ac:dyDescent="0.2">
      <c r="B35" s="1" t="s">
        <v>299</v>
      </c>
      <c r="C35" s="19" t="s">
        <v>260</v>
      </c>
      <c r="D35" s="5">
        <f>SUM(F35:AR35)</f>
        <v>4194.2704045394294</v>
      </c>
      <c r="F35" s="16">
        <f t="shared" ref="F35:AR35" si="14">F31*$D$33*$D$34</f>
        <v>46.676235082176582</v>
      </c>
      <c r="G35" s="16">
        <f t="shared" si="14"/>
        <v>46.928251926608382</v>
      </c>
      <c r="H35" s="16">
        <f t="shared" si="14"/>
        <v>47.181629473971029</v>
      </c>
      <c r="I35" s="16">
        <f t="shared" si="14"/>
        <v>47.436375071045134</v>
      </c>
      <c r="J35" s="16">
        <f t="shared" si="14"/>
        <v>47.69249610427844</v>
      </c>
      <c r="K35" s="16">
        <f t="shared" si="14"/>
        <v>47.95</v>
      </c>
      <c r="L35" s="16">
        <f t="shared" si="14"/>
        <v>48.208894224635515</v>
      </c>
      <c r="M35" s="16">
        <f t="shared" si="14"/>
        <v>48.469186284923779</v>
      </c>
      <c r="N35" s="16">
        <f t="shared" si="14"/>
        <v>48.730883728134401</v>
      </c>
      <c r="O35" s="16">
        <f t="shared" si="14"/>
        <v>77.789747480881658</v>
      </c>
      <c r="P35" s="16">
        <f t="shared" si="14"/>
        <v>93.171170436299832</v>
      </c>
      <c r="Q35" s="16">
        <f t="shared" si="14"/>
        <v>109.04932379391599</v>
      </c>
      <c r="R35" s="16">
        <f t="shared" si="14"/>
        <v>110.30758897634477</v>
      </c>
      <c r="S35" s="16">
        <f t="shared" si="14"/>
        <v>111.58379223795266</v>
      </c>
      <c r="T35" s="16">
        <f t="shared" si="14"/>
        <v>112.87821594407239</v>
      </c>
      <c r="U35" s="16">
        <f t="shared" si="14"/>
        <v>114.19114707271048</v>
      </c>
      <c r="V35" s="16">
        <f t="shared" si="14"/>
        <v>115.52287729085752</v>
      </c>
      <c r="W35" s="16">
        <f t="shared" si="14"/>
        <v>116.87370303206691</v>
      </c>
      <c r="X35" s="16">
        <f t="shared" si="14"/>
        <v>118.24392557532218</v>
      </c>
      <c r="Y35" s="16">
        <f t="shared" si="14"/>
        <v>119.63385112521428</v>
      </c>
      <c r="Z35" s="16">
        <f t="shared" si="14"/>
        <v>121.04379089345136</v>
      </c>
      <c r="AA35" s="16">
        <f t="shared" si="14"/>
        <v>122.47406118172258</v>
      </c>
      <c r="AB35" s="16">
        <f t="shared" si="14"/>
        <v>123.92498346593858</v>
      </c>
      <c r="AC35" s="16">
        <f t="shared" si="14"/>
        <v>125.39688448187189</v>
      </c>
      <c r="AD35" s="16">
        <f t="shared" si="14"/>
        <v>126.89009631222</v>
      </c>
      <c r="AE35" s="16">
        <f t="shared" si="14"/>
        <v>128.40495647511506</v>
      </c>
      <c r="AF35" s="16">
        <f t="shared" si="14"/>
        <v>129.94180801410457</v>
      </c>
      <c r="AG35" s="16">
        <f t="shared" si="14"/>
        <v>131.50099958962687</v>
      </c>
      <c r="AH35" s="16">
        <f t="shared" si="14"/>
        <v>133.08288557200672</v>
      </c>
      <c r="AI35" s="16">
        <f t="shared" si="14"/>
        <v>134.6878261359964</v>
      </c>
      <c r="AJ35" s="16">
        <f t="shared" si="14"/>
        <v>136.31618735688755</v>
      </c>
      <c r="AK35" s="16">
        <f t="shared" si="14"/>
        <v>137.96834130822035</v>
      </c>
      <c r="AL35" s="16">
        <f t="shared" si="14"/>
        <v>139.64466616111636</v>
      </c>
      <c r="AM35" s="16">
        <f t="shared" si="14"/>
        <v>141.34554628526215</v>
      </c>
      <c r="AN35" s="16">
        <f t="shared" si="14"/>
        <v>143.071372351571</v>
      </c>
      <c r="AO35" s="16">
        <f t="shared" si="14"/>
        <v>144.82254143655095</v>
      </c>
      <c r="AP35" s="16">
        <f t="shared" si="14"/>
        <v>146.59945712840704</v>
      </c>
      <c r="AQ35" s="16">
        <f t="shared" si="14"/>
        <v>148.40252963490738</v>
      </c>
      <c r="AR35" s="16">
        <f t="shared" si="14"/>
        <v>150.23217589304141</v>
      </c>
    </row>
    <row r="36" spans="1:44" x14ac:dyDescent="0.2">
      <c r="B36" s="1" t="s">
        <v>66</v>
      </c>
      <c r="C36" s="76" t="s">
        <v>67</v>
      </c>
      <c r="D36" s="75">
        <f>Inputs!$E$32</f>
        <v>365</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1:44" x14ac:dyDescent="0.2">
      <c r="B37" s="1" t="s">
        <v>299</v>
      </c>
      <c r="C37" s="19" t="s">
        <v>252</v>
      </c>
      <c r="D37" s="5">
        <f>SUM(F37:AR37)</f>
        <v>1530908.697656892</v>
      </c>
      <c r="F37" s="16">
        <f>F35*$D$36</f>
        <v>17036.825804994452</v>
      </c>
      <c r="G37" s="16">
        <f t="shared" ref="G37:AR37" si="15">G35*$D$36</f>
        <v>17128.811953212058</v>
      </c>
      <c r="H37" s="16">
        <f t="shared" si="15"/>
        <v>17221.294757999425</v>
      </c>
      <c r="I37" s="16">
        <f t="shared" si="15"/>
        <v>17314.276900931472</v>
      </c>
      <c r="J37" s="16">
        <f t="shared" si="15"/>
        <v>17407.761078061631</v>
      </c>
      <c r="K37" s="16">
        <f t="shared" si="15"/>
        <v>17501.75</v>
      </c>
      <c r="L37" s="16">
        <f t="shared" si="15"/>
        <v>17596.246391991961</v>
      </c>
      <c r="M37" s="16">
        <f t="shared" si="15"/>
        <v>17691.252993997179</v>
      </c>
      <c r="N37" s="16">
        <f t="shared" si="15"/>
        <v>17786.772560769055</v>
      </c>
      <c r="O37" s="16">
        <f t="shared" si="15"/>
        <v>28393.257830521805</v>
      </c>
      <c r="P37" s="16">
        <f t="shared" si="15"/>
        <v>34007.477209249439</v>
      </c>
      <c r="Q37" s="16">
        <f t="shared" si="15"/>
        <v>39803.003184779336</v>
      </c>
      <c r="R37" s="16">
        <f t="shared" si="15"/>
        <v>40262.269976365846</v>
      </c>
      <c r="S37" s="16">
        <f t="shared" si="15"/>
        <v>40728.084166852721</v>
      </c>
      <c r="T37" s="16">
        <f t="shared" si="15"/>
        <v>41200.548819586424</v>
      </c>
      <c r="U37" s="16">
        <f t="shared" si="15"/>
        <v>41679.768681539324</v>
      </c>
      <c r="V37" s="16">
        <f t="shared" si="15"/>
        <v>42165.850211162993</v>
      </c>
      <c r="W37" s="16">
        <f t="shared" si="15"/>
        <v>42658.901606704421</v>
      </c>
      <c r="X37" s="16">
        <f t="shared" si="15"/>
        <v>43159.032834992599</v>
      </c>
      <c r="Y37" s="16">
        <f t="shared" si="15"/>
        <v>43666.355660703208</v>
      </c>
      <c r="Z37" s="16">
        <f t="shared" si="15"/>
        <v>44180.983676109747</v>
      </c>
      <c r="AA37" s="16">
        <f t="shared" si="15"/>
        <v>44703.032331328737</v>
      </c>
      <c r="AB37" s="16">
        <f t="shared" si="15"/>
        <v>45232.618965067581</v>
      </c>
      <c r="AC37" s="16">
        <f t="shared" si="15"/>
        <v>45769.862835883243</v>
      </c>
      <c r="AD37" s="16">
        <f t="shared" si="15"/>
        <v>46314.885153960298</v>
      </c>
      <c r="AE37" s="16">
        <f t="shared" si="15"/>
        <v>46867.809113416995</v>
      </c>
      <c r="AF37" s="16">
        <f t="shared" si="15"/>
        <v>47428.759925148166</v>
      </c>
      <c r="AG37" s="16">
        <f t="shared" si="15"/>
        <v>47997.864850213809</v>
      </c>
      <c r="AH37" s="16">
        <f t="shared" si="15"/>
        <v>48575.253233782452</v>
      </c>
      <c r="AI37" s="16">
        <f t="shared" si="15"/>
        <v>49161.056539638688</v>
      </c>
      <c r="AJ37" s="16">
        <f t="shared" si="15"/>
        <v>49755.40838526396</v>
      </c>
      <c r="AK37" s="16">
        <f t="shared" si="15"/>
        <v>50358.444577500428</v>
      </c>
      <c r="AL37" s="16">
        <f t="shared" si="15"/>
        <v>50970.30314880747</v>
      </c>
      <c r="AM37" s="16">
        <f t="shared" si="15"/>
        <v>51591.124394120685</v>
      </c>
      <c r="AN37" s="16">
        <f t="shared" si="15"/>
        <v>52221.050908323414</v>
      </c>
      <c r="AO37" s="16">
        <f t="shared" si="15"/>
        <v>52860.227624341096</v>
      </c>
      <c r="AP37" s="16">
        <f t="shared" si="15"/>
        <v>53508.801851868571</v>
      </c>
      <c r="AQ37" s="16">
        <f t="shared" si="15"/>
        <v>54166.923316741195</v>
      </c>
      <c r="AR37" s="16">
        <f t="shared" si="15"/>
        <v>54834.744200960115</v>
      </c>
    </row>
    <row r="38" spans="1:44" x14ac:dyDescent="0.2">
      <c r="C38" s="19"/>
      <c r="D38" s="75"/>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ht="15" x14ac:dyDescent="0.25">
      <c r="A39" s="2" t="s">
        <v>300</v>
      </c>
      <c r="C39" s="19"/>
      <c r="D39" s="15"/>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1:44" ht="15" x14ac:dyDescent="0.25">
      <c r="A40" s="2"/>
      <c r="B40" s="1" t="s">
        <v>301</v>
      </c>
      <c r="C40" s="19" t="s">
        <v>82</v>
      </c>
      <c r="D40" s="239">
        <f>Inputs!$E$42</f>
        <v>8</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1:44" ht="15" x14ac:dyDescent="0.25">
      <c r="A41" s="2"/>
      <c r="B41" s="1" t="s">
        <v>301</v>
      </c>
      <c r="C41" s="19" t="s">
        <v>302</v>
      </c>
      <c r="D41" s="254">
        <f>Inputs!$E$148</f>
        <v>0.19</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1:44" x14ac:dyDescent="0.2">
      <c r="B42" s="1" t="s">
        <v>299</v>
      </c>
      <c r="C42" s="19" t="s">
        <v>260</v>
      </c>
      <c r="D42" s="5">
        <f>SUM(F42:AR42)</f>
        <v>9107.5585927141929</v>
      </c>
      <c r="F42" s="16">
        <f>$D$40*$D$41*F$29</f>
        <v>101.35411046415487</v>
      </c>
      <c r="G42" s="16">
        <f t="shared" ref="G42:AR42" si="16">$D$40*$D$41*G$29</f>
        <v>101.90134704063536</v>
      </c>
      <c r="H42" s="16">
        <f t="shared" si="16"/>
        <v>102.4515382863371</v>
      </c>
      <c r="I42" s="16">
        <f t="shared" si="16"/>
        <v>103.00470015426944</v>
      </c>
      <c r="J42" s="16">
        <f t="shared" si="16"/>
        <v>103.56084868357605</v>
      </c>
      <c r="K42" s="16">
        <f t="shared" si="16"/>
        <v>104.12000000000002</v>
      </c>
      <c r="L42" s="16">
        <f t="shared" si="16"/>
        <v>104.6821703163514</v>
      </c>
      <c r="M42" s="16">
        <f t="shared" si="16"/>
        <v>105.24737593297735</v>
      </c>
      <c r="N42" s="16">
        <f t="shared" si="16"/>
        <v>105.8156332382347</v>
      </c>
      <c r="O42" s="16">
        <f t="shared" si="16"/>
        <v>168.91488024420019</v>
      </c>
      <c r="P42" s="16">
        <f t="shared" si="16"/>
        <v>202.31454151882252</v>
      </c>
      <c r="Q42" s="16">
        <f t="shared" si="16"/>
        <v>236.79281738107474</v>
      </c>
      <c r="R42" s="16">
        <f t="shared" si="16"/>
        <v>239.52505034863441</v>
      </c>
      <c r="S42" s="16">
        <f t="shared" si="16"/>
        <v>242.29623457384008</v>
      </c>
      <c r="T42" s="16">
        <f t="shared" si="16"/>
        <v>245.10698319284296</v>
      </c>
      <c r="U42" s="16">
        <f t="shared" si="16"/>
        <v>247.95791935788563</v>
      </c>
      <c r="V42" s="16">
        <f t="shared" si="16"/>
        <v>250.84967640300488</v>
      </c>
      <c r="W42" s="16">
        <f t="shared" si="16"/>
        <v>253.78289801248818</v>
      </c>
      <c r="X42" s="16">
        <f t="shared" si="16"/>
        <v>256.75823839212819</v>
      </c>
      <c r="Y42" s="16">
        <f t="shared" si="16"/>
        <v>259.77636244332245</v>
      </c>
      <c r="Z42" s="16">
        <f t="shared" si="16"/>
        <v>262.83794594006582</v>
      </c>
      <c r="AA42" s="16">
        <f t="shared" si="16"/>
        <v>265.94367570888329</v>
      </c>
      <c r="AB42" s="16">
        <f t="shared" si="16"/>
        <v>269.09424981175238</v>
      </c>
      <c r="AC42" s="16">
        <f t="shared" si="16"/>
        <v>272.29037773206471</v>
      </c>
      <c r="AD42" s="16">
        <f t="shared" si="16"/>
        <v>275.5327805636777</v>
      </c>
      <c r="AE42" s="16">
        <f t="shared" si="16"/>
        <v>278.82219120310702</v>
      </c>
      <c r="AF42" s="16">
        <f t="shared" si="16"/>
        <v>282.15935454491279</v>
      </c>
      <c r="AG42" s="16">
        <f t="shared" si="16"/>
        <v>285.54502768033262</v>
      </c>
      <c r="AH42" s="16">
        <f t="shared" si="16"/>
        <v>288.97998009921463</v>
      </c>
      <c r="AI42" s="16">
        <f t="shared" si="16"/>
        <v>292.46499389530646</v>
      </c>
      <c r="AJ42" s="16">
        <f t="shared" si="16"/>
        <v>296.00086397495579</v>
      </c>
      <c r="AK42" s="16">
        <f t="shared" si="16"/>
        <v>299.58839826927846</v>
      </c>
      <c r="AL42" s="16">
        <f t="shared" si="16"/>
        <v>303.22841794985271</v>
      </c>
      <c r="AM42" s="16">
        <f t="shared" si="16"/>
        <v>306.92175764799782</v>
      </c>
      <c r="AN42" s="16">
        <f t="shared" si="16"/>
        <v>310.66926567769707</v>
      </c>
      <c r="AO42" s="16">
        <f t="shared" si="16"/>
        <v>314.47180426222491</v>
      </c>
      <c r="AP42" s="16">
        <f t="shared" si="16"/>
        <v>318.33024976454107</v>
      </c>
      <c r="AQ42" s="16">
        <f t="shared" si="16"/>
        <v>322.24549292151323</v>
      </c>
      <c r="AR42" s="16">
        <f t="shared" si="16"/>
        <v>326.21843908203283</v>
      </c>
    </row>
    <row r="43" spans="1:44" x14ac:dyDescent="0.2">
      <c r="B43" s="1" t="s">
        <v>66</v>
      </c>
      <c r="C43" s="76" t="s">
        <v>67</v>
      </c>
      <c r="D43" s="75">
        <f>Inputs!$E$32</f>
        <v>365</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4" x14ac:dyDescent="0.2">
      <c r="B44" s="1" t="s">
        <v>299</v>
      </c>
      <c r="C44" s="19" t="s">
        <v>252</v>
      </c>
      <c r="D44" s="5">
        <f>SUM(F44:AR44)</f>
        <v>3324258.8863406796</v>
      </c>
      <c r="F44" s="16">
        <f>F42*$D$36</f>
        <v>36994.250319416526</v>
      </c>
      <c r="G44" s="16">
        <f t="shared" ref="G44:AR44" si="17">G42*$D$36</f>
        <v>37193.991669831907</v>
      </c>
      <c r="H44" s="16">
        <f t="shared" si="17"/>
        <v>37394.811474513037</v>
      </c>
      <c r="I44" s="16">
        <f t="shared" si="17"/>
        <v>37596.715556308343</v>
      </c>
      <c r="J44" s="16">
        <f t="shared" si="17"/>
        <v>37799.709769505258</v>
      </c>
      <c r="K44" s="16">
        <f t="shared" si="17"/>
        <v>38003.80000000001</v>
      </c>
      <c r="L44" s="16">
        <f t="shared" si="17"/>
        <v>38208.992165468262</v>
      </c>
      <c r="M44" s="16">
        <f t="shared" si="17"/>
        <v>38415.292215536734</v>
      </c>
      <c r="N44" s="16">
        <f t="shared" si="17"/>
        <v>38622.706131955667</v>
      </c>
      <c r="O44" s="16">
        <f t="shared" si="17"/>
        <v>61653.93128913307</v>
      </c>
      <c r="P44" s="16">
        <f t="shared" si="17"/>
        <v>73844.807654370219</v>
      </c>
      <c r="Q44" s="16">
        <f t="shared" si="17"/>
        <v>86429.378344092285</v>
      </c>
      <c r="R44" s="16">
        <f t="shared" si="17"/>
        <v>87426.643377251559</v>
      </c>
      <c r="S44" s="16">
        <f t="shared" si="17"/>
        <v>88438.125619451632</v>
      </c>
      <c r="T44" s="16">
        <f t="shared" si="17"/>
        <v>89464.048865387682</v>
      </c>
      <c r="U44" s="16">
        <f t="shared" si="17"/>
        <v>90504.640565628259</v>
      </c>
      <c r="V44" s="16">
        <f t="shared" si="17"/>
        <v>91560.131887096781</v>
      </c>
      <c r="W44" s="16">
        <f t="shared" si="17"/>
        <v>92630.75777455818</v>
      </c>
      <c r="X44" s="16">
        <f t="shared" si="17"/>
        <v>93716.757013126786</v>
      </c>
      <c r="Y44" s="16">
        <f t="shared" si="17"/>
        <v>94818.372291812702</v>
      </c>
      <c r="Z44" s="16">
        <f t="shared" si="17"/>
        <v>95935.850268124021</v>
      </c>
      <c r="AA44" s="16">
        <f t="shared" si="17"/>
        <v>97069.441633742405</v>
      </c>
      <c r="AB44" s="16">
        <f t="shared" si="17"/>
        <v>98219.401181289621</v>
      </c>
      <c r="AC44" s="16">
        <f t="shared" si="17"/>
        <v>99385.987872203623</v>
      </c>
      <c r="AD44" s="16">
        <f t="shared" si="17"/>
        <v>100569.46490574237</v>
      </c>
      <c r="AE44" s="16">
        <f t="shared" si="17"/>
        <v>101770.09978913407</v>
      </c>
      <c r="AF44" s="16">
        <f t="shared" si="17"/>
        <v>102988.16440889316</v>
      </c>
      <c r="AG44" s="16">
        <f t="shared" si="17"/>
        <v>104223.9351033214</v>
      </c>
      <c r="AH44" s="16">
        <f t="shared" si="17"/>
        <v>105477.69273621334</v>
      </c>
      <c r="AI44" s="16">
        <f t="shared" si="17"/>
        <v>106749.72277178687</v>
      </c>
      <c r="AJ44" s="16">
        <f t="shared" si="17"/>
        <v>108040.31535085886</v>
      </c>
      <c r="AK44" s="16">
        <f t="shared" si="17"/>
        <v>109349.76536828664</v>
      </c>
      <c r="AL44" s="16">
        <f t="shared" si="17"/>
        <v>110678.37255169624</v>
      </c>
      <c r="AM44" s="16">
        <f t="shared" si="17"/>
        <v>112026.44154151921</v>
      </c>
      <c r="AN44" s="16">
        <f t="shared" si="17"/>
        <v>113394.28197235943</v>
      </c>
      <c r="AO44" s="16">
        <f t="shared" si="17"/>
        <v>114782.20855571209</v>
      </c>
      <c r="AP44" s="16">
        <f t="shared" si="17"/>
        <v>116190.54116405749</v>
      </c>
      <c r="AQ44" s="16">
        <f t="shared" si="17"/>
        <v>117619.60491635233</v>
      </c>
      <c r="AR44" s="16">
        <f t="shared" si="17"/>
        <v>119069.73026494199</v>
      </c>
    </row>
    <row r="45" spans="1:44" x14ac:dyDescent="0.2">
      <c r="C45" s="19"/>
      <c r="D45" s="7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1:44" ht="15" x14ac:dyDescent="0.25">
      <c r="A46" s="2" t="s">
        <v>303</v>
      </c>
      <c r="C46" s="19"/>
      <c r="D46" s="15"/>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1:44" ht="15" x14ac:dyDescent="0.25">
      <c r="A47" s="2"/>
      <c r="B47" s="1" t="s">
        <v>304</v>
      </c>
      <c r="C47" s="19" t="s">
        <v>82</v>
      </c>
      <c r="D47" s="239">
        <f>Inputs!$E$43</f>
        <v>4</v>
      </c>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1:44" ht="15" x14ac:dyDescent="0.25">
      <c r="A48" s="2"/>
      <c r="B48" s="1" t="s">
        <v>301</v>
      </c>
      <c r="C48" s="19" t="s">
        <v>302</v>
      </c>
      <c r="D48" s="254">
        <f>Inputs!$E$149</f>
        <v>0.51</v>
      </c>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1:44" x14ac:dyDescent="0.2">
      <c r="B49" s="1" t="s">
        <v>299</v>
      </c>
      <c r="C49" s="19" t="s">
        <v>260</v>
      </c>
      <c r="D49" s="5">
        <f>SUM(F49:AR49)</f>
        <v>12223.302321800624</v>
      </c>
      <c r="F49" s="16">
        <f>$D$47*$D$48*F$29</f>
        <v>136.02788509662892</v>
      </c>
      <c r="G49" s="16">
        <f t="shared" ref="G49:AR49" si="18">$D$47*$D$48*G$29</f>
        <v>136.76233418611588</v>
      </c>
      <c r="H49" s="16">
        <f t="shared" si="18"/>
        <v>137.50074875271557</v>
      </c>
      <c r="I49" s="16">
        <f t="shared" si="18"/>
        <v>138.24315020704583</v>
      </c>
      <c r="J49" s="16">
        <f t="shared" si="18"/>
        <v>138.98956007532576</v>
      </c>
      <c r="K49" s="16">
        <f t="shared" si="18"/>
        <v>139.74000000000004</v>
      </c>
      <c r="L49" s="16">
        <f t="shared" si="18"/>
        <v>140.49449174036636</v>
      </c>
      <c r="M49" s="16">
        <f t="shared" si="18"/>
        <v>141.25305717320643</v>
      </c>
      <c r="N49" s="16">
        <f t="shared" si="18"/>
        <v>142.01571829342026</v>
      </c>
      <c r="O49" s="16">
        <f t="shared" si="18"/>
        <v>226.70154980142655</v>
      </c>
      <c r="P49" s="16">
        <f t="shared" si="18"/>
        <v>271.52741098578815</v>
      </c>
      <c r="Q49" s="16">
        <f t="shared" si="18"/>
        <v>317.80088648512663</v>
      </c>
      <c r="R49" s="16">
        <f t="shared" si="18"/>
        <v>321.46783073106195</v>
      </c>
      <c r="S49" s="16">
        <f t="shared" si="18"/>
        <v>325.18705166489065</v>
      </c>
      <c r="T49" s="16">
        <f t="shared" si="18"/>
        <v>328.95937217986818</v>
      </c>
      <c r="U49" s="16">
        <f t="shared" si="18"/>
        <v>332.78562861189914</v>
      </c>
      <c r="V49" s="16">
        <f t="shared" si="18"/>
        <v>336.66667096192759</v>
      </c>
      <c r="W49" s="16">
        <f t="shared" si="18"/>
        <v>340.60336312202361</v>
      </c>
      <c r="X49" s="16">
        <f t="shared" si="18"/>
        <v>344.59658310522468</v>
      </c>
      <c r="Y49" s="16">
        <f t="shared" si="18"/>
        <v>348.64722327919588</v>
      </c>
      <c r="Z49" s="16">
        <f t="shared" si="18"/>
        <v>352.75619060377255</v>
      </c>
      <c r="AA49" s="16">
        <f t="shared" si="18"/>
        <v>356.92440687244863</v>
      </c>
      <c r="AB49" s="16">
        <f t="shared" si="18"/>
        <v>361.15280895787816</v>
      </c>
      <c r="AC49" s="16">
        <f t="shared" si="18"/>
        <v>365.44234906145527</v>
      </c>
      <c r="AD49" s="16">
        <f t="shared" si="18"/>
        <v>369.79399496704116</v>
      </c>
      <c r="AE49" s="16">
        <f t="shared" si="18"/>
        <v>374.2087302989068</v>
      </c>
      <c r="AF49" s="16">
        <f t="shared" si="18"/>
        <v>378.6875547839619</v>
      </c>
      <c r="AG49" s="16">
        <f t="shared" si="18"/>
        <v>383.23148451834118</v>
      </c>
      <c r="AH49" s="16">
        <f t="shared" si="18"/>
        <v>387.84155223841964</v>
      </c>
      <c r="AI49" s="16">
        <f t="shared" si="18"/>
        <v>392.51880759633241</v>
      </c>
      <c r="AJ49" s="16">
        <f t="shared" si="18"/>
        <v>397.26431744007226</v>
      </c>
      <c r="AK49" s="16">
        <f t="shared" si="18"/>
        <v>402.07916609824218</v>
      </c>
      <c r="AL49" s="16">
        <f t="shared" si="18"/>
        <v>406.96445566953918</v>
      </c>
      <c r="AM49" s="16">
        <f t="shared" si="18"/>
        <v>411.92130631704975</v>
      </c>
      <c r="AN49" s="16">
        <f t="shared" si="18"/>
        <v>416.95085656743555</v>
      </c>
      <c r="AO49" s="16">
        <f t="shared" si="18"/>
        <v>422.05426361509137</v>
      </c>
      <c r="AP49" s="16">
        <f t="shared" si="18"/>
        <v>427.23270363135771</v>
      </c>
      <c r="AQ49" s="16">
        <f t="shared" si="18"/>
        <v>432.48737207887302</v>
      </c>
      <c r="AR49" s="16">
        <f t="shared" si="18"/>
        <v>437.81948403114933</v>
      </c>
    </row>
    <row r="50" spans="1:44" x14ac:dyDescent="0.2">
      <c r="B50" s="1" t="s">
        <v>66</v>
      </c>
      <c r="C50" s="76" t="s">
        <v>67</v>
      </c>
      <c r="D50" s="75">
        <f>Inputs!$E$32</f>
        <v>365</v>
      </c>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1:44" x14ac:dyDescent="0.2">
      <c r="B51" s="1" t="s">
        <v>299</v>
      </c>
      <c r="C51" s="19" t="s">
        <v>252</v>
      </c>
      <c r="D51" s="5">
        <f>SUM(F51:AR51)</f>
        <v>4461505.3474572292</v>
      </c>
      <c r="F51" s="16">
        <f>F49*$D$36</f>
        <v>49650.178060269558</v>
      </c>
      <c r="G51" s="16">
        <f t="shared" ref="G51:AR51" si="19">G49*$D$36</f>
        <v>49918.251977932297</v>
      </c>
      <c r="H51" s="16">
        <f t="shared" si="19"/>
        <v>50187.773294741179</v>
      </c>
      <c r="I51" s="16">
        <f t="shared" si="19"/>
        <v>50458.749825571729</v>
      </c>
      <c r="J51" s="16">
        <f t="shared" si="19"/>
        <v>50731.189427493904</v>
      </c>
      <c r="K51" s="16">
        <f t="shared" si="19"/>
        <v>51005.100000000013</v>
      </c>
      <c r="L51" s="16">
        <f t="shared" si="19"/>
        <v>51280.489485233717</v>
      </c>
      <c r="M51" s="16">
        <f t="shared" si="19"/>
        <v>51557.365868220346</v>
      </c>
      <c r="N51" s="16">
        <f t="shared" si="19"/>
        <v>51835.737177098395</v>
      </c>
      <c r="O51" s="16">
        <f t="shared" si="19"/>
        <v>82746.065677520688</v>
      </c>
      <c r="P51" s="16">
        <f t="shared" si="19"/>
        <v>99107.505009812681</v>
      </c>
      <c r="Q51" s="16">
        <f t="shared" si="19"/>
        <v>115997.32356707122</v>
      </c>
      <c r="R51" s="16">
        <f t="shared" si="19"/>
        <v>117335.75821683761</v>
      </c>
      <c r="S51" s="16">
        <f t="shared" si="19"/>
        <v>118693.27385768508</v>
      </c>
      <c r="T51" s="16">
        <f t="shared" si="19"/>
        <v>120070.17084565188</v>
      </c>
      <c r="U51" s="16">
        <f t="shared" si="19"/>
        <v>121466.75444334319</v>
      </c>
      <c r="V51" s="16">
        <f t="shared" si="19"/>
        <v>122883.33490110358</v>
      </c>
      <c r="W51" s="16">
        <f t="shared" si="19"/>
        <v>124320.22753953862</v>
      </c>
      <c r="X51" s="16">
        <f t="shared" si="19"/>
        <v>125777.75283340701</v>
      </c>
      <c r="Y51" s="16">
        <f t="shared" si="19"/>
        <v>127256.23649690649</v>
      </c>
      <c r="Z51" s="16">
        <f t="shared" si="19"/>
        <v>128756.00957037698</v>
      </c>
      <c r="AA51" s="16">
        <f t="shared" si="19"/>
        <v>130277.40850844375</v>
      </c>
      <c r="AB51" s="16">
        <f t="shared" si="19"/>
        <v>131820.77526962553</v>
      </c>
      <c r="AC51" s="16">
        <f t="shared" si="19"/>
        <v>133386.45740743118</v>
      </c>
      <c r="AD51" s="16">
        <f t="shared" si="19"/>
        <v>134974.80816297003</v>
      </c>
      <c r="AE51" s="16">
        <f t="shared" si="19"/>
        <v>136586.18655910098</v>
      </c>
      <c r="AF51" s="16">
        <f t="shared" si="19"/>
        <v>138220.95749614609</v>
      </c>
      <c r="AG51" s="16">
        <f t="shared" si="19"/>
        <v>139879.49184919454</v>
      </c>
      <c r="AH51" s="16">
        <f t="shared" si="19"/>
        <v>141562.16656702317</v>
      </c>
      <c r="AI51" s="16">
        <f t="shared" si="19"/>
        <v>143269.36477266133</v>
      </c>
      <c r="AJ51" s="16">
        <f t="shared" si="19"/>
        <v>145001.47586562639</v>
      </c>
      <c r="AK51" s="16">
        <f t="shared" si="19"/>
        <v>146758.89562585839</v>
      </c>
      <c r="AL51" s="16">
        <f t="shared" si="19"/>
        <v>148542.02631938181</v>
      </c>
      <c r="AM51" s="16">
        <f t="shared" si="19"/>
        <v>150351.27680572317</v>
      </c>
      <c r="AN51" s="16">
        <f t="shared" si="19"/>
        <v>152187.06264711398</v>
      </c>
      <c r="AO51" s="16">
        <f t="shared" si="19"/>
        <v>154049.80621950835</v>
      </c>
      <c r="AP51" s="16">
        <f t="shared" si="19"/>
        <v>155939.93682544556</v>
      </c>
      <c r="AQ51" s="16">
        <f t="shared" si="19"/>
        <v>157857.89080878865</v>
      </c>
      <c r="AR51" s="16">
        <f t="shared" si="19"/>
        <v>159804.11167136949</v>
      </c>
    </row>
    <row r="52" spans="1:44" x14ac:dyDescent="0.2">
      <c r="C52" s="19"/>
      <c r="D52" s="75"/>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1:44" ht="15" x14ac:dyDescent="0.25">
      <c r="A53" s="2" t="s">
        <v>239</v>
      </c>
      <c r="C53" s="19" t="s">
        <v>252</v>
      </c>
      <c r="D53" s="75">
        <f>SUM(F53:AR53)</f>
        <v>9316672.9314547982</v>
      </c>
      <c r="F53" s="16">
        <f>F37+F44+F51</f>
        <v>103681.25418468053</v>
      </c>
      <c r="G53" s="16">
        <f t="shared" ref="G53:AR53" si="20">G37+G44+G51</f>
        <v>104241.05560097625</v>
      </c>
      <c r="H53" s="16">
        <f t="shared" si="20"/>
        <v>104803.87952725365</v>
      </c>
      <c r="I53" s="16">
        <f t="shared" si="20"/>
        <v>105369.74228281155</v>
      </c>
      <c r="J53" s="16">
        <f t="shared" si="20"/>
        <v>105938.6602750608</v>
      </c>
      <c r="K53" s="16">
        <f t="shared" si="20"/>
        <v>106510.65000000002</v>
      </c>
      <c r="L53" s="16">
        <f t="shared" si="20"/>
        <v>107085.72804269394</v>
      </c>
      <c r="M53" s="16">
        <f t="shared" si="20"/>
        <v>107663.91107775425</v>
      </c>
      <c r="N53" s="16">
        <f t="shared" si="20"/>
        <v>108245.21586982312</v>
      </c>
      <c r="O53" s="16">
        <f t="shared" si="20"/>
        <v>172793.25479717558</v>
      </c>
      <c r="P53" s="16">
        <f t="shared" si="20"/>
        <v>206959.78987343234</v>
      </c>
      <c r="Q53" s="16">
        <f t="shared" si="20"/>
        <v>242229.70509594283</v>
      </c>
      <c r="R53" s="16">
        <f t="shared" si="20"/>
        <v>245024.67157045502</v>
      </c>
      <c r="S53" s="16">
        <f t="shared" si="20"/>
        <v>247859.48364398943</v>
      </c>
      <c r="T53" s="16">
        <f t="shared" si="20"/>
        <v>250734.768530626</v>
      </c>
      <c r="U53" s="16">
        <f t="shared" si="20"/>
        <v>253651.16369051079</v>
      </c>
      <c r="V53" s="16">
        <f t="shared" si="20"/>
        <v>256609.31699936336</v>
      </c>
      <c r="W53" s="16">
        <f t="shared" si="20"/>
        <v>259609.88692080125</v>
      </c>
      <c r="X53" s="16">
        <f t="shared" si="20"/>
        <v>262653.54268152639</v>
      </c>
      <c r="Y53" s="16">
        <f t="shared" si="20"/>
        <v>265740.96444942243</v>
      </c>
      <c r="Z53" s="16">
        <f t="shared" si="20"/>
        <v>268872.84351461078</v>
      </c>
      <c r="AA53" s="16">
        <f t="shared" si="20"/>
        <v>272049.88247351488</v>
      </c>
      <c r="AB53" s="16">
        <f t="shared" si="20"/>
        <v>275272.79541598272</v>
      </c>
      <c r="AC53" s="16">
        <f t="shared" si="20"/>
        <v>278542.30811551807</v>
      </c>
      <c r="AD53" s="16">
        <f t="shared" si="20"/>
        <v>281859.1582226727</v>
      </c>
      <c r="AE53" s="16">
        <f t="shared" si="20"/>
        <v>285224.09546165203</v>
      </c>
      <c r="AF53" s="16">
        <f t="shared" si="20"/>
        <v>288637.8818301874</v>
      </c>
      <c r="AG53" s="16">
        <f t="shared" si="20"/>
        <v>292101.29180272971</v>
      </c>
      <c r="AH53" s="16">
        <f t="shared" si="20"/>
        <v>295615.11253701895</v>
      </c>
      <c r="AI53" s="16">
        <f t="shared" si="20"/>
        <v>299180.14408408687</v>
      </c>
      <c r="AJ53" s="16">
        <f t="shared" si="20"/>
        <v>302797.19960174919</v>
      </c>
      <c r="AK53" s="16">
        <f t="shared" si="20"/>
        <v>306467.10557164543</v>
      </c>
      <c r="AL53" s="16">
        <f t="shared" si="20"/>
        <v>310190.70201988553</v>
      </c>
      <c r="AM53" s="16">
        <f t="shared" si="20"/>
        <v>313968.8427413631</v>
      </c>
      <c r="AN53" s="16">
        <f t="shared" si="20"/>
        <v>317802.39552779682</v>
      </c>
      <c r="AO53" s="16">
        <f t="shared" si="20"/>
        <v>321692.24239956157</v>
      </c>
      <c r="AP53" s="16">
        <f t="shared" si="20"/>
        <v>325639.27984137164</v>
      </c>
      <c r="AQ53" s="16">
        <f t="shared" si="20"/>
        <v>329644.41904188215</v>
      </c>
      <c r="AR53" s="16">
        <f t="shared" si="20"/>
        <v>333708.5861372716</v>
      </c>
    </row>
    <row r="54" spans="1:44" x14ac:dyDescent="0.2">
      <c r="C54" s="19"/>
      <c r="D54" s="75"/>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1:44" x14ac:dyDescent="0.2">
      <c r="C55" s="76"/>
      <c r="D55" s="75"/>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1:44" s="9" customFormat="1" x14ac:dyDescent="0.2">
      <c r="A56" s="8" t="s">
        <v>238</v>
      </c>
      <c r="B56" s="8"/>
      <c r="C56" s="13"/>
    </row>
    <row r="57" spans="1:44" ht="15" x14ac:dyDescent="0.25">
      <c r="A57" s="2" t="s">
        <v>239</v>
      </c>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1:44" x14ac:dyDescent="0.2">
      <c r="B58" s="1" t="s">
        <v>209</v>
      </c>
      <c r="C58" s="76" t="s">
        <v>72</v>
      </c>
      <c r="D58" s="75">
        <f>SUM(F58:AR58)</f>
        <v>5202041.9176271325</v>
      </c>
      <c r="F58" s="16">
        <f>F$37*F15*F$11</f>
        <v>0</v>
      </c>
      <c r="G58" s="16">
        <f t="shared" ref="G58:AR58" si="21">(G$53-G$25)*G15*G$11</f>
        <v>0</v>
      </c>
      <c r="H58" s="16">
        <f t="shared" si="21"/>
        <v>0</v>
      </c>
      <c r="I58" s="16">
        <f t="shared" si="21"/>
        <v>0</v>
      </c>
      <c r="J58" s="16">
        <f t="shared" si="21"/>
        <v>0</v>
      </c>
      <c r="K58" s="16">
        <f t="shared" si="21"/>
        <v>0</v>
      </c>
      <c r="L58" s="16">
        <f t="shared" si="21"/>
        <v>0</v>
      </c>
      <c r="M58" s="16">
        <f t="shared" si="21"/>
        <v>0</v>
      </c>
      <c r="N58" s="16">
        <f t="shared" si="21"/>
        <v>0</v>
      </c>
      <c r="O58" s="16">
        <f t="shared" si="21"/>
        <v>172793.25479717558</v>
      </c>
      <c r="P58" s="16">
        <f t="shared" si="21"/>
        <v>206959.78987343234</v>
      </c>
      <c r="Q58" s="16">
        <f t="shared" si="21"/>
        <v>242229.70509594283</v>
      </c>
      <c r="R58" s="16">
        <f t="shared" si="21"/>
        <v>245024.67157045502</v>
      </c>
      <c r="S58" s="16">
        <f t="shared" si="21"/>
        <v>247859.48364398943</v>
      </c>
      <c r="T58" s="16">
        <f t="shared" si="21"/>
        <v>250734.768530626</v>
      </c>
      <c r="U58" s="16">
        <f t="shared" si="21"/>
        <v>253651.16369051079</v>
      </c>
      <c r="V58" s="16">
        <f t="shared" si="21"/>
        <v>256609.31699936336</v>
      </c>
      <c r="W58" s="16">
        <f t="shared" si="21"/>
        <v>259609.88692080125</v>
      </c>
      <c r="X58" s="16">
        <f t="shared" si="21"/>
        <v>262653.54268152639</v>
      </c>
      <c r="Y58" s="16">
        <f t="shared" si="21"/>
        <v>265740.96444942243</v>
      </c>
      <c r="Z58" s="16">
        <f t="shared" si="21"/>
        <v>268872.84351461078</v>
      </c>
      <c r="AA58" s="16">
        <f t="shared" si="21"/>
        <v>272049.88247351488</v>
      </c>
      <c r="AB58" s="16">
        <f t="shared" si="21"/>
        <v>275272.79541598272</v>
      </c>
      <c r="AC58" s="16">
        <f t="shared" si="21"/>
        <v>278542.30811551807</v>
      </c>
      <c r="AD58" s="16">
        <f t="shared" si="21"/>
        <v>281859.1582226727</v>
      </c>
      <c r="AE58" s="16">
        <f t="shared" si="21"/>
        <v>285224.09546165203</v>
      </c>
      <c r="AF58" s="16">
        <f t="shared" si="21"/>
        <v>288637.8818301874</v>
      </c>
      <c r="AG58" s="16">
        <f t="shared" si="21"/>
        <v>292101.29180272971</v>
      </c>
      <c r="AH58" s="16">
        <f t="shared" si="21"/>
        <v>295615.11253701895</v>
      </c>
      <c r="AI58" s="16">
        <f t="shared" si="21"/>
        <v>0</v>
      </c>
      <c r="AJ58" s="16">
        <f t="shared" si="21"/>
        <v>0</v>
      </c>
      <c r="AK58" s="16">
        <f t="shared" si="21"/>
        <v>0</v>
      </c>
      <c r="AL58" s="16">
        <f t="shared" si="21"/>
        <v>0</v>
      </c>
      <c r="AM58" s="16">
        <f t="shared" si="21"/>
        <v>0</v>
      </c>
      <c r="AN58" s="16">
        <f t="shared" si="21"/>
        <v>0</v>
      </c>
      <c r="AO58" s="16">
        <f t="shared" si="21"/>
        <v>0</v>
      </c>
      <c r="AP58" s="16">
        <f t="shared" si="21"/>
        <v>0</v>
      </c>
      <c r="AQ58" s="16">
        <f t="shared" si="21"/>
        <v>0</v>
      </c>
      <c r="AR58" s="16">
        <f t="shared" si="21"/>
        <v>0</v>
      </c>
    </row>
    <row r="59" spans="1:44" x14ac:dyDescent="0.2">
      <c r="B59" s="1" t="str">
        <f>Inputs!$C$30</f>
        <v>2% Discount Factor</v>
      </c>
      <c r="C59" s="76" t="s">
        <v>72</v>
      </c>
      <c r="D59" s="75">
        <f>SUM(F59:AR59)</f>
        <v>3808410.8283380559</v>
      </c>
      <c r="F59" s="16">
        <f>F$37*F16*F$11</f>
        <v>0</v>
      </c>
      <c r="G59" s="16">
        <f t="shared" ref="G59:AR59" si="22">(G$53-G$25)*G16*G$11</f>
        <v>0</v>
      </c>
      <c r="H59" s="16">
        <f t="shared" si="22"/>
        <v>0</v>
      </c>
      <c r="I59" s="16">
        <f t="shared" si="22"/>
        <v>0</v>
      </c>
      <c r="J59" s="16">
        <f t="shared" si="22"/>
        <v>0</v>
      </c>
      <c r="K59" s="16">
        <f t="shared" si="22"/>
        <v>0</v>
      </c>
      <c r="L59" s="16">
        <f t="shared" si="22"/>
        <v>0</v>
      </c>
      <c r="M59" s="16">
        <f t="shared" si="22"/>
        <v>0</v>
      </c>
      <c r="N59" s="16">
        <f t="shared" si="22"/>
        <v>0</v>
      </c>
      <c r="O59" s="16">
        <f t="shared" si="22"/>
        <v>153435.46529469886</v>
      </c>
      <c r="P59" s="16">
        <f t="shared" si="22"/>
        <v>180170.95163811333</v>
      </c>
      <c r="Q59" s="16">
        <f t="shared" si="22"/>
        <v>206740.72091560753</v>
      </c>
      <c r="R59" s="16">
        <f t="shared" si="22"/>
        <v>205025.68420529692</v>
      </c>
      <c r="S59" s="16">
        <f t="shared" si="22"/>
        <v>203331.10601528059</v>
      </c>
      <c r="T59" s="16">
        <f t="shared" si="22"/>
        <v>201656.70694479378</v>
      </c>
      <c r="U59" s="16">
        <f t="shared" si="22"/>
        <v>200002.21154831341</v>
      </c>
      <c r="V59" s="16">
        <f t="shared" si="22"/>
        <v>198367.34827908623</v>
      </c>
      <c r="W59" s="16">
        <f t="shared" si="22"/>
        <v>196751.84943346531</v>
      </c>
      <c r="X59" s="16">
        <f t="shared" si="22"/>
        <v>195155.45109604235</v>
      </c>
      <c r="Y59" s="16">
        <f t="shared" si="22"/>
        <v>193577.89308556498</v>
      </c>
      <c r="Z59" s="16">
        <f t="shared" si="22"/>
        <v>192018.91890162812</v>
      </c>
      <c r="AA59" s="16">
        <f t="shared" si="22"/>
        <v>190478.27567212746</v>
      </c>
      <c r="AB59" s="16">
        <f t="shared" si="22"/>
        <v>188955.71410146507</v>
      </c>
      <c r="AC59" s="16">
        <f t="shared" si="22"/>
        <v>187450.98841949558</v>
      </c>
      <c r="AD59" s="16">
        <f t="shared" si="22"/>
        <v>185963.85633120299</v>
      </c>
      <c r="AE59" s="16">
        <f t="shared" si="22"/>
        <v>184494.07896709716</v>
      </c>
      <c r="AF59" s="16">
        <f t="shared" si="22"/>
        <v>183041.42083432022</v>
      </c>
      <c r="AG59" s="16">
        <f t="shared" si="22"/>
        <v>181605.64976845181</v>
      </c>
      <c r="AH59" s="16">
        <f t="shared" si="22"/>
        <v>180186.53688600444</v>
      </c>
      <c r="AI59" s="16">
        <f t="shared" si="22"/>
        <v>0</v>
      </c>
      <c r="AJ59" s="16">
        <f t="shared" si="22"/>
        <v>0</v>
      </c>
      <c r="AK59" s="16">
        <f t="shared" si="22"/>
        <v>0</v>
      </c>
      <c r="AL59" s="16">
        <f t="shared" si="22"/>
        <v>0</v>
      </c>
      <c r="AM59" s="16">
        <f t="shared" si="22"/>
        <v>0</v>
      </c>
      <c r="AN59" s="16">
        <f t="shared" si="22"/>
        <v>0</v>
      </c>
      <c r="AO59" s="16">
        <f t="shared" si="22"/>
        <v>0</v>
      </c>
      <c r="AP59" s="16">
        <f t="shared" si="22"/>
        <v>0</v>
      </c>
      <c r="AQ59" s="16">
        <f t="shared" si="22"/>
        <v>0</v>
      </c>
      <c r="AR59" s="16">
        <f t="shared" si="22"/>
        <v>0</v>
      </c>
    </row>
    <row r="60" spans="1:44" x14ac:dyDescent="0.2">
      <c r="B60" s="1" t="str">
        <f>Inputs!$C$31</f>
        <v>3.1% Discount Factor</v>
      </c>
      <c r="C60" s="76" t="s">
        <v>72</v>
      </c>
      <c r="D60" s="75">
        <f>SUM(F60:AR60)</f>
        <v>3233481.3661098825</v>
      </c>
      <c r="F60" s="16">
        <f>F$37*F17*F$11</f>
        <v>0</v>
      </c>
      <c r="G60" s="16">
        <f t="shared" ref="G60:AR60" si="23">(G$53-G$25)*G17*G$11</f>
        <v>0</v>
      </c>
      <c r="H60" s="16">
        <f t="shared" si="23"/>
        <v>0</v>
      </c>
      <c r="I60" s="16">
        <f t="shared" si="23"/>
        <v>0</v>
      </c>
      <c r="J60" s="16">
        <f t="shared" si="23"/>
        <v>0</v>
      </c>
      <c r="K60" s="16">
        <f t="shared" si="23"/>
        <v>0</v>
      </c>
      <c r="L60" s="16">
        <f t="shared" si="23"/>
        <v>0</v>
      </c>
      <c r="M60" s="16">
        <f t="shared" si="23"/>
        <v>0</v>
      </c>
      <c r="N60" s="16">
        <f t="shared" si="23"/>
        <v>0</v>
      </c>
      <c r="O60" s="16">
        <f t="shared" si="23"/>
        <v>143871.50727801138</v>
      </c>
      <c r="P60" s="16">
        <f t="shared" si="23"/>
        <v>167138.04493471136</v>
      </c>
      <c r="Q60" s="16">
        <f t="shared" si="23"/>
        <v>189739.64259172155</v>
      </c>
      <c r="R60" s="16">
        <f t="shared" si="23"/>
        <v>186158.05304742968</v>
      </c>
      <c r="S60" s="16">
        <f t="shared" si="23"/>
        <v>182649.66826923768</v>
      </c>
      <c r="T60" s="16">
        <f t="shared" si="23"/>
        <v>179212.88949998928</v>
      </c>
      <c r="U60" s="16">
        <f t="shared" si="23"/>
        <v>175846.15463245532</v>
      </c>
      <c r="V60" s="16">
        <f t="shared" si="23"/>
        <v>172547.93734172505</v>
      </c>
      <c r="W60" s="16">
        <f t="shared" si="23"/>
        <v>169316.74623855078</v>
      </c>
      <c r="X60" s="16">
        <f t="shared" si="23"/>
        <v>166151.12404313279</v>
      </c>
      <c r="Y60" s="16">
        <f t="shared" si="23"/>
        <v>163049.64677884523</v>
      </c>
      <c r="Z60" s="16">
        <f t="shared" si="23"/>
        <v>160010.92298541646</v>
      </c>
      <c r="AA60" s="16">
        <f t="shared" si="23"/>
        <v>157033.59295108763</v>
      </c>
      <c r="AB60" s="16">
        <f t="shared" si="23"/>
        <v>154116.32796328713</v>
      </c>
      <c r="AC60" s="16">
        <f t="shared" si="23"/>
        <v>151257.82957736781</v>
      </c>
      <c r="AD60" s="16">
        <f t="shared" si="23"/>
        <v>148456.82890296687</v>
      </c>
      <c r="AE60" s="16">
        <f t="shared" si="23"/>
        <v>145712.08590755769</v>
      </c>
      <c r="AF60" s="16">
        <f t="shared" si="23"/>
        <v>143022.38873677421</v>
      </c>
      <c r="AG60" s="16">
        <f t="shared" si="23"/>
        <v>140386.55305109924</v>
      </c>
      <c r="AH60" s="16">
        <f t="shared" si="23"/>
        <v>137803.42137851581</v>
      </c>
      <c r="AI60" s="16">
        <f t="shared" si="23"/>
        <v>0</v>
      </c>
      <c r="AJ60" s="16">
        <f t="shared" si="23"/>
        <v>0</v>
      </c>
      <c r="AK60" s="16">
        <f t="shared" si="23"/>
        <v>0</v>
      </c>
      <c r="AL60" s="16">
        <f t="shared" si="23"/>
        <v>0</v>
      </c>
      <c r="AM60" s="16">
        <f t="shared" si="23"/>
        <v>0</v>
      </c>
      <c r="AN60" s="16">
        <f t="shared" si="23"/>
        <v>0</v>
      </c>
      <c r="AO60" s="16">
        <f t="shared" si="23"/>
        <v>0</v>
      </c>
      <c r="AP60" s="16">
        <f t="shared" si="23"/>
        <v>0</v>
      </c>
      <c r="AQ60" s="16">
        <f t="shared" si="23"/>
        <v>0</v>
      </c>
      <c r="AR60" s="16">
        <f t="shared" si="23"/>
        <v>0</v>
      </c>
    </row>
    <row r="61" spans="1:44" x14ac:dyDescent="0.2">
      <c r="C61" s="76"/>
      <c r="D61" s="75"/>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6e7cb257f6e134a934f2ea4e839c0d74">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0dec8dadbf9a1000a911e500539c641d"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Props1.xml><?xml version="1.0" encoding="utf-8"?>
<ds:datastoreItem xmlns:ds="http://schemas.openxmlformats.org/officeDocument/2006/customXml" ds:itemID="{D32FA2BA-374F-4CA6-B087-C6568D24CE2A}">
  <ds:schemaRefs>
    <ds:schemaRef ds:uri="http://schemas.microsoft.com/sharepoint/v3/contenttype/forms"/>
  </ds:schemaRefs>
</ds:datastoreItem>
</file>

<file path=customXml/itemProps2.xml><?xml version="1.0" encoding="utf-8"?>
<ds:datastoreItem xmlns:ds="http://schemas.openxmlformats.org/officeDocument/2006/customXml" ds:itemID="{791E2948-DCE8-4301-8BDC-8C6FE69B6876}"/>
</file>

<file path=customXml/itemProps3.xml><?xml version="1.0" encoding="utf-8"?>
<ds:datastoreItem xmlns:ds="http://schemas.openxmlformats.org/officeDocument/2006/customXml" ds:itemID="{380CD73D-5AE9-4946-8573-CFE300572A6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Summary</vt:lpstr>
      <vt:lpstr>Inputs</vt:lpstr>
      <vt:lpstr>Project Costs</vt:lpstr>
      <vt:lpstr>Traffic</vt:lpstr>
      <vt:lpstr>Safety</vt:lpstr>
      <vt:lpstr>Time Savings</vt:lpstr>
      <vt:lpstr>Emissions</vt:lpstr>
      <vt:lpstr>Veh Op Costs</vt:lpstr>
      <vt:lpstr>Pedestrian</vt:lpstr>
      <vt:lpstr>Induced Peds</vt:lpstr>
      <vt:lpstr>Bridge Hits</vt:lpstr>
      <vt:lpstr>Residual Value</vt:lpstr>
      <vt:lpstr>Report Tables</vt:lpstr>
      <vt:lpstr>References-&gt;</vt:lpstr>
      <vt:lpstr>REF USDOT BCA 2024 Guidlines</vt:lpstr>
      <vt:lpstr>REF Project Costs</vt:lpstr>
      <vt:lpstr>REF Traffic</vt:lpstr>
      <vt:lpstr>REF Fuel Prices</vt:lpstr>
      <vt:lpstr>REF Pedestrian</vt:lpstr>
      <vt:lpstr>REF Accidents</vt:lpstr>
      <vt:lpstr>REF Bridge Hits</vt:lpstr>
      <vt:lpstr>REF GDP Deflator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Bezanson, Matthew R. (Matt)</dc:creator>
  <cp:keywords/>
  <dc:description/>
  <cp:lastModifiedBy>McCullough, Kirsten J.</cp:lastModifiedBy>
  <cp:revision/>
  <dcterms:created xsi:type="dcterms:W3CDTF">2022-04-08T16:18:05Z</dcterms:created>
  <dcterms:modified xsi:type="dcterms:W3CDTF">2024-02-23T13:43:52Z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0x010100242F6091B758224FAD3CEB12182A2E34</vt:lpwstr>
  </property>
  <property fmtid="{D5CDD505-2E9C-101B-9397-08002B2CF9AE}" pid="3" name="MediaServiceImageTags">
    <vt:lpwstr/>
  </property>
</Properties>
</file>