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highstreetconsulting-my.sharepoint.com/personal/beattie_highstreetconsulting_com/Documents/Desktop/"/>
    </mc:Choice>
  </mc:AlternateContent>
  <xr:revisionPtr revIDLastSave="0" documentId="8_{5967AABA-914D-4C39-919E-0560038EF027}" xr6:coauthVersionLast="47" xr6:coauthVersionMax="47" xr10:uidLastSave="{00000000-0000-0000-0000-000000000000}"/>
  <bookViews>
    <workbookView xWindow="-103" yWindow="-103" windowWidth="22149" windowHeight="11949" tabRatio="641" xr2:uid="{D9592330-F94D-418B-A55C-A04D45C285FD}"/>
  </bookViews>
  <sheets>
    <sheet name="Results" sheetId="3" r:id="rId1"/>
    <sheet name="Capital Costs" sheetId="1" r:id="rId2"/>
    <sheet name="Maintenance Cost" sheetId="28" r:id="rId3"/>
    <sheet name="Land Productivity Benefits" sheetId="16" state="hidden" r:id="rId4"/>
    <sheet name="Reduced Pavement Damage" sheetId="21" state="hidden" r:id="rId5"/>
    <sheet name="Fuel Savings $ Benefits " sheetId="35" state="hidden" r:id="rId6"/>
    <sheet name="Supply Chain $ Benefits" sheetId="41" state="hidden" r:id="rId7"/>
    <sheet name="Bike and Ped User Benefits" sheetId="42" r:id="rId8"/>
    <sheet name="General Look Up Data" sheetId="44" r:id="rId9"/>
    <sheet name="Active Market Parameters" sheetId="45" r:id="rId10"/>
    <sheet name="Commute Characteristics" sheetId="50" r:id="rId11"/>
    <sheet name="Avoided Emissions Summary" sheetId="38" state="hidden" r:id="rId12"/>
    <sheet name="Sheet1" sheetId="9"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3" l="1"/>
  <c r="I13" i="45"/>
  <c r="I9" i="45"/>
  <c r="B21" i="3" l="1"/>
  <c r="B22" i="3" l="1"/>
  <c r="F19" i="45" l="1"/>
  <c r="E19" i="45"/>
  <c r="D19" i="45"/>
  <c r="C19" i="45"/>
  <c r="B19" i="45"/>
  <c r="F18" i="45"/>
  <c r="E18" i="45"/>
  <c r="D18" i="45"/>
  <c r="C18" i="45"/>
  <c r="B18" i="45"/>
  <c r="C94" i="1"/>
  <c r="C93" i="1"/>
  <c r="C90" i="1"/>
  <c r="C89" i="1"/>
  <c r="C88" i="1"/>
  <c r="C87" i="1"/>
  <c r="C86" i="1"/>
  <c r="C85" i="1"/>
  <c r="C84" i="1"/>
  <c r="C81" i="1"/>
  <c r="C80" i="1"/>
  <c r="C79" i="1"/>
  <c r="C78" i="1"/>
  <c r="C76" i="1"/>
  <c r="C75" i="1"/>
  <c r="C74" i="1"/>
  <c r="C73" i="1"/>
  <c r="B92" i="1"/>
  <c r="B95" i="1" s="1"/>
  <c r="L21" i="1"/>
  <c r="L22" i="1"/>
  <c r="L23" i="1"/>
  <c r="J24" i="1"/>
  <c r="L24" i="1" s="1"/>
  <c r="L26" i="1"/>
  <c r="L27" i="1"/>
  <c r="J28" i="1"/>
  <c r="L28" i="1" s="1"/>
  <c r="L29" i="1"/>
  <c r="L30" i="1"/>
  <c r="J37" i="1"/>
  <c r="L37" i="1" s="1"/>
  <c r="L38" i="1"/>
  <c r="L39" i="1"/>
  <c r="L40" i="1"/>
  <c r="L41" i="1"/>
  <c r="L42" i="1"/>
  <c r="J43" i="1"/>
  <c r="L43" i="1" s="1"/>
  <c r="C92" i="1" l="1"/>
  <c r="C95" i="1" s="1"/>
  <c r="L45" i="1"/>
  <c r="L46" i="1" s="1"/>
  <c r="L47" i="1" s="1"/>
  <c r="L32" i="1"/>
  <c r="L33" i="1" s="1"/>
  <c r="L35" i="1" s="1"/>
  <c r="L49" i="1" l="1"/>
  <c r="L57" i="1" s="1"/>
  <c r="G8" i="1" s="1"/>
  <c r="K9" i="1" l="1"/>
  <c r="F9" i="1"/>
  <c r="G9" i="1"/>
  <c r="H9" i="1"/>
  <c r="L8" i="1"/>
  <c r="L9" i="1"/>
  <c r="I8" i="1"/>
  <c r="F8" i="1"/>
  <c r="J8" i="1"/>
  <c r="I9" i="1"/>
  <c r="K8" i="1"/>
  <c r="H8" i="1"/>
  <c r="J9" i="1"/>
  <c r="G10" i="1" l="1"/>
  <c r="AI9" i="28"/>
  <c r="AH9" i="28"/>
  <c r="AG9" i="28"/>
  <c r="AF9" i="28"/>
  <c r="AE9" i="28"/>
  <c r="AD9" i="28"/>
  <c r="AC9" i="28"/>
  <c r="AB9" i="28"/>
  <c r="AA9" i="28"/>
  <c r="Z9" i="28"/>
  <c r="Y9" i="28"/>
  <c r="X9" i="28"/>
  <c r="W9" i="28"/>
  <c r="V9" i="28"/>
  <c r="U9" i="28"/>
  <c r="T9" i="28"/>
  <c r="S9" i="28"/>
  <c r="R9" i="28"/>
  <c r="Q9" i="28"/>
  <c r="P9" i="28"/>
  <c r="O9" i="28"/>
  <c r="N9" i="28"/>
  <c r="M9" i="28"/>
  <c r="L9" i="28"/>
  <c r="K9" i="28"/>
  <c r="J9" i="28"/>
  <c r="I9" i="28"/>
  <c r="H9" i="28"/>
  <c r="G9" i="28"/>
  <c r="F9" i="28"/>
  <c r="B47" i="44" l="1"/>
  <c r="B48" i="44" s="1"/>
  <c r="J5" i="3" l="1"/>
  <c r="K5" i="3" s="1"/>
  <c r="L5" i="3" s="1"/>
  <c r="M5" i="3" s="1"/>
  <c r="N5" i="3" s="1"/>
  <c r="O5" i="3" s="1"/>
  <c r="G5" i="1" l="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AF5" i="1" s="1"/>
  <c r="AG5" i="1" s="1"/>
  <c r="AH5" i="1" s="1"/>
  <c r="AI5" i="1" s="1"/>
  <c r="AJ5" i="1" s="1"/>
  <c r="AK5" i="1" s="1"/>
  <c r="AL5" i="1" s="1"/>
  <c r="AM5" i="1" s="1"/>
  <c r="AN5" i="1" s="1"/>
  <c r="AO5" i="1" s="1"/>
  <c r="AP5" i="1" s="1"/>
  <c r="N4" i="1"/>
  <c r="O4" i="1" s="1"/>
  <c r="P4" i="1" s="1"/>
  <c r="Q4" i="1" s="1"/>
  <c r="R4" i="1" s="1"/>
  <c r="S4" i="1" s="1"/>
  <c r="T4" i="1" s="1"/>
  <c r="U4" i="1" s="1"/>
  <c r="V4" i="1" s="1"/>
  <c r="W4" i="1" s="1"/>
  <c r="X4" i="1" s="1"/>
  <c r="Y4" i="1" s="1"/>
  <c r="Z4" i="1" s="1"/>
  <c r="AA4" i="1" s="1"/>
  <c r="AB4" i="1" s="1"/>
  <c r="AC4" i="1" s="1"/>
  <c r="AD4" i="1" s="1"/>
  <c r="AE4" i="1" s="1"/>
  <c r="AF4" i="1" s="1"/>
  <c r="AG4" i="1" s="1"/>
  <c r="AH4" i="1" s="1"/>
  <c r="AI4" i="1" s="1"/>
  <c r="AJ4" i="1" s="1"/>
  <c r="AK4" i="1" s="1"/>
  <c r="AL4" i="1" s="1"/>
  <c r="AM4" i="1" s="1"/>
  <c r="AN4" i="1" s="1"/>
  <c r="AO4" i="1" s="1"/>
  <c r="AP4" i="1" s="1"/>
  <c r="F23" i="45" l="1"/>
  <c r="F29" i="45" s="1"/>
  <c r="E23" i="45"/>
  <c r="E29" i="45" s="1"/>
  <c r="D23" i="45"/>
  <c r="D29" i="45" s="1"/>
  <c r="C23" i="45"/>
  <c r="C29" i="45" s="1"/>
  <c r="B23" i="45"/>
  <c r="B29" i="45" s="1"/>
  <c r="F22" i="45"/>
  <c r="F28" i="45" s="1"/>
  <c r="E22" i="45"/>
  <c r="E28" i="45" s="1"/>
  <c r="D22" i="45"/>
  <c r="D28" i="45" s="1"/>
  <c r="C22" i="45"/>
  <c r="C28" i="45" s="1"/>
  <c r="B22" i="45"/>
  <c r="B28" i="45" s="1"/>
  <c r="F9" i="45"/>
  <c r="E9" i="45"/>
  <c r="E15" i="45" s="1"/>
  <c r="D9" i="45"/>
  <c r="D15" i="45" s="1"/>
  <c r="C9" i="45"/>
  <c r="C15" i="45" s="1"/>
  <c r="B9" i="45"/>
  <c r="F8" i="45"/>
  <c r="F14" i="45" s="1"/>
  <c r="E8" i="45"/>
  <c r="E14" i="45" s="1"/>
  <c r="D8" i="45"/>
  <c r="D14" i="45" s="1"/>
  <c r="C8" i="45"/>
  <c r="C14" i="45" s="1"/>
  <c r="B8" i="45"/>
  <c r="G5" i="45"/>
  <c r="G4" i="45"/>
  <c r="D4" i="42"/>
  <c r="E4" i="42" s="1"/>
  <c r="F4" i="42" s="1"/>
  <c r="G4" i="42" s="1"/>
  <c r="H4" i="42" s="1"/>
  <c r="I4" i="42" s="1"/>
  <c r="J4" i="42" s="1"/>
  <c r="K4" i="42" s="1"/>
  <c r="L4" i="42" s="1"/>
  <c r="M4" i="42" s="1"/>
  <c r="N4" i="42" s="1"/>
  <c r="O4" i="42" s="1"/>
  <c r="P4" i="42" s="1"/>
  <c r="Q4" i="42" s="1"/>
  <c r="R4" i="42" s="1"/>
  <c r="S4" i="42" s="1"/>
  <c r="T4" i="42" s="1"/>
  <c r="U4" i="42" s="1"/>
  <c r="V4" i="42" s="1"/>
  <c r="W4" i="42" s="1"/>
  <c r="X4" i="42" s="1"/>
  <c r="Y4" i="42" s="1"/>
  <c r="Z4" i="42" s="1"/>
  <c r="AA4" i="42" s="1"/>
  <c r="AB4" i="42" s="1"/>
  <c r="AC4" i="42" s="1"/>
  <c r="AD4" i="42" s="1"/>
  <c r="AE4" i="42" s="1"/>
  <c r="AF4" i="42" s="1"/>
  <c r="D3" i="42"/>
  <c r="E3" i="42" s="1"/>
  <c r="F3" i="42" s="1"/>
  <c r="G3" i="42" s="1"/>
  <c r="H3" i="42" s="1"/>
  <c r="I3" i="42" s="1"/>
  <c r="J3" i="42" s="1"/>
  <c r="K3" i="42" s="1"/>
  <c r="L3" i="42" s="1"/>
  <c r="M3" i="42" s="1"/>
  <c r="N3" i="42" s="1"/>
  <c r="O3" i="42" s="1"/>
  <c r="P3" i="42" s="1"/>
  <c r="Q3" i="42" s="1"/>
  <c r="R3" i="42" s="1"/>
  <c r="S3" i="42" s="1"/>
  <c r="T3" i="42" s="1"/>
  <c r="U3" i="42" s="1"/>
  <c r="V3" i="42" s="1"/>
  <c r="W3" i="42" s="1"/>
  <c r="X3" i="42" s="1"/>
  <c r="Y3" i="42" s="1"/>
  <c r="Z3" i="42" s="1"/>
  <c r="AA3" i="42" s="1"/>
  <c r="AB3" i="42" s="1"/>
  <c r="AC3" i="42" s="1"/>
  <c r="AD3" i="42" s="1"/>
  <c r="AE3" i="42" s="1"/>
  <c r="AF3" i="42" s="1"/>
  <c r="AB5" i="41"/>
  <c r="AB6" i="41" s="1"/>
  <c r="AA5" i="41"/>
  <c r="AA6" i="41" s="1"/>
  <c r="Z5" i="41"/>
  <c r="Z6" i="41" s="1"/>
  <c r="AA4" i="41"/>
  <c r="AB4" i="41" s="1"/>
  <c r="Z4" i="41"/>
  <c r="Z3" i="41"/>
  <c r="AA3" i="41" s="1"/>
  <c r="AB3" i="41" s="1"/>
  <c r="E9" i="3"/>
  <c r="E8" i="3"/>
  <c r="D9" i="3"/>
  <c r="D8" i="3"/>
  <c r="J43" i="44"/>
  <c r="K43" i="44" s="1"/>
  <c r="L43" i="44" s="1"/>
  <c r="M43" i="44" s="1"/>
  <c r="N43" i="44" s="1"/>
  <c r="O43" i="44" s="1"/>
  <c r="P43" i="44" s="1"/>
  <c r="Q43" i="44" s="1"/>
  <c r="R43" i="44" s="1"/>
  <c r="S43" i="44" s="1"/>
  <c r="T43" i="44" s="1"/>
  <c r="U43" i="44" s="1"/>
  <c r="V43" i="44" s="1"/>
  <c r="W43" i="44" s="1"/>
  <c r="X43" i="44" s="1"/>
  <c r="Y43" i="44" s="1"/>
  <c r="Z43" i="44" s="1"/>
  <c r="AA43" i="44" s="1"/>
  <c r="AB43" i="44" s="1"/>
  <c r="AC43" i="44" s="1"/>
  <c r="AD43" i="44" s="1"/>
  <c r="AE43" i="44" s="1"/>
  <c r="AF43" i="44" s="1"/>
  <c r="AG43" i="44" s="1"/>
  <c r="AH43" i="44" s="1"/>
  <c r="AI43" i="44" s="1"/>
  <c r="AJ43" i="44" s="1"/>
  <c r="AK43" i="44" s="1"/>
  <c r="AL43" i="44" s="1"/>
  <c r="AM43" i="44" s="1"/>
  <c r="AN43" i="44" s="1"/>
  <c r="AO43" i="44" s="1"/>
  <c r="F42" i="44"/>
  <c r="G42" i="44" s="1"/>
  <c r="H42" i="44" s="1"/>
  <c r="I42" i="44" s="1"/>
  <c r="J42" i="44" s="1"/>
  <c r="K42" i="44" s="1"/>
  <c r="L42" i="44" s="1"/>
  <c r="M42" i="44" s="1"/>
  <c r="N42" i="44" s="1"/>
  <c r="O42" i="44" s="1"/>
  <c r="P42" i="44" s="1"/>
  <c r="Q42" i="44" s="1"/>
  <c r="R42" i="44" s="1"/>
  <c r="S42" i="44" s="1"/>
  <c r="T42" i="44" s="1"/>
  <c r="U42" i="44" s="1"/>
  <c r="V42" i="44" s="1"/>
  <c r="W42" i="44" s="1"/>
  <c r="X42" i="44" s="1"/>
  <c r="Y42" i="44" s="1"/>
  <c r="Z42" i="44" s="1"/>
  <c r="AA42" i="44" s="1"/>
  <c r="AB42" i="44" s="1"/>
  <c r="AC42" i="44" s="1"/>
  <c r="AD42" i="44" s="1"/>
  <c r="AE42" i="44" s="1"/>
  <c r="AF42" i="44" s="1"/>
  <c r="AG42" i="44" s="1"/>
  <c r="AH42" i="44" s="1"/>
  <c r="AI42" i="44" s="1"/>
  <c r="AJ42" i="44" s="1"/>
  <c r="AK42" i="44" s="1"/>
  <c r="AL42" i="44" s="1"/>
  <c r="AM42" i="44" s="1"/>
  <c r="AN42" i="44" s="1"/>
  <c r="AO42" i="44" s="1"/>
  <c r="B30" i="44"/>
  <c r="B31" i="44" s="1"/>
  <c r="B26" i="44"/>
  <c r="B24" i="44"/>
  <c r="B14" i="44"/>
  <c r="B15" i="44" s="1"/>
  <c r="B16" i="44" s="1"/>
  <c r="B12" i="44"/>
  <c r="F15" i="45" l="1"/>
  <c r="B14" i="45"/>
  <c r="G8" i="45"/>
  <c r="B15" i="45"/>
  <c r="G9" i="45"/>
  <c r="G29" i="45"/>
  <c r="G28" i="45"/>
  <c r="G5" i="41"/>
  <c r="G6" i="41" s="1"/>
  <c r="G18" i="45" l="1"/>
  <c r="G19" i="45"/>
  <c r="G15" i="45"/>
  <c r="G14" i="45"/>
  <c r="Z6" i="42"/>
  <c r="N6" i="42"/>
  <c r="Y6" i="42"/>
  <c r="M6" i="42"/>
  <c r="J6" i="42"/>
  <c r="I6" i="42"/>
  <c r="T6" i="42"/>
  <c r="H6" i="42"/>
  <c r="S6" i="42"/>
  <c r="R6" i="42"/>
  <c r="Q6" i="42"/>
  <c r="AB6" i="42"/>
  <c r="P6" i="42"/>
  <c r="X6" i="42"/>
  <c r="L6" i="42"/>
  <c r="W6" i="42"/>
  <c r="K6" i="42"/>
  <c r="V6" i="42"/>
  <c r="U6" i="42"/>
  <c r="AF6" i="42"/>
  <c r="AE6" i="42"/>
  <c r="G6" i="42"/>
  <c r="AD6" i="42"/>
  <c r="F6" i="42"/>
  <c r="AC6" i="42"/>
  <c r="E6" i="42"/>
  <c r="D6" i="42"/>
  <c r="AA6" i="42"/>
  <c r="O6" i="42"/>
  <c r="C6" i="42"/>
  <c r="AF5" i="42"/>
  <c r="T5" i="42"/>
  <c r="H5" i="42"/>
  <c r="AE5" i="42"/>
  <c r="S5" i="42"/>
  <c r="G5" i="42"/>
  <c r="P5" i="42"/>
  <c r="AA5" i="42"/>
  <c r="C5" i="42"/>
  <c r="Z5" i="42"/>
  <c r="N5" i="42"/>
  <c r="Y5" i="42"/>
  <c r="K5" i="42"/>
  <c r="V5" i="42"/>
  <c r="AD5" i="42"/>
  <c r="R5" i="42"/>
  <c r="F5" i="42"/>
  <c r="AC5" i="42"/>
  <c r="Q5" i="42"/>
  <c r="E5" i="42"/>
  <c r="AB5" i="42"/>
  <c r="D5" i="42"/>
  <c r="O5" i="42"/>
  <c r="M5" i="42"/>
  <c r="X5" i="42"/>
  <c r="L5" i="42"/>
  <c r="W5" i="42"/>
  <c r="J5" i="42"/>
  <c r="U5" i="42"/>
  <c r="I5" i="42"/>
  <c r="K10" i="1"/>
  <c r="H10" i="1"/>
  <c r="I10" i="1"/>
  <c r="F10" i="1"/>
  <c r="B8" i="1"/>
  <c r="D8" i="1" s="1"/>
  <c r="L10" i="1"/>
  <c r="J10" i="1"/>
  <c r="B9" i="1"/>
  <c r="D9" i="1" s="1"/>
  <c r="E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AF9" i="42" l="1"/>
  <c r="O9" i="42"/>
  <c r="O12" i="42" s="1"/>
  <c r="G9" i="42"/>
  <c r="R9" i="42"/>
  <c r="W9" i="42"/>
  <c r="W12" i="42" s="1"/>
  <c r="K9" i="42"/>
  <c r="T9" i="42"/>
  <c r="T12" i="42" s="1"/>
  <c r="Z9" i="42"/>
  <c r="Z12" i="42" s="1"/>
  <c r="AD9" i="42"/>
  <c r="AD12" i="42" s="1"/>
  <c r="C9" i="42"/>
  <c r="C12" i="42" s="1"/>
  <c r="F9" i="42"/>
  <c r="F12" i="42" s="1"/>
  <c r="AC9" i="42"/>
  <c r="AC12" i="42" s="1"/>
  <c r="J9" i="42"/>
  <c r="U9" i="42"/>
  <c r="D9" i="42"/>
  <c r="Y9" i="42"/>
  <c r="Y12" i="42" s="1"/>
  <c r="H9" i="42"/>
  <c r="H12" i="42" s="1"/>
  <c r="N9" i="42"/>
  <c r="N12" i="42" s="1"/>
  <c r="S9" i="42"/>
  <c r="Q9" i="42"/>
  <c r="Q12" i="42" s="1"/>
  <c r="AA9" i="42"/>
  <c r="AA12" i="42" s="1"/>
  <c r="E9" i="42"/>
  <c r="E12" i="42" s="1"/>
  <c r="M9" i="42"/>
  <c r="M12" i="42" s="1"/>
  <c r="AE9" i="42"/>
  <c r="AE12" i="42" s="1"/>
  <c r="V9" i="42"/>
  <c r="X9" i="42"/>
  <c r="X12" i="42" s="1"/>
  <c r="L9" i="42"/>
  <c r="L12" i="42" s="1"/>
  <c r="AB9" i="42"/>
  <c r="AB12" i="42" s="1"/>
  <c r="P9" i="42"/>
  <c r="I9" i="42"/>
  <c r="D10" i="1"/>
  <c r="B10" i="1"/>
  <c r="AA8" i="42"/>
  <c r="AA11" i="42" s="1"/>
  <c r="O8" i="42"/>
  <c r="O11" i="42" s="1"/>
  <c r="C8" i="42"/>
  <c r="C11" i="42" s="1"/>
  <c r="Z8" i="42"/>
  <c r="Z11" i="42" s="1"/>
  <c r="N8" i="42"/>
  <c r="N11" i="42" s="1"/>
  <c r="Y8" i="42"/>
  <c r="Y11" i="42" s="1"/>
  <c r="M8" i="42"/>
  <c r="X8" i="42"/>
  <c r="X11" i="42" s="1"/>
  <c r="L8" i="42"/>
  <c r="L11" i="42" s="1"/>
  <c r="W8" i="42"/>
  <c r="W11" i="42" s="1"/>
  <c r="W14" i="42" s="1"/>
  <c r="K8" i="42"/>
  <c r="K11" i="42" s="1"/>
  <c r="V8" i="42"/>
  <c r="V11" i="42" s="1"/>
  <c r="J8" i="42"/>
  <c r="J11" i="42" s="1"/>
  <c r="U8" i="42"/>
  <c r="U11" i="42" s="1"/>
  <c r="I8" i="42"/>
  <c r="I11" i="42" s="1"/>
  <c r="AF8" i="42"/>
  <c r="AF11" i="42" s="1"/>
  <c r="T8" i="42"/>
  <c r="H8" i="42"/>
  <c r="H11" i="42" s="1"/>
  <c r="AE8" i="42"/>
  <c r="AE11" i="42" s="1"/>
  <c r="S8" i="42"/>
  <c r="S11" i="42" s="1"/>
  <c r="G8" i="42"/>
  <c r="G11" i="42" s="1"/>
  <c r="AD8" i="42"/>
  <c r="AD11" i="42" s="1"/>
  <c r="R8" i="42"/>
  <c r="R11" i="42" s="1"/>
  <c r="F8" i="42"/>
  <c r="F11" i="42" s="1"/>
  <c r="AC8" i="42"/>
  <c r="AC11" i="42" s="1"/>
  <c r="Q8" i="42"/>
  <c r="Q11" i="42" s="1"/>
  <c r="Q14" i="42" s="1"/>
  <c r="E8" i="42"/>
  <c r="E11" i="42" s="1"/>
  <c r="AB8" i="42"/>
  <c r="AB11" i="42" s="1"/>
  <c r="AB14" i="42" s="1"/>
  <c r="P8" i="42"/>
  <c r="P11" i="42" s="1"/>
  <c r="D8" i="42"/>
  <c r="D11" i="42" s="1"/>
  <c r="M11" i="42"/>
  <c r="T11" i="42"/>
  <c r="K12" i="42"/>
  <c r="P12" i="42"/>
  <c r="G12" i="42"/>
  <c r="R12" i="42"/>
  <c r="I12" i="42"/>
  <c r="S12" i="42"/>
  <c r="AF12" i="42"/>
  <c r="U12" i="42"/>
  <c r="J12" i="42"/>
  <c r="V12" i="42"/>
  <c r="D12" i="42"/>
  <c r="AP12" i="1"/>
  <c r="F46" i="28"/>
  <c r="AC14" i="42" l="1"/>
  <c r="M14" i="42"/>
  <c r="N14" i="42"/>
  <c r="P14" i="42"/>
  <c r="F14" i="42"/>
  <c r="L14" i="42"/>
  <c r="E14" i="42"/>
  <c r="X14" i="42"/>
  <c r="AD14" i="42"/>
  <c r="Y14" i="42"/>
  <c r="D14" i="42"/>
  <c r="K14" i="42"/>
  <c r="AF14" i="42"/>
  <c r="V14" i="42"/>
  <c r="C14" i="42"/>
  <c r="H14" i="42"/>
  <c r="Z14" i="42"/>
  <c r="O14" i="42"/>
  <c r="AE14" i="42"/>
  <c r="AA14" i="42"/>
  <c r="J14" i="42"/>
  <c r="T14" i="42"/>
  <c r="U14" i="42"/>
  <c r="I14" i="42"/>
  <c r="S14" i="42"/>
  <c r="G14" i="42"/>
  <c r="R14" i="42"/>
  <c r="B12" i="1"/>
  <c r="C9" i="35"/>
  <c r="C11" i="35" s="1"/>
  <c r="D10" i="35"/>
  <c r="E10" i="35"/>
  <c r="F10" i="35"/>
  <c r="G10" i="35"/>
  <c r="H10" i="35"/>
  <c r="I10" i="35"/>
  <c r="J10" i="35"/>
  <c r="K10" i="35"/>
  <c r="L10" i="35"/>
  <c r="M10" i="35"/>
  <c r="N10" i="35"/>
  <c r="O10" i="35"/>
  <c r="P10" i="35"/>
  <c r="Q10" i="35"/>
  <c r="R10" i="35"/>
  <c r="S10" i="35"/>
  <c r="T10" i="35"/>
  <c r="U10" i="35"/>
  <c r="V10" i="35"/>
  <c r="W10" i="35"/>
  <c r="X10" i="35"/>
  <c r="Y10" i="35"/>
  <c r="Z10" i="35"/>
  <c r="AA10" i="35"/>
  <c r="B18" i="35"/>
  <c r="B15" i="41"/>
  <c r="B16" i="41" s="1"/>
  <c r="E4" i="41"/>
  <c r="F4" i="41" s="1"/>
  <c r="G4" i="41" s="1"/>
  <c r="H4" i="41" s="1"/>
  <c r="I4" i="41" s="1"/>
  <c r="J4" i="41" s="1"/>
  <c r="K4" i="41" s="1"/>
  <c r="L4" i="41" s="1"/>
  <c r="M4" i="41" s="1"/>
  <c r="N4" i="41" s="1"/>
  <c r="O4" i="41" s="1"/>
  <c r="P4" i="41" s="1"/>
  <c r="Q4" i="41" s="1"/>
  <c r="R4" i="41" s="1"/>
  <c r="S4" i="41" s="1"/>
  <c r="T4" i="41" s="1"/>
  <c r="U4" i="41" s="1"/>
  <c r="V4" i="41" s="1"/>
  <c r="W4" i="41" s="1"/>
  <c r="X4" i="41" s="1"/>
  <c r="Y4" i="41" s="1"/>
  <c r="E3" i="41"/>
  <c r="F3" i="41" s="1"/>
  <c r="G3" i="41" s="1"/>
  <c r="H3" i="41" s="1"/>
  <c r="I3" i="41" s="1"/>
  <c r="J3" i="41" s="1"/>
  <c r="K3" i="41" s="1"/>
  <c r="L3" i="41" s="1"/>
  <c r="M3" i="41" s="1"/>
  <c r="N3" i="41" s="1"/>
  <c r="O3" i="41" s="1"/>
  <c r="P3" i="41" s="1"/>
  <c r="Q3" i="41" s="1"/>
  <c r="R3" i="41" s="1"/>
  <c r="S3" i="41" s="1"/>
  <c r="T3" i="41" s="1"/>
  <c r="U3" i="41" s="1"/>
  <c r="V3" i="41" s="1"/>
  <c r="W3" i="41" s="1"/>
  <c r="X3" i="41" s="1"/>
  <c r="Y3" i="41" s="1"/>
  <c r="D4" i="35"/>
  <c r="E4" i="35"/>
  <c r="F4" i="35"/>
  <c r="G4" i="35"/>
  <c r="H4" i="35"/>
  <c r="I4" i="35"/>
  <c r="J4" i="35"/>
  <c r="K4" i="35"/>
  <c r="L4" i="35"/>
  <c r="M4" i="35"/>
  <c r="N4" i="35"/>
  <c r="O4" i="35"/>
  <c r="P4" i="35"/>
  <c r="Q4" i="35"/>
  <c r="R4" i="35"/>
  <c r="S4" i="35"/>
  <c r="T4" i="35"/>
  <c r="U4" i="35"/>
  <c r="V4" i="35"/>
  <c r="W4" i="35"/>
  <c r="X4" i="35"/>
  <c r="Y4" i="35"/>
  <c r="Z4" i="35"/>
  <c r="AA4" i="35"/>
  <c r="AB4" i="35"/>
  <c r="F4" i="3"/>
  <c r="G4" i="3" s="1"/>
  <c r="H4" i="3" s="1"/>
  <c r="I4" i="3" s="1"/>
  <c r="J4" i="3" s="1"/>
  <c r="K4" i="3" s="1"/>
  <c r="L4" i="3" s="1"/>
  <c r="M4" i="3" s="1"/>
  <c r="N4" i="3" s="1"/>
  <c r="O4" i="3" s="1"/>
  <c r="P4" i="3" s="1"/>
  <c r="Q4" i="3" s="1"/>
  <c r="R4" i="3" s="1"/>
  <c r="S4" i="3" s="1"/>
  <c r="T4" i="3" s="1"/>
  <c r="U4" i="3" s="1"/>
  <c r="V4" i="3" s="1"/>
  <c r="W4" i="3" s="1"/>
  <c r="X4" i="3" s="1"/>
  <c r="Y4" i="3" s="1"/>
  <c r="Z4" i="3" s="1"/>
  <c r="AA4" i="3" s="1"/>
  <c r="AB4" i="3" s="1"/>
  <c r="AC4" i="3" s="1"/>
  <c r="AD4" i="3" s="1"/>
  <c r="AE4" i="3" s="1"/>
  <c r="AF4" i="3" s="1"/>
  <c r="AG4" i="3" s="1"/>
  <c r="AH4" i="3" s="1"/>
  <c r="AI4" i="3" s="1"/>
  <c r="AJ4" i="3" s="1"/>
  <c r="AK4" i="3" s="1"/>
  <c r="AL4" i="3" s="1"/>
  <c r="AM4" i="3" s="1"/>
  <c r="AN4" i="3" s="1"/>
  <c r="AO4" i="3" s="1"/>
  <c r="AP4" i="3" s="1"/>
  <c r="AQ4" i="3" s="1"/>
  <c r="AR4" i="3" s="1"/>
  <c r="AS4" i="3" s="1"/>
  <c r="E3" i="35"/>
  <c r="F3" i="35"/>
  <c r="G3" i="35"/>
  <c r="H3" i="35"/>
  <c r="I3" i="35"/>
  <c r="J3" i="35"/>
  <c r="K3" i="35"/>
  <c r="L3" i="35"/>
  <c r="M3" i="35"/>
  <c r="N3" i="35"/>
  <c r="O3" i="35"/>
  <c r="P3" i="35"/>
  <c r="Q3" i="35"/>
  <c r="R3" i="35"/>
  <c r="S3" i="35"/>
  <c r="T3" i="35"/>
  <c r="U3" i="35"/>
  <c r="V3" i="35"/>
  <c r="W3" i="35"/>
  <c r="X3" i="35"/>
  <c r="Y3" i="35"/>
  <c r="Z3" i="35"/>
  <c r="AA3" i="35"/>
  <c r="AB3" i="35"/>
  <c r="G4" i="28"/>
  <c r="H4" i="28" s="1"/>
  <c r="I4" i="28" s="1"/>
  <c r="J4" i="28" s="1"/>
  <c r="K4" i="28" s="1"/>
  <c r="L4" i="28" s="1"/>
  <c r="M4" i="28" s="1"/>
  <c r="N4" i="28" s="1"/>
  <c r="O4" i="28" s="1"/>
  <c r="P4" i="28" s="1"/>
  <c r="Q4" i="28" s="1"/>
  <c r="R4" i="28" s="1"/>
  <c r="S4" i="28" s="1"/>
  <c r="T4" i="28" s="1"/>
  <c r="U4" i="28" s="1"/>
  <c r="V4" i="28" s="1"/>
  <c r="W4" i="28" s="1"/>
  <c r="X4" i="28" s="1"/>
  <c r="Y4" i="28" s="1"/>
  <c r="Z4" i="28" s="1"/>
  <c r="AA4" i="28" s="1"/>
  <c r="AB4" i="28" s="1"/>
  <c r="AC4" i="28" s="1"/>
  <c r="AD4" i="28" s="1"/>
  <c r="AE4" i="28" s="1"/>
  <c r="AF4" i="28" s="1"/>
  <c r="AG4" i="28" s="1"/>
  <c r="AH4" i="28" s="1"/>
  <c r="AI4" i="28" s="1"/>
  <c r="G3" i="28"/>
  <c r="H3" i="28" s="1"/>
  <c r="I3" i="28" s="1"/>
  <c r="J3" i="28" s="1"/>
  <c r="K3" i="28" s="1"/>
  <c r="L3" i="28" s="1"/>
  <c r="M3" i="28" s="1"/>
  <c r="N3" i="28" s="1"/>
  <c r="O3" i="28" s="1"/>
  <c r="P3" i="28" s="1"/>
  <c r="Q3" i="28" s="1"/>
  <c r="R3" i="28" s="1"/>
  <c r="S3" i="28" s="1"/>
  <c r="T3" i="28" s="1"/>
  <c r="U3" i="28" s="1"/>
  <c r="V3" i="28" s="1"/>
  <c r="W3" i="28" s="1"/>
  <c r="X3" i="28" s="1"/>
  <c r="Y3" i="28" s="1"/>
  <c r="Z3" i="28" s="1"/>
  <c r="AA3" i="28" s="1"/>
  <c r="AB3" i="28" s="1"/>
  <c r="AC3" i="28" s="1"/>
  <c r="AD3" i="28" s="1"/>
  <c r="AE3" i="28" s="1"/>
  <c r="AF3" i="28" s="1"/>
  <c r="AG3" i="28" s="1"/>
  <c r="AH3" i="28" s="1"/>
  <c r="AI3" i="28" s="1"/>
  <c r="Q6" i="3"/>
  <c r="R6" i="3" s="1"/>
  <c r="S6" i="3" s="1"/>
  <c r="T6" i="3" s="1"/>
  <c r="U6" i="3" s="1"/>
  <c r="V6" i="3" s="1"/>
  <c r="W6" i="3" s="1"/>
  <c r="X6" i="3" s="1"/>
  <c r="Y6" i="3" s="1"/>
  <c r="Z6" i="3" s="1"/>
  <c r="AA6" i="3" s="1"/>
  <c r="AB6" i="3" s="1"/>
  <c r="AC6" i="3" s="1"/>
  <c r="AD6" i="3" s="1"/>
  <c r="AE6" i="3" s="1"/>
  <c r="AF6" i="3" s="1"/>
  <c r="AG6" i="3" s="1"/>
  <c r="AH6" i="3" s="1"/>
  <c r="AI6" i="3" s="1"/>
  <c r="AJ6" i="3" s="1"/>
  <c r="AK6" i="3" s="1"/>
  <c r="AL6" i="3" s="1"/>
  <c r="AM6" i="3" s="1"/>
  <c r="AN6" i="3" s="1"/>
  <c r="AO6" i="3" s="1"/>
  <c r="AP6" i="3" s="1"/>
  <c r="AQ6" i="3" s="1"/>
  <c r="AR6" i="3" s="1"/>
  <c r="AS6" i="3" s="1"/>
  <c r="B6" i="21"/>
  <c r="C6" i="21" s="1"/>
  <c r="D6" i="21" s="1"/>
  <c r="E6" i="21" s="1"/>
  <c r="F6" i="21" s="1"/>
  <c r="G6" i="21" s="1"/>
  <c r="H6" i="21" s="1"/>
  <c r="I6" i="21" s="1"/>
  <c r="J6" i="21" s="1"/>
  <c r="K6" i="21" s="1"/>
  <c r="L6" i="21" s="1"/>
  <c r="M6" i="21" s="1"/>
  <c r="N6" i="21" s="1"/>
  <c r="O6" i="21" s="1"/>
  <c r="P6" i="21" s="1"/>
  <c r="Q6" i="21" s="1"/>
  <c r="R6" i="21" s="1"/>
  <c r="S6" i="21" s="1"/>
  <c r="T6" i="21" s="1"/>
  <c r="U6" i="21" s="1"/>
  <c r="D5" i="21"/>
  <c r="E5" i="21"/>
  <c r="F5" i="21"/>
  <c r="G5" i="21"/>
  <c r="H5" i="21"/>
  <c r="I5" i="21"/>
  <c r="J5" i="21"/>
  <c r="K5" i="21"/>
  <c r="L5" i="21"/>
  <c r="M5" i="21"/>
  <c r="N5" i="21"/>
  <c r="O5" i="21"/>
  <c r="P5" i="21"/>
  <c r="Q5" i="21"/>
  <c r="R5" i="21"/>
  <c r="S5" i="21"/>
  <c r="T5" i="21"/>
  <c r="U5" i="21"/>
  <c r="C5" i="21"/>
  <c r="F9" i="3" l="1"/>
  <c r="F8" i="3"/>
  <c r="C12" i="35"/>
  <c r="C13" i="35"/>
  <c r="G7" i="3"/>
  <c r="D9" i="35"/>
  <c r="G9" i="3" l="1"/>
  <c r="G8" i="3"/>
  <c r="C14" i="35"/>
  <c r="C16" i="35" s="1"/>
  <c r="H7" i="3"/>
  <c r="D11" i="35"/>
  <c r="E9" i="35"/>
  <c r="H9" i="3" l="1"/>
  <c r="H8" i="3"/>
  <c r="I7" i="3"/>
  <c r="F9" i="35"/>
  <c r="E11" i="35"/>
  <c r="D12" i="35"/>
  <c r="D13" i="35"/>
  <c r="I8" i="3" l="1"/>
  <c r="I12" i="3" s="1"/>
  <c r="I9" i="3"/>
  <c r="J7" i="3"/>
  <c r="G9" i="35"/>
  <c r="F11" i="35"/>
  <c r="E12" i="35"/>
  <c r="E13" i="35"/>
  <c r="D14" i="35"/>
  <c r="D16" i="35" s="1"/>
  <c r="J8" i="3" l="1"/>
  <c r="J12" i="3" s="1"/>
  <c r="J9" i="3"/>
  <c r="K7" i="3"/>
  <c r="E14" i="35"/>
  <c r="E16" i="35" s="1"/>
  <c r="G11" i="35"/>
  <c r="H9" i="35"/>
  <c r="F12" i="35"/>
  <c r="F13" i="35"/>
  <c r="D5" i="41"/>
  <c r="D6" i="41" s="1"/>
  <c r="K8" i="3" l="1"/>
  <c r="K12" i="3" s="1"/>
  <c r="K9" i="3"/>
  <c r="L7" i="3"/>
  <c r="H11" i="35"/>
  <c r="I9" i="35"/>
  <c r="G12" i="35"/>
  <c r="G13" i="35"/>
  <c r="F14" i="35"/>
  <c r="F16" i="35" s="1"/>
  <c r="H5" i="41"/>
  <c r="H6" i="41" s="1"/>
  <c r="I5" i="41" l="1"/>
  <c r="I6" i="41" s="1"/>
  <c r="J5" i="41"/>
  <c r="J6" i="41" s="1"/>
  <c r="T5" i="41" l="1"/>
  <c r="T6" i="41" s="1"/>
  <c r="U5" i="41" l="1"/>
  <c r="U6" i="41" s="1"/>
  <c r="S5" i="41" l="1"/>
  <c r="S6" i="41" s="1"/>
  <c r="P5" i="41"/>
  <c r="P6" i="41" s="1"/>
  <c r="Q5" i="41" l="1"/>
  <c r="Q6" i="41" s="1"/>
  <c r="K5" i="41"/>
  <c r="K6" i="41" s="1"/>
  <c r="J9" i="35" l="1"/>
  <c r="I11" i="35"/>
  <c r="J11" i="35" l="1"/>
  <c r="K9" i="35"/>
  <c r="I12" i="35"/>
  <c r="I13" i="35"/>
  <c r="E5" i="41"/>
  <c r="E6" i="41" s="1"/>
  <c r="I14" i="35" l="1"/>
  <c r="I16" i="35" s="1"/>
  <c r="L9" i="35"/>
  <c r="K11" i="35"/>
  <c r="J12" i="35"/>
  <c r="J13" i="35"/>
  <c r="L9" i="3"/>
  <c r="L8" i="3"/>
  <c r="L12" i="3" s="1"/>
  <c r="G14" i="35"/>
  <c r="G16" i="35" s="1"/>
  <c r="M7" i="3"/>
  <c r="H13" i="35"/>
  <c r="H12" i="35"/>
  <c r="F5" i="41"/>
  <c r="F6" i="41" s="1"/>
  <c r="Y5" i="41"/>
  <c r="Y6" i="41" s="1"/>
  <c r="H14" i="35" l="1"/>
  <c r="H16" i="35" s="1"/>
  <c r="J14" i="35"/>
  <c r="J16" i="35" s="1"/>
  <c r="M9" i="35"/>
  <c r="L11" i="35"/>
  <c r="M9" i="3"/>
  <c r="N7" i="3"/>
  <c r="M8" i="3"/>
  <c r="M12" i="3" s="1"/>
  <c r="L13" i="35" l="1"/>
  <c r="L12" i="35"/>
  <c r="M11" i="35"/>
  <c r="N9" i="35"/>
  <c r="N9" i="3"/>
  <c r="O7" i="3"/>
  <c r="N8" i="3"/>
  <c r="N12" i="3" l="1"/>
  <c r="N11" i="35"/>
  <c r="O9" i="35"/>
  <c r="M12" i="35"/>
  <c r="M13" i="35"/>
  <c r="L14" i="35"/>
  <c r="L16" i="35" s="1"/>
  <c r="O8" i="3"/>
  <c r="O12" i="3" s="1"/>
  <c r="P7" i="3"/>
  <c r="O9" i="3"/>
  <c r="B12" i="3" l="1"/>
  <c r="M5" i="41"/>
  <c r="M6" i="41" s="1"/>
  <c r="N5" i="41" l="1"/>
  <c r="N6" i="41" s="1"/>
  <c r="M14" i="35"/>
  <c r="M16" i="35" s="1"/>
  <c r="O11" i="35"/>
  <c r="P9" i="35"/>
  <c r="L5" i="41"/>
  <c r="L6" i="41" s="1"/>
  <c r="N12" i="35"/>
  <c r="N13" i="35"/>
  <c r="N14" i="35" l="1"/>
  <c r="N16" i="35" s="1"/>
  <c r="Q9" i="35"/>
  <c r="P11" i="35"/>
  <c r="P13" i="35" s="1"/>
  <c r="O12" i="35"/>
  <c r="O13" i="35"/>
  <c r="Q11" i="35" l="1"/>
  <c r="Q12" i="35" s="1"/>
  <c r="R9" i="35"/>
  <c r="P12" i="35"/>
  <c r="O14" i="35"/>
  <c r="O16" i="35" s="1"/>
  <c r="O5" i="41"/>
  <c r="O6" i="41" s="1"/>
  <c r="Q13" i="35"/>
  <c r="Q14" i="35" l="1"/>
  <c r="Q16" i="35" s="1"/>
  <c r="W5" i="41"/>
  <c r="W6" i="41" s="1"/>
  <c r="K12" i="35"/>
  <c r="K13" i="35"/>
  <c r="K14" i="35" l="1"/>
  <c r="K16" i="35" s="1"/>
  <c r="P9" i="3"/>
  <c r="P8" i="3"/>
  <c r="Q7" i="3"/>
  <c r="P20" i="3" l="1"/>
  <c r="P19" i="3"/>
  <c r="P13" i="3"/>
  <c r="Q9" i="3"/>
  <c r="R7" i="3"/>
  <c r="Q8" i="3"/>
  <c r="Q19" i="3" l="1"/>
  <c r="Q20" i="3"/>
  <c r="Q13" i="3"/>
  <c r="R8" i="3"/>
  <c r="R9" i="3"/>
  <c r="S7" i="3"/>
  <c r="X5" i="41"/>
  <c r="X6" i="41" s="1"/>
  <c r="S9" i="35"/>
  <c r="R11" i="35"/>
  <c r="P14" i="35"/>
  <c r="P16" i="35" s="1"/>
  <c r="R20" i="3" l="1"/>
  <c r="R19" i="3"/>
  <c r="R13" i="3"/>
  <c r="R12" i="35"/>
  <c r="R13" i="35"/>
  <c r="T9" i="35"/>
  <c r="S11" i="35"/>
  <c r="S8" i="3"/>
  <c r="S9" i="3"/>
  <c r="T7" i="3"/>
  <c r="S20" i="3" l="1"/>
  <c r="S19" i="3"/>
  <c r="S13" i="3"/>
  <c r="R14" i="35"/>
  <c r="R16" i="35" s="1"/>
  <c r="S13" i="35"/>
  <c r="S12" i="35"/>
  <c r="T11" i="35"/>
  <c r="T12" i="35" s="1"/>
  <c r="U9" i="35"/>
  <c r="U11" i="35" s="1"/>
  <c r="T9" i="3"/>
  <c r="T8" i="3"/>
  <c r="U7" i="3"/>
  <c r="V5" i="41"/>
  <c r="V6" i="41" s="1"/>
  <c r="R5" i="41"/>
  <c r="R6" i="41" s="1"/>
  <c r="T19" i="3" l="1"/>
  <c r="T20" i="3"/>
  <c r="T13" i="3"/>
  <c r="S14" i="35"/>
  <c r="S16" i="35" s="1"/>
  <c r="T13" i="35"/>
  <c r="T14" i="35" s="1"/>
  <c r="T16" i="35" s="1"/>
  <c r="U12" i="35"/>
  <c r="U13" i="35"/>
  <c r="V9" i="35"/>
  <c r="U9" i="3"/>
  <c r="V7" i="3"/>
  <c r="U8" i="3"/>
  <c r="U20" i="3" l="1"/>
  <c r="U19" i="3"/>
  <c r="U13" i="3"/>
  <c r="V11" i="35"/>
  <c r="W9" i="35"/>
  <c r="U14" i="35"/>
  <c r="U16" i="35" s="1"/>
  <c r="V8" i="3"/>
  <c r="W7" i="3"/>
  <c r="V9" i="3"/>
  <c r="V20" i="3" l="1"/>
  <c r="V19" i="3"/>
  <c r="V13" i="3"/>
  <c r="W11" i="35"/>
  <c r="X9" i="35"/>
  <c r="V13" i="35"/>
  <c r="V12" i="35"/>
  <c r="V14" i="35" s="1"/>
  <c r="V16" i="35" s="1"/>
  <c r="X7" i="3"/>
  <c r="W9" i="3"/>
  <c r="W8" i="3"/>
  <c r="W19" i="3" l="1"/>
  <c r="W20" i="3"/>
  <c r="W13" i="3"/>
  <c r="X11" i="35"/>
  <c r="Y9" i="35"/>
  <c r="W13" i="35"/>
  <c r="W12" i="35"/>
  <c r="X9" i="3"/>
  <c r="X8" i="3"/>
  <c r="Y7" i="3"/>
  <c r="X19" i="3" l="1"/>
  <c r="X20" i="3"/>
  <c r="X13" i="3"/>
  <c r="W14" i="35"/>
  <c r="W16" i="35" s="1"/>
  <c r="X13" i="35"/>
  <c r="X12" i="35"/>
  <c r="Z9" i="35"/>
  <c r="Y11" i="35"/>
  <c r="Z7" i="3"/>
  <c r="Y9" i="3"/>
  <c r="Y8" i="3"/>
  <c r="Y20" i="3" l="1"/>
  <c r="Y19" i="3"/>
  <c r="Y13" i="3"/>
  <c r="Y13" i="35"/>
  <c r="Y12" i="35"/>
  <c r="Y14" i="35" s="1"/>
  <c r="Y16" i="35" s="1"/>
  <c r="AA9" i="35"/>
  <c r="Z11" i="35"/>
  <c r="X14" i="35"/>
  <c r="X16" i="35" s="1"/>
  <c r="Z8" i="3"/>
  <c r="AA7" i="3"/>
  <c r="Z9" i="3"/>
  <c r="Z20" i="3" l="1"/>
  <c r="Z19" i="3"/>
  <c r="Z13" i="3"/>
  <c r="Z12" i="35"/>
  <c r="Z13" i="35"/>
  <c r="AB9" i="35"/>
  <c r="AB11" i="35" s="1"/>
  <c r="AA11" i="35"/>
  <c r="AA9" i="3"/>
  <c r="AA8" i="3"/>
  <c r="AB7" i="3"/>
  <c r="AA20" i="3" l="1"/>
  <c r="AA19" i="3"/>
  <c r="AA13" i="3"/>
  <c r="AA13" i="35"/>
  <c r="AA12" i="35"/>
  <c r="AB12" i="35"/>
  <c r="AB13" i="35"/>
  <c r="Z14" i="35"/>
  <c r="Z16" i="35" s="1"/>
  <c r="AB9" i="3"/>
  <c r="AB8" i="3"/>
  <c r="AC7" i="3"/>
  <c r="AB20" i="3" l="1"/>
  <c r="AB19" i="3"/>
  <c r="AA14" i="35"/>
  <c r="AA16" i="35" s="1"/>
  <c r="AB13" i="3"/>
  <c r="AB14" i="35"/>
  <c r="AB16" i="35" s="1"/>
  <c r="AC9" i="3"/>
  <c r="AD7" i="3"/>
  <c r="AC8" i="3"/>
  <c r="AC20" i="3" l="1"/>
  <c r="AC19" i="3"/>
  <c r="AC13" i="3"/>
  <c r="AD8" i="3"/>
  <c r="AD9" i="3"/>
  <c r="AE7" i="3"/>
  <c r="AD19" i="3" l="1"/>
  <c r="AD20" i="3"/>
  <c r="AD13" i="3"/>
  <c r="AF7" i="3"/>
  <c r="AE8" i="3"/>
  <c r="AE9" i="3"/>
  <c r="AE20" i="3" l="1"/>
  <c r="AE19" i="3"/>
  <c r="AE13" i="3"/>
  <c r="AF9" i="3"/>
  <c r="AF8" i="3"/>
  <c r="AG7" i="3"/>
  <c r="AF20" i="3" l="1"/>
  <c r="AF19" i="3"/>
  <c r="AF13" i="3"/>
  <c r="AG8" i="3"/>
  <c r="AG9" i="3"/>
  <c r="AH7" i="3"/>
  <c r="AG19" i="3" l="1"/>
  <c r="AG20" i="3"/>
  <c r="AG13" i="3"/>
  <c r="AH9" i="3"/>
  <c r="AI7" i="3"/>
  <c r="AH8" i="3"/>
  <c r="AH19" i="3" l="1"/>
  <c r="AH20" i="3"/>
  <c r="AH13" i="3"/>
  <c r="AJ7" i="3"/>
  <c r="AI8" i="3"/>
  <c r="AI9" i="3"/>
  <c r="AI20" i="3" l="1"/>
  <c r="AI19" i="3"/>
  <c r="AI13" i="3"/>
  <c r="AK7" i="3"/>
  <c r="AJ9" i="3"/>
  <c r="AJ8" i="3"/>
  <c r="AJ20" i="3" l="1"/>
  <c r="AJ19" i="3"/>
  <c r="AJ13" i="3"/>
  <c r="AK9" i="3"/>
  <c r="AL7" i="3"/>
  <c r="AM7" i="3" s="1"/>
  <c r="AK8" i="3"/>
  <c r="AK20" i="3" l="1"/>
  <c r="AK19" i="3"/>
  <c r="AK13" i="3"/>
  <c r="AN7" i="3"/>
  <c r="AM8" i="3"/>
  <c r="AM9" i="3"/>
  <c r="AL9" i="3"/>
  <c r="AL8" i="3"/>
  <c r="AL20" i="3" l="1"/>
  <c r="AL19" i="3"/>
  <c r="AM20" i="3"/>
  <c r="AM19" i="3"/>
  <c r="AL13" i="3"/>
  <c r="AM13" i="3"/>
  <c r="AO7" i="3"/>
  <c r="AN8" i="3"/>
  <c r="AN9" i="3"/>
  <c r="AL17" i="3"/>
  <c r="AN19" i="3" l="1"/>
  <c r="AN20" i="3"/>
  <c r="AN13" i="3"/>
  <c r="AP7" i="3"/>
  <c r="AO9" i="3"/>
  <c r="AO8" i="3"/>
  <c r="AO20" i="3" l="1"/>
  <c r="AO19" i="3"/>
  <c r="AO13" i="3"/>
  <c r="AP9" i="3"/>
  <c r="AP8" i="3"/>
  <c r="AQ7" i="3"/>
  <c r="AR7" i="3" s="1"/>
  <c r="AP19" i="3" l="1"/>
  <c r="AP20" i="3"/>
  <c r="AR9" i="3"/>
  <c r="AR8" i="3"/>
  <c r="AS7" i="3"/>
  <c r="AP13" i="3"/>
  <c r="AQ9" i="3"/>
  <c r="AQ8" i="3"/>
  <c r="AQ20" i="3" l="1"/>
  <c r="AQ19" i="3"/>
  <c r="AR19" i="3"/>
  <c r="AR20" i="3"/>
  <c r="AQ13" i="3"/>
  <c r="AS9" i="3"/>
  <c r="AS8" i="3"/>
  <c r="AR13" i="3"/>
  <c r="AS19" i="3" l="1"/>
  <c r="AS20" i="3"/>
  <c r="B20" i="3" s="1"/>
  <c r="AS13" i="3"/>
  <c r="B13" i="3" s="1"/>
  <c r="B14" i="3" s="1"/>
  <c r="AS17" i="3"/>
  <c r="B17" i="3" s="1"/>
  <c r="B19" i="3"/>
  <c r="B25" i="3" l="1"/>
  <c r="B2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tc={C934E233-E4DD-4D2C-93F0-E9C452A9D129}</author>
  </authors>
  <commentList>
    <comment ref="B35" authorId="0" shapeId="0" xr:uid="{C934E233-E4DD-4D2C-93F0-E9C452A9D129}">
      <text>
        <t>[Threaded comment]
Your version of Excel allows you to read this threaded comment; however, any edits to it will get removed if the file is opened in a newer version of Excel. Learn more: https://go.microsoft.com/fwlink/?linkid=870924
Comment:
    $24 max at hotels</t>
      </text>
    </comment>
  </commentList>
</comments>
</file>

<file path=xl/sharedStrings.xml><?xml version="1.0" encoding="utf-8"?>
<sst xmlns="http://schemas.openxmlformats.org/spreadsheetml/2006/main" count="363" uniqueCount="299">
  <si>
    <t>construction</t>
  </si>
  <si>
    <t>Year</t>
  </si>
  <si>
    <t>Years of Construction</t>
  </si>
  <si>
    <t>Years of Operation</t>
  </si>
  <si>
    <t>-</t>
  </si>
  <si>
    <t>Base Year Y for Discounting</t>
  </si>
  <si>
    <t>`</t>
  </si>
  <si>
    <t>Present Value</t>
  </si>
  <si>
    <t>Discounted Benefits</t>
  </si>
  <si>
    <t>Salvage Value</t>
  </si>
  <si>
    <t>Active Transportation Benefits</t>
  </si>
  <si>
    <t>Year of Operation</t>
  </si>
  <si>
    <t>2022 dollar value</t>
  </si>
  <si>
    <t>Build</t>
  </si>
  <si>
    <t>routine</t>
  </si>
  <si>
    <t>Major rehab/repair</t>
  </si>
  <si>
    <t>BUILD</t>
  </si>
  <si>
    <t xml:space="preserve"> TOTAL </t>
  </si>
  <si>
    <t>Routine Maintenance and Rehab</t>
  </si>
  <si>
    <t>SourceL  ODOT and Poe Engineers</t>
  </si>
  <si>
    <t>TOTAL</t>
  </si>
  <si>
    <t>This tab would capture any incremental increases in the value of land (site rents) due to more productive uses on the site.  It should be over and above any capitalization of base travel time savings.</t>
  </si>
  <si>
    <t>Reduced Pavement Damage</t>
  </si>
  <si>
    <t>Total</t>
  </si>
  <si>
    <t>Value of Fuel Reductions (2020$s)</t>
  </si>
  <si>
    <t>MPG No Build speed (45 mph)</t>
  </si>
  <si>
    <t>MPG Build speed (55 mph)</t>
  </si>
  <si>
    <t>average trip length of trips through the interchange</t>
  </si>
  <si>
    <t xml:space="preserve">Annual VMT through the interchange </t>
  </si>
  <si>
    <t>EV percentage</t>
  </si>
  <si>
    <t>Motor fuel powered VMT</t>
  </si>
  <si>
    <t>No Build gallons consumed @42 mpg</t>
  </si>
  <si>
    <t>Build gallons consumed * 45 mpg</t>
  </si>
  <si>
    <t>Additional No Build gallons consumed</t>
  </si>
  <si>
    <t>Value of additional fuel (adjusted for truck share)</t>
  </si>
  <si>
    <t>average motor fuel cost OK 2020 net of fuel taxes</t>
  </si>
  <si>
    <t>Fuel Economy by Speed, Model Results, May 2021</t>
  </si>
  <si>
    <t>Midsize Conventional Gasoline Car</t>
  </si>
  <si>
    <t>Midsize Conventional Diesel Car</t>
  </si>
  <si>
    <t>Midsize Hybrid Electric Car</t>
  </si>
  <si>
    <t>Speed (mph)</t>
  </si>
  <si>
    <t>Miles Per Gallon</t>
  </si>
  <si>
    <r>
      <rPr>
        <b/>
        <sz val="10"/>
        <color indexed="8"/>
        <rFont val="Arial"/>
        <family val="2"/>
      </rPr>
      <t>Source:</t>
    </r>
    <r>
      <rPr>
        <sz val="10"/>
        <color indexed="8"/>
        <rFont val="Arial"/>
        <family val="2"/>
      </rPr>
      <t xml:space="preserve"> Oak Ridge National Laboratory, Transportation Energy Data Book #39, Table 4.33. tedb.ornl.gov</t>
    </r>
  </si>
  <si>
    <r>
      <t xml:space="preserve">EV percentage assumptions: </t>
    </r>
    <r>
      <rPr>
        <sz val="10"/>
        <rFont val="Arial"/>
        <family val="2"/>
      </rPr>
      <t>https://graphics.reuters.com/AUTOS-ELECTRIC/USA/mopanyqxwva/</t>
    </r>
  </si>
  <si>
    <r>
      <rPr>
        <b/>
        <sz val="10"/>
        <rFont val="Arial"/>
        <family val="2"/>
      </rPr>
      <t>Oklahoma gas prices 2020</t>
    </r>
    <r>
      <rPr>
        <sz val="10"/>
        <rFont val="Arial"/>
        <family val="2"/>
      </rPr>
      <t>:  AAA and GasBuddy: http://www.okenergytoday.com/2020/04/oklahoma-gasoline-prices-fall-7-cents-in-a-week/#:~:text=GasBuddy%20reported%20four%20Oklahoma%20City%20places%20are%20still,Texas%2C%20%241.51%20in%20Arkansas%20and%20%241.56%20in%20Missouri.</t>
    </r>
  </si>
  <si>
    <t>Value of Supply Chain Benefits (2020$s)</t>
  </si>
  <si>
    <t>Truck VHT reductions</t>
  </si>
  <si>
    <t>Annual supply chain savings</t>
  </si>
  <si>
    <t>Inventory Costs Per Ton-Hour**</t>
  </si>
  <si>
    <t>Cost</t>
  </si>
  <si>
    <t>High-value manufacturing</t>
  </si>
  <si>
    <t>Low to modererate-value manufacturing</t>
  </si>
  <si>
    <t>Low-value bulk commodities</t>
  </si>
  <si>
    <t>Perishable agriculture</t>
  </si>
  <si>
    <t>Average (2009 dollars)</t>
  </si>
  <si>
    <t>Average (2020 dollars)</t>
  </si>
  <si>
    <t xml:space="preserve">Note: Inventory costs per ton-hour does not include direct transport costs. </t>
  </si>
  <si>
    <t>Source: NHCPR Report 732: Methodologies to Estimate the Economic Impacts of Distruptions to the Goods Movement System, 2012</t>
  </si>
  <si>
    <t>Total Bike Benefits</t>
  </si>
  <si>
    <t>Total Active Transportation</t>
  </si>
  <si>
    <t xml:space="preserve">General </t>
  </si>
  <si>
    <t>Variable</t>
  </si>
  <si>
    <t>Value</t>
  </si>
  <si>
    <t>Source</t>
  </si>
  <si>
    <t>Discount Rate</t>
  </si>
  <si>
    <t>USDOT 2023 BCA Guidance (revised)</t>
  </si>
  <si>
    <t>Discount Rate (Carbon Emissions)</t>
  </si>
  <si>
    <t>Average annualization factor</t>
  </si>
  <si>
    <t>assumption</t>
  </si>
  <si>
    <t>Occupancy - Passenger vehicles all travel</t>
  </si>
  <si>
    <t>Vehicle operating cost per mile - light duty vehicles</t>
  </si>
  <si>
    <t>Vehicle operating cost per mile - trucks</t>
  </si>
  <si>
    <t>Truck vehicle operating cost per ton mile</t>
  </si>
  <si>
    <t>calculated</t>
  </si>
  <si>
    <t>Bulk vessel carbon emissions - grams per ton kilometer</t>
  </si>
  <si>
    <t xml:space="preserve"> </t>
  </si>
  <si>
    <t>Bulk vessel carbon emissions - kilograms per ton kilometer</t>
  </si>
  <si>
    <t>Bulk vessel carbon emissions - kilogram per ton mile</t>
  </si>
  <si>
    <t>Bulk vessel carbon emissions - metric tons per ton mile</t>
  </si>
  <si>
    <t>Average truck payload (tons)</t>
  </si>
  <si>
    <t>TREDIS</t>
  </si>
  <si>
    <t>https://www.freightwaves.com/news/how-much-weight-can-a-big-rig-carry</t>
  </si>
  <si>
    <t>Average rail payload (tons, 50 hopper car train)</t>
  </si>
  <si>
    <t>Iowa DOT (below)</t>
  </si>
  <si>
    <t>Average 2 barge combo payload (tons)</t>
  </si>
  <si>
    <t>Iowa DOT below</t>
  </si>
  <si>
    <t>Train operating cost per ton mile</t>
  </si>
  <si>
    <t xml:space="preserve">freight revenue per ton mile </t>
  </si>
  <si>
    <t>https://www.bts.gov/content/average-freight-revenue-ton-mile</t>
  </si>
  <si>
    <t>Truck operating cost per ton mile</t>
  </si>
  <si>
    <t>Barge operating cost per barge ton mile</t>
  </si>
  <si>
    <t>average cost of diesel fuel (2019$s, net of fuel taxes)</t>
  </si>
  <si>
    <t>Seconds to hours conversion</t>
  </si>
  <si>
    <t>Grams to tons conversion</t>
  </si>
  <si>
    <t>Kilograms to metric tons conversion</t>
  </si>
  <si>
    <t>US tons to metric tons conversion</t>
  </si>
  <si>
    <t>Reduced Pavement Damage Cost</t>
  </si>
  <si>
    <t>Freight Rail Industry Average CO2 Emissions - grams per short tone mile</t>
  </si>
  <si>
    <t>EPA</t>
  </si>
  <si>
    <t>2022 SmartWay Online Shipper Tool: Technical Documentation - U.S. Version 1.0 (Data Year 2021) (EPA-420-B-22-046, January 2022)</t>
  </si>
  <si>
    <t>Freight Rail Industry Average CO2 Emissions - grams per ton mile</t>
  </si>
  <si>
    <t>Freight Rail Industry Average CO2 Emissions - metric tons per ton mile</t>
  </si>
  <si>
    <t>daily parking rate Hesperia Station</t>
  </si>
  <si>
    <t>daily parking rate Victor Valley Station</t>
  </si>
  <si>
    <t>average daily parking rate downtown Los Angeles</t>
  </si>
  <si>
    <t>survey of downtown parking lots, weekday 8 am to 5 pm</t>
  </si>
  <si>
    <t>average daily parking rate downtown Las Vegas</t>
  </si>
  <si>
    <t>average app based ride cost,  downtown Las Vegas</t>
  </si>
  <si>
    <t>survey of for hire rates LV</t>
  </si>
  <si>
    <t>External Highway Use Cost (congestion)/VMT (Light duty vehicles urban)</t>
  </si>
  <si>
    <t>USDOT 2023 BCA Guidance (revised) Table A-14</t>
  </si>
  <si>
    <t>Congestion Cost per VMT LA - Long Beach - Anaheim CSA Area 2019</t>
  </si>
  <si>
    <t>Texas Transportation Institute 2021 Urban Mobility Report data for LA</t>
  </si>
  <si>
    <t>Congestion Data for Your City - Mobility Division (tamu.edu)</t>
  </si>
  <si>
    <t>Value of Travel Time</t>
  </si>
  <si>
    <t>Mode</t>
  </si>
  <si>
    <t>CENSUS TRACT 1039</t>
  </si>
  <si>
    <t>CENSUS TRACT 1053</t>
  </si>
  <si>
    <t>CENSUS TRACT 1073.05</t>
  </si>
  <si>
    <t>CENSUS TRACT 1095</t>
  </si>
  <si>
    <t>CENSUS TRACT 1097</t>
  </si>
  <si>
    <t>WALKING  (AGES 20-74)</t>
  </si>
  <si>
    <t>CYCLING    (AGES 20-64)</t>
  </si>
  <si>
    <t>TOTAL WALKING POPULATION</t>
  </si>
  <si>
    <t>TOTAL CYCLING POPULATION</t>
  </si>
  <si>
    <t>NO-BUILD EXISTING COMMUTER PEDESTRIANS</t>
  </si>
  <si>
    <t>NO-BUILD EXISTING COMMUTER CYCLISTS</t>
  </si>
  <si>
    <t>BUILD RECREATIONAL WALKING RATE (NATIONAL RATES)</t>
  </si>
  <si>
    <t>BUILD RECREATIONAL CYCLING RATE (NATIONAL RATES)</t>
  </si>
  <si>
    <t/>
  </si>
  <si>
    <t>OKLAHOMA COUNTY</t>
  </si>
  <si>
    <t>CAR, TRUCK, OR VAN</t>
  </si>
  <si>
    <t>PUBLIC TRANSPORTATION (EXCLUDING TAXICAB)</t>
  </si>
  <si>
    <t>WALKED</t>
  </si>
  <si>
    <t>BICYCLE</t>
  </si>
  <si>
    <t>TAXICAB, MOTORCYCLE, OR OTHER MEANS</t>
  </si>
  <si>
    <t>WORKED FROM HOME</t>
  </si>
  <si>
    <t>Metric tons of avoided pollutants - cumulative (2026-2045)</t>
  </si>
  <si>
    <t xml:space="preserve">Residual Value assumes 50-year useful life for hard construction </t>
  </si>
  <si>
    <t>PED BRIDGE OVER OKLAHOMA RIVER</t>
  </si>
  <si>
    <t>ITEM NO.</t>
  </si>
  <si>
    <t>DESCRIPTION</t>
  </si>
  <si>
    <t>UNIT</t>
  </si>
  <si>
    <t>QUANT</t>
  </si>
  <si>
    <t>UNIT COST</t>
  </si>
  <si>
    <t>TOTAL COST</t>
  </si>
  <si>
    <t>504 (A)</t>
  </si>
  <si>
    <t>APPROACH SLAB</t>
  </si>
  <si>
    <t>SY</t>
  </si>
  <si>
    <t>504 (E)</t>
  </si>
  <si>
    <t>CONCRETE PARAPET</t>
  </si>
  <si>
    <t>LF</t>
  </si>
  <si>
    <t>506 (A)</t>
  </si>
  <si>
    <t>STRUCTURAL STEEL</t>
  </si>
  <si>
    <t>LB</t>
  </si>
  <si>
    <t>507 (A)</t>
  </si>
  <si>
    <t>STAINLESS STEEL FIXED BEARING ASSEMBLY</t>
  </si>
  <si>
    <t>EA</t>
  </si>
  <si>
    <t>507 (B)</t>
  </si>
  <si>
    <t>STAINLESS STEEL EXPANSION BEARING ASSEMBLY</t>
  </si>
  <si>
    <t>509 (A)</t>
  </si>
  <si>
    <t>CLASS AA CONCRETE</t>
  </si>
  <si>
    <t>CY</t>
  </si>
  <si>
    <t>509 (B)</t>
  </si>
  <si>
    <t>CLASS A CONCRETE</t>
  </si>
  <si>
    <t>511 (B)</t>
  </si>
  <si>
    <t>EPOXY COATED REINFORCING STEEL</t>
  </si>
  <si>
    <t>516 (A)</t>
  </si>
  <si>
    <t>DRILLED SHAFTS 72" DIAMETER</t>
  </si>
  <si>
    <t>601 (B)</t>
  </si>
  <si>
    <t>TYPE I-A PLAIN RIPRAP</t>
  </si>
  <si>
    <t>TON</t>
  </si>
  <si>
    <t>CONSTRUCTION TOTAL</t>
  </si>
  <si>
    <t>10% CONTINGENCY</t>
  </si>
  <si>
    <t>BRIDGE TOTAL</t>
  </si>
  <si>
    <t>510(D)</t>
  </si>
  <si>
    <t>MSE RETAINING WALL (NORTH BANK)</t>
  </si>
  <si>
    <t>MULTIMODAL TRAIL (NORTH BANK)</t>
  </si>
  <si>
    <t>MULTIMODAL RAMP (NORTH BANK)</t>
  </si>
  <si>
    <t>MULTIMODAL TRAIL (SOUTH BANK)</t>
  </si>
  <si>
    <t>MULTIMODAL RAMP (SOUTH BANK)</t>
  </si>
  <si>
    <t>MULTIMODAL TRAIL (SOUTH BANK OKANA EXTENSION)</t>
  </si>
  <si>
    <t>504(F)</t>
  </si>
  <si>
    <t>HANDRAILING</t>
  </si>
  <si>
    <t>30% CONTINGENCY</t>
  </si>
  <si>
    <t>TRAIL TOTAL</t>
  </si>
  <si>
    <t>BRIDGE &amp; TRAIL TOTAL</t>
  </si>
  <si>
    <t>preconstruction</t>
  </si>
  <si>
    <t>Summary Metrics</t>
  </si>
  <si>
    <t>Discounted Costs - Build</t>
  </si>
  <si>
    <t>Capital Costs</t>
  </si>
  <si>
    <t>Maintenance Costs</t>
  </si>
  <si>
    <t>USDOT 2024 BCA Guidance (revised)</t>
  </si>
  <si>
    <t>Multimodal Bridge</t>
  </si>
  <si>
    <t>Existing Trail Improvements</t>
  </si>
  <si>
    <t>Build Capital Costs (Undiscounted, $2022)</t>
  </si>
  <si>
    <t xml:space="preserve">Total Discounted Benefits </t>
  </si>
  <si>
    <t>Benefit Cost Ratio</t>
  </si>
  <si>
    <t xml:space="preserve">Net Present Value </t>
  </si>
  <si>
    <t>TOTAL CAPITAL COST (undiscounted 2022 $s)</t>
  </si>
  <si>
    <t>Discount Factor (3.1%)</t>
  </si>
  <si>
    <t>Discount Factor(2.0%)</t>
  </si>
  <si>
    <t xml:space="preserve">I-35 Multimodal Bridge RAISE Grant BCA </t>
  </si>
  <si>
    <t>Discounted Summary Results (2022 $s)</t>
  </si>
  <si>
    <r>
      <t>Description</t>
    </r>
    <r>
      <rPr>
        <sz val="12"/>
        <color rgb="FFFFFFFF"/>
        <rFont val="Calibri"/>
        <family val="2"/>
      </rPr>
      <t> </t>
    </r>
  </si>
  <si>
    <t>Approach Slab </t>
  </si>
  <si>
    <t>Concrete Parapet </t>
  </si>
  <si>
    <t>Structural Steel </t>
  </si>
  <si>
    <t>Stainless Steel Fixed Bearing Assembly </t>
  </si>
  <si>
    <t>Stainless Steel Expansion Bearing Assembly </t>
  </si>
  <si>
    <t>Class AA Concrete </t>
  </si>
  <si>
    <t>Class A Concrete </t>
  </si>
  <si>
    <t>Epoxy Coated Reinforcing Steel </t>
  </si>
  <si>
    <t>Drilled Shafts </t>
  </si>
  <si>
    <t>Type 1-A Plain Riprap </t>
  </si>
  <si>
    <t>MSE Retaining Wall (North Bank) </t>
  </si>
  <si>
    <t>Multimodal Trail (North Bank) </t>
  </si>
  <si>
    <t>Multimodal Ramp (North Bank) </t>
  </si>
  <si>
    <t>Multimodal Trail (South Bank) </t>
  </si>
  <si>
    <t>Multimodal Ramp (South Bank) </t>
  </si>
  <si>
    <t>Multimodal Ramp (South Bank OKANA Extension) </t>
  </si>
  <si>
    <t>Handrailing </t>
  </si>
  <si>
    <t>Construction Total </t>
  </si>
  <si>
    <t>30% Contingency </t>
  </si>
  <si>
    <t>Bridge Aesthetics </t>
  </si>
  <si>
    <r>
      <t>Multimodal Bridge Total</t>
    </r>
    <r>
      <rPr>
        <sz val="12"/>
        <color rgb="FF000000"/>
        <rFont val="Calibri"/>
        <family val="2"/>
      </rPr>
      <t> </t>
    </r>
  </si>
  <si>
    <t>Q4 2023 dollars</t>
  </si>
  <si>
    <t>Hourly Value of Time ($2022)</t>
  </si>
  <si>
    <t>USDOT 2024 BCA Guidance</t>
  </si>
  <si>
    <t xml:space="preserve">BCA Look Up Table </t>
  </si>
  <si>
    <t>GDP Price Deflator Adjustment Factor (2022-2023)</t>
  </si>
  <si>
    <t>https://fred.stlouisfed.org/series/GDPDEF/</t>
  </si>
  <si>
    <t>GDP Price Deflator Adjustment Factors</t>
  </si>
  <si>
    <t>GDP Price Deflator Adjustment Factor (2022-2024)</t>
  </si>
  <si>
    <t>varies by year</t>
  </si>
  <si>
    <t>Value of Bike and Ped Benefits  (undiscounted 2022 $s)</t>
  </si>
  <si>
    <t xml:space="preserve">Routine Maintenance </t>
  </si>
  <si>
    <t>Maintenance Costs (undiscounted 2022 $s)</t>
  </si>
  <si>
    <t>Existing Bike Commuter Travel Time Savings</t>
  </si>
  <si>
    <t>Walking, Cycling, Waiting, Standing, and Transfer Time</t>
  </si>
  <si>
    <t>Total Discouted Costs</t>
  </si>
  <si>
    <t>Table A-8: Pedestrian Facility Improvements Revealed Preference Values</t>
  </si>
  <si>
    <t>Improvement Type</t>
  </si>
  <si>
    <r>
      <t>Recommended Value per Person-Mile Walked (2022 $)</t>
    </r>
    <r>
      <rPr>
        <vertAlign val="superscript"/>
        <sz val="11"/>
        <color theme="0"/>
        <rFont val="Times New Roman"/>
        <family val="1"/>
      </rPr>
      <t>1</t>
    </r>
  </si>
  <si>
    <r>
      <t>Expand Sidewalk (per foot of added width)</t>
    </r>
    <r>
      <rPr>
        <vertAlign val="superscript"/>
        <sz val="11"/>
        <color rgb="FF1F497D"/>
        <rFont val="Times New Roman"/>
        <family val="1"/>
      </rPr>
      <t>2</t>
    </r>
  </si>
  <si>
    <t>Reducing Upslope by 1%</t>
  </si>
  <si>
    <t>Reducing Traffic Speed by 1 mph (for speeds ≤45 mph)</t>
  </si>
  <si>
    <t>Reducing Traffic Volume by 1 Vehicle per Hour (for ADT &lt;55,000)</t>
  </si>
  <si>
    <t>Table A-9: Cycling Facility Improvement Revealed Preference Values</t>
  </si>
  <si>
    <t>Facility Type</t>
  </si>
  <si>
    <r>
      <t>Recommended Value per Cycling Mile (2022 $)</t>
    </r>
    <r>
      <rPr>
        <vertAlign val="superscript"/>
        <sz val="11"/>
        <color theme="0"/>
        <rFont val="Times New Roman"/>
        <family val="1"/>
      </rPr>
      <t>1</t>
    </r>
  </si>
  <si>
    <t>Cycling Path with At-Grade Crossings</t>
  </si>
  <si>
    <r>
      <t>Cycling Path with no At-Grade Crossings</t>
    </r>
    <r>
      <rPr>
        <vertAlign val="superscript"/>
        <sz val="11"/>
        <color rgb="FF1F497D"/>
        <rFont val="Times New Roman"/>
        <family val="1"/>
      </rPr>
      <t>2</t>
    </r>
  </si>
  <si>
    <t>Dedicated Cycling Lane</t>
  </si>
  <si>
    <t>Cycling Boulevard/“Sharrow”</t>
  </si>
  <si>
    <t>Separated Cycle Track</t>
  </si>
  <si>
    <t>1) Values should only be applied over sections for which a comparable parallel facility is not available, and only applies to miles cycled on the project facility. These values assume an average cycling trip speed of 9.8 miles per hour or, in the case of off-street paths with no at-grade crossings, a free-flow cycling speed of 12.1 miles per hour. The estimated value per cyclist should be capped at 2.38 miles, the average length of a cycling trip in the 2017 National Household Travel Survey, unless the applicant has specific documentation suggesting longer trips or that a trip shorter than 2.38 miles is not feasible on the facility in question. In other words, applicants should not assume all cyclists travel the full distance of a proposed facility if the facility is longer than 2.38 miles without a clear justification for doing so.</t>
  </si>
  <si>
    <t>2) The value for a cycling path with no at-grade intersections is higher due to an assumption of higher average speed of 12.1 miles per hour, resulting in less time on the facility, which lowers journey quality benefits but increases travel time savings.</t>
  </si>
  <si>
    <t>Table A-13: Mortality Reduction Benefits of Induced Active Transportation Values</t>
  </si>
  <si>
    <r>
      <t>Applicable Age Range</t>
    </r>
    <r>
      <rPr>
        <vertAlign val="superscript"/>
        <sz val="11"/>
        <color theme="0"/>
        <rFont val="Calibri"/>
        <family val="2"/>
        <scheme val="minor"/>
      </rPr>
      <t>3</t>
    </r>
  </si>
  <si>
    <r>
      <t>Recommended Value per Induced Trip (2022 $)</t>
    </r>
    <r>
      <rPr>
        <vertAlign val="superscript"/>
        <sz val="11"/>
        <color theme="0"/>
        <rFont val="Calibri"/>
        <family val="2"/>
        <scheme val="minor"/>
      </rPr>
      <t>4</t>
    </r>
  </si>
  <si>
    <r>
      <t>Walking</t>
    </r>
    <r>
      <rPr>
        <vertAlign val="superscript"/>
        <sz val="11"/>
        <color theme="1"/>
        <rFont val="Calibri"/>
        <family val="2"/>
        <scheme val="minor"/>
      </rPr>
      <t>1</t>
    </r>
  </si>
  <si>
    <t>Ages 20-74</t>
  </si>
  <si>
    <r>
      <t>Cycling</t>
    </r>
    <r>
      <rPr>
        <vertAlign val="superscript"/>
        <sz val="11"/>
        <color theme="1"/>
        <rFont val="Calibri"/>
        <family val="2"/>
        <scheme val="minor"/>
      </rPr>
      <t>2</t>
    </r>
  </si>
  <si>
    <t>Ages 20-64</t>
  </si>
  <si>
    <t xml:space="preserve">1)   Based on an assumed average walking speed of 3.2 miles per hour, an assumed average age of the relevant age range (20-74 years) of 45, a corresponding baseline mortality risk of 267.1 per 100,000, an annual risk reduction of 8.6 percent per daily mile walked, and an average walking trip distance of 0.86 miles. </t>
  </si>
  <si>
    <t>2)   Based on an assumed average cycling speed of 9.8 miles per hour, an assumed average age of the relevant age range (20-64 years) of 42, a corresponding baseline mortality risk of 217.9 per 100,000, an annual risk reduction of 4.3 percent per daily mile cycled, and an average cycling trip distance of 2.38 miles.</t>
  </si>
  <si>
    <t>3)   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t>
  </si>
  <si>
    <t xml:space="preserve">4)   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t>
  </si>
  <si>
    <t xml:space="preserve">POTENTIAL WALK AND BIKE MARKET </t>
  </si>
  <si>
    <t>TOTAL POTENTIAL WALKING MARKET</t>
  </si>
  <si>
    <t>TOTAL POTENTIAL CYCLING MARKET</t>
  </si>
  <si>
    <t>NO-BUILD WALKING COMMUTE RATE (CENSUS TRACT RATES)</t>
  </si>
  <si>
    <t>Existing Pedestrian Commuter Travel Time Savings</t>
  </si>
  <si>
    <t>Induced Recreational Bike User Benefits - Induced Trips</t>
  </si>
  <si>
    <t>Induced Recreational Ped User Benefits -Induced Trips</t>
  </si>
  <si>
    <t>Total Ped Benefits</t>
  </si>
  <si>
    <t>Bike</t>
  </si>
  <si>
    <t>Ped</t>
  </si>
  <si>
    <t>NO-BUILD EXISTING COMMUTER PEDESTRIAN TRIPS</t>
  </si>
  <si>
    <t>NO-BUILD EXISTING COMMUTER CYCLISTS TRIPS</t>
  </si>
  <si>
    <t>ANNUAL INDUCED RECREATIONAL PEDESTRIAN  TRIPS PER YEAR (ONE INDUCED REC TRIP PER MONTH)</t>
  </si>
  <si>
    <t>ANNUAL INDUCED RECREATIONAL CYCLIST TRIPS PER YEAR (ONE INDUCED REC TRIP PER MONTH)</t>
  </si>
  <si>
    <t>ANNUAL TRIPS (52 WEEKS * 5 ROUND TRIPS *25% VIA BRIDGE FOR PED; 50% VIA BRIDGE FOR BIKE)</t>
  </si>
  <si>
    <t>Oklahoma County rates</t>
  </si>
  <si>
    <t>tract specific rates</t>
  </si>
  <si>
    <t>4th quarter 2023 dollars</t>
  </si>
  <si>
    <t>Total Cost (Q4 2023 $s</t>
  </si>
  <si>
    <t>Total Cost 2022 $s</t>
  </si>
  <si>
    <t>NO-BUILD CYCLING COMMUTE RATE   (REGIONAL RATES)</t>
  </si>
  <si>
    <t>EXISTING ACTIVE TRANSPORTATION COMMUTER MARKET</t>
  </si>
  <si>
    <t>ESTIMATED INDUCED RECREATIONAL TRIPS</t>
  </si>
  <si>
    <t>Source.</t>
  </si>
  <si>
    <t>https://www.statista.com/forecasts/227415/number-of-cyclists-and-bike-riders-usa</t>
  </si>
  <si>
    <t>https://www.statista.com/statistics/191984/participants-in-walking-for-fitness-in-the-us-since-2006/</t>
  </si>
  <si>
    <t>Option Value for House Price Appreciation</t>
  </si>
  <si>
    <t>option value calculation</t>
  </si>
  <si>
    <t>estimated homes</t>
  </si>
  <si>
    <t>one time property value increase at $5000 per house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</si>
</sst>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2">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000_);\(#,##0.0000\);&quot;-  &quot;;&quot; &quot;@"/>
    <numFmt numFmtId="165" formatCode="#,##0.00_);\(#,##0.00\);&quot;-  &quot;;&quot; &quot;@"/>
    <numFmt numFmtId="166" formatCode="0.000"/>
    <numFmt numFmtId="167" formatCode="0.0"/>
    <numFmt numFmtId="168" formatCode="_(* #,##0_);_(* \(#,##0\);_(* &quot;-&quot;??_);_(@_)"/>
    <numFmt numFmtId="169" formatCode="0.0%"/>
    <numFmt numFmtId="170" formatCode="&quot;$&quot;#,##0.0"/>
    <numFmt numFmtId="171" formatCode="&quot;$&quot;#,##0"/>
    <numFmt numFmtId="172" formatCode="0.0000"/>
    <numFmt numFmtId="173" formatCode="0.000000"/>
    <numFmt numFmtId="174" formatCode="_(&quot;$&quot;* #,##0_);_(&quot;$&quot;* \(#,##0\);_(&quot;$&quot;* &quot;-&quot;??_);_(@_)"/>
    <numFmt numFmtId="175" formatCode="_(&quot;$&quot;* #,##0.000_);_(&quot;$&quot;* \(#,##0.000\);_(&quot;$&quot;* &quot;-&quot;??_);_(@_)"/>
    <numFmt numFmtId="176" formatCode="&quot;$&quot;#,##0.00"/>
    <numFmt numFmtId="177" formatCode="0.00000"/>
    <numFmt numFmtId="178" formatCode="#,##0.000"/>
    <numFmt numFmtId="179" formatCode="0.0000000"/>
    <numFmt numFmtId="180" formatCode="&quot;$&quot;#,##0.0000"/>
  </numFmts>
  <fonts count="51"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sz val="10"/>
      <name val="Arial"/>
      <family val="2"/>
    </font>
    <font>
      <b/>
      <sz val="14"/>
      <color theme="1"/>
      <name val="Calibri"/>
      <family val="2"/>
      <scheme val="minor"/>
    </font>
    <font>
      <b/>
      <sz val="11"/>
      <color rgb="FF000000"/>
      <name val="Calibri"/>
      <family val="2"/>
      <scheme val="minor"/>
    </font>
    <font>
      <sz val="11"/>
      <color rgb="FF000000"/>
      <name val="Calibri"/>
      <family val="2"/>
      <scheme val="minor"/>
    </font>
    <font>
      <sz val="11"/>
      <color indexed="8"/>
      <name val="Calibri"/>
      <family val="2"/>
      <scheme val="minor"/>
    </font>
    <font>
      <sz val="11"/>
      <name val="Calibri"/>
      <family val="2"/>
      <scheme val="minor"/>
    </font>
    <font>
      <b/>
      <sz val="10"/>
      <name val="Arial"/>
      <family val="2"/>
    </font>
    <font>
      <sz val="12"/>
      <color theme="1"/>
      <name val="Calibri"/>
      <family val="2"/>
      <scheme val="minor"/>
    </font>
    <font>
      <b/>
      <sz val="11"/>
      <name val="Calibri"/>
      <family val="2"/>
      <scheme val="minor"/>
    </font>
    <font>
      <sz val="11"/>
      <color rgb="FFFF0000"/>
      <name val="Calibri"/>
      <family val="2"/>
      <scheme val="minor"/>
    </font>
    <font>
      <sz val="11"/>
      <color rgb="FF000000"/>
      <name val="Calibri"/>
      <family val="2"/>
    </font>
    <font>
      <b/>
      <sz val="11"/>
      <color rgb="FFFFFFFF"/>
      <name val="Calibri"/>
      <family val="2"/>
    </font>
    <font>
      <sz val="11"/>
      <color rgb="FFFFFFFF"/>
      <name val="Arial Black"/>
      <family val="2"/>
    </font>
    <font>
      <b/>
      <sz val="11"/>
      <color rgb="FFFFFFFF"/>
      <name val="Arial Black"/>
      <family val="2"/>
    </font>
    <font>
      <sz val="11"/>
      <color theme="1"/>
      <name val="Calibri"/>
      <family val="2"/>
    </font>
    <font>
      <b/>
      <sz val="12"/>
      <color rgb="FF000000"/>
      <name val="Calibri"/>
      <family val="2"/>
    </font>
    <font>
      <u/>
      <sz val="11"/>
      <color theme="1"/>
      <name val="Calibri"/>
      <family val="2"/>
      <scheme val="minor"/>
    </font>
    <font>
      <sz val="10"/>
      <color theme="1"/>
      <name val="Arial"/>
      <family val="2"/>
    </font>
    <font>
      <b/>
      <sz val="10"/>
      <color theme="1"/>
      <name val="Arial"/>
      <family val="2"/>
    </font>
    <font>
      <sz val="10"/>
      <color indexed="8"/>
      <name val="Arial"/>
      <family val="2"/>
    </font>
    <font>
      <b/>
      <sz val="10"/>
      <color indexed="8"/>
      <name val="Arial"/>
      <family val="2"/>
    </font>
    <font>
      <b/>
      <sz val="16"/>
      <color theme="1"/>
      <name val="Calibri"/>
      <family val="2"/>
      <scheme val="minor"/>
    </font>
    <font>
      <b/>
      <u/>
      <sz val="14"/>
      <color theme="1"/>
      <name val="Calibri"/>
      <family val="2"/>
      <scheme val="minor"/>
    </font>
    <font>
      <sz val="11"/>
      <color rgb="FFFFC000"/>
      <name val="Calibri"/>
      <family val="2"/>
      <scheme val="minor"/>
    </font>
    <font>
      <b/>
      <sz val="26"/>
      <color theme="1"/>
      <name val="Calibri"/>
      <family val="2"/>
      <scheme val="minor"/>
    </font>
    <font>
      <b/>
      <sz val="11"/>
      <name val="Calibri"/>
      <family val="2"/>
    </font>
    <font>
      <sz val="9"/>
      <color theme="1"/>
      <name val="Calibri"/>
      <family val="2"/>
      <scheme val="minor"/>
    </font>
    <font>
      <b/>
      <sz val="11"/>
      <color theme="1"/>
      <name val="Arial"/>
      <family val="2"/>
    </font>
    <font>
      <b/>
      <sz val="8"/>
      <color theme="1"/>
      <name val="Arial"/>
      <family val="2"/>
    </font>
    <font>
      <sz val="8"/>
      <color rgb="FF000000"/>
      <name val="Arial"/>
      <family val="2"/>
    </font>
    <font>
      <sz val="8"/>
      <color theme="1"/>
      <name val="Arial"/>
      <family val="2"/>
    </font>
    <font>
      <b/>
      <sz val="8"/>
      <color rgb="FF000000"/>
      <name val="Arial"/>
      <family val="2"/>
    </font>
    <font>
      <b/>
      <sz val="12"/>
      <color rgb="FFFFFFFF"/>
      <name val="Calibri"/>
      <family val="2"/>
    </font>
    <font>
      <sz val="12"/>
      <color rgb="FFFFFFFF"/>
      <name val="Calibri"/>
      <family val="2"/>
    </font>
    <font>
      <sz val="12"/>
      <color rgb="FF000000"/>
      <name val="Calibri"/>
      <family val="2"/>
    </font>
    <font>
      <b/>
      <i/>
      <sz val="11"/>
      <color theme="8" tint="-0.249977111117893"/>
      <name val="Times New Roman"/>
      <family val="1"/>
    </font>
    <font>
      <sz val="11"/>
      <color theme="1"/>
      <name val="Times New Roman"/>
      <family val="1"/>
    </font>
    <font>
      <sz val="11"/>
      <color rgb="FF1F497D"/>
      <name val="Times New Roman"/>
      <family val="1"/>
    </font>
    <font>
      <vertAlign val="superscript"/>
      <sz val="11"/>
      <color rgb="FF1F497D"/>
      <name val="Times New Roman"/>
      <family val="1"/>
    </font>
    <font>
      <sz val="11"/>
      <color theme="0"/>
      <name val="Times New Roman"/>
      <family val="1"/>
    </font>
    <font>
      <vertAlign val="superscript"/>
      <sz val="11"/>
      <color theme="0"/>
      <name val="Times New Roman"/>
      <family val="1"/>
    </font>
    <font>
      <vertAlign val="superscript"/>
      <sz val="11"/>
      <color theme="0"/>
      <name val="Calibri"/>
      <family val="2"/>
      <scheme val="minor"/>
    </font>
    <font>
      <vertAlign val="superscript"/>
      <sz val="11"/>
      <color theme="1"/>
      <name val="Calibri"/>
      <family val="2"/>
      <scheme val="minor"/>
    </font>
    <font>
      <b/>
      <sz val="16"/>
      <color rgb="FF000000"/>
      <name val="Calibri"/>
      <family val="2"/>
      <scheme val="minor"/>
    </font>
    <font>
      <b/>
      <sz val="14"/>
      <name val="Calibri"/>
      <family val="2"/>
      <scheme val="minor"/>
    </font>
    <font>
      <b/>
      <sz val="11"/>
      <color theme="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2F75B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bgColor indexed="64"/>
      </patternFill>
    </fill>
  </fills>
  <borders count="44">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64"/>
      </top>
      <bottom/>
      <diagonal/>
    </border>
    <border>
      <left style="thin">
        <color auto="1"/>
      </left>
      <right/>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style="thin">
        <color auto="1"/>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4" fillId="0" borderId="0" applyNumberForma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 fillId="0" borderId="0"/>
  </cellStyleXfs>
  <cellXfs count="368">
    <xf numFmtId="0" fontId="0" fillId="0" borderId="0" xfId="0"/>
    <xf numFmtId="0" fontId="0" fillId="0" borderId="0" xfId="0" applyAlignment="1">
      <alignment horizontal="right"/>
    </xf>
    <xf numFmtId="2" fontId="0" fillId="0" borderId="0" xfId="0" applyNumberFormat="1"/>
    <xf numFmtId="166" fontId="0" fillId="0" borderId="0" xfId="0" applyNumberFormat="1"/>
    <xf numFmtId="0" fontId="6" fillId="0" borderId="0" xfId="0" applyFont="1"/>
    <xf numFmtId="44" fontId="0" fillId="0" borderId="0" xfId="0" applyNumberFormat="1"/>
    <xf numFmtId="168" fontId="0" fillId="0" borderId="0" xfId="1" applyNumberFormat="1" applyFont="1"/>
    <xf numFmtId="168" fontId="0" fillId="0" borderId="0" xfId="0" applyNumberFormat="1"/>
    <xf numFmtId="44" fontId="0" fillId="0" borderId="0" xfId="4" applyFont="1" applyFill="1"/>
    <xf numFmtId="44" fontId="0" fillId="0" borderId="0" xfId="4" applyFont="1" applyFill="1" applyBorder="1"/>
    <xf numFmtId="168" fontId="0" fillId="0" borderId="0" xfId="1" applyNumberFormat="1" applyFont="1" applyBorder="1"/>
    <xf numFmtId="165" fontId="0" fillId="0" borderId="0" xfId="3" applyNumberFormat="1" applyFont="1" applyBorder="1"/>
    <xf numFmtId="0" fontId="2" fillId="0" borderId="0" xfId="0" applyFont="1"/>
    <xf numFmtId="0" fontId="3" fillId="0" borderId="0" xfId="0" applyFont="1"/>
    <xf numFmtId="1" fontId="0" fillId="0" borderId="0" xfId="0" applyNumberFormat="1"/>
    <xf numFmtId="44" fontId="1" fillId="0" borderId="0" xfId="4" applyFont="1" applyFill="1" applyBorder="1" applyAlignment="1">
      <alignment horizontal="right"/>
    </xf>
    <xf numFmtId="170" fontId="0" fillId="0" borderId="0" xfId="4" applyNumberFormat="1" applyFont="1" applyFill="1" applyBorder="1"/>
    <xf numFmtId="5" fontId="0" fillId="0" borderId="0" xfId="0" applyNumberFormat="1"/>
    <xf numFmtId="0" fontId="4" fillId="0" borderId="0" xfId="2"/>
    <xf numFmtId="0" fontId="0" fillId="0" borderId="0" xfId="0" applyAlignment="1">
      <alignment vertical="top"/>
    </xf>
    <xf numFmtId="0" fontId="0" fillId="0" borderId="0" xfId="0" applyAlignment="1">
      <alignment wrapText="1"/>
    </xf>
    <xf numFmtId="0" fontId="0" fillId="0" borderId="3" xfId="0" applyBorder="1"/>
    <xf numFmtId="0" fontId="0" fillId="0" borderId="4" xfId="0" applyBorder="1"/>
    <xf numFmtId="0" fontId="0" fillId="2" borderId="0" xfId="0" applyFill="1"/>
    <xf numFmtId="174" fontId="0" fillId="0" borderId="0" xfId="4" applyNumberFormat="1" applyFont="1"/>
    <xf numFmtId="171" fontId="0" fillId="0" borderId="0" xfId="4" applyNumberFormat="1" applyFont="1" applyFill="1" applyBorder="1"/>
    <xf numFmtId="171" fontId="0" fillId="0" borderId="0" xfId="4" applyNumberFormat="1" applyFont="1" applyFill="1" applyBorder="1" applyAlignment="1">
      <alignment horizontal="right"/>
    </xf>
    <xf numFmtId="171" fontId="2" fillId="0" borderId="0" xfId="4" applyNumberFormat="1" applyFont="1" applyFill="1" applyBorder="1" applyAlignment="1">
      <alignment horizontal="right"/>
    </xf>
    <xf numFmtId="171" fontId="0" fillId="0" borderId="0" xfId="0" applyNumberFormat="1" applyAlignment="1">
      <alignment horizontal="right"/>
    </xf>
    <xf numFmtId="0" fontId="3" fillId="0" borderId="0" xfId="0" applyFont="1" applyAlignment="1">
      <alignment horizontal="center"/>
    </xf>
    <xf numFmtId="0" fontId="0" fillId="0" borderId="1" xfId="0" applyBorder="1"/>
    <xf numFmtId="0" fontId="0" fillId="0" borderId="0" xfId="0" applyAlignment="1">
      <alignment horizontal="left" wrapText="1"/>
    </xf>
    <xf numFmtId="0" fontId="0" fillId="0" borderId="0" xfId="0" applyAlignment="1">
      <alignment horizontal="left"/>
    </xf>
    <xf numFmtId="0" fontId="0" fillId="0" borderId="6" xfId="0" applyBorder="1"/>
    <xf numFmtId="0" fontId="0" fillId="0" borderId="2" xfId="0" applyBorder="1"/>
    <xf numFmtId="0" fontId="0" fillId="0" borderId="5" xfId="0" applyBorder="1"/>
    <xf numFmtId="0" fontId="0" fillId="0" borderId="7" xfId="0" applyBorder="1"/>
    <xf numFmtId="0" fontId="0" fillId="0" borderId="8" xfId="0" applyBorder="1"/>
    <xf numFmtId="169" fontId="0" fillId="0" borderId="0" xfId="5" applyNumberFormat="1" applyFont="1"/>
    <xf numFmtId="175" fontId="0" fillId="0" borderId="0" xfId="4" applyNumberFormat="1" applyFont="1" applyFill="1"/>
    <xf numFmtId="0" fontId="0" fillId="0" borderId="0" xfId="0" applyAlignment="1">
      <alignment horizontal="center"/>
    </xf>
    <xf numFmtId="0" fontId="3" fillId="0" borderId="0" xfId="0" applyFont="1" applyAlignment="1">
      <alignment horizontal="left"/>
    </xf>
    <xf numFmtId="176" fontId="3" fillId="0" borderId="0" xfId="0" applyNumberFormat="1" applyFont="1"/>
    <xf numFmtId="171" fontId="0" fillId="0" borderId="0" xfId="4" applyNumberFormat="1" applyFont="1" applyFill="1"/>
    <xf numFmtId="170" fontId="2" fillId="0" borderId="0" xfId="4" applyNumberFormat="1" applyFont="1" applyFill="1" applyBorder="1"/>
    <xf numFmtId="165" fontId="0" fillId="0" borderId="5" xfId="3" applyNumberFormat="1" applyFont="1" applyBorder="1"/>
    <xf numFmtId="6" fontId="0" fillId="0" borderId="0" xfId="0" applyNumberFormat="1"/>
    <xf numFmtId="169" fontId="0" fillId="0" borderId="0" xfId="5" applyNumberFormat="1" applyFont="1" applyFill="1" applyBorder="1" applyAlignment="1">
      <alignment horizontal="right"/>
    </xf>
    <xf numFmtId="0" fontId="6" fillId="0" borderId="0" xfId="0" applyFont="1" applyAlignment="1">
      <alignment vertical="top"/>
    </xf>
    <xf numFmtId="171" fontId="0" fillId="0" borderId="0" xfId="0" applyNumberFormat="1"/>
    <xf numFmtId="0" fontId="2" fillId="0" borderId="0" xfId="0" applyFont="1" applyAlignment="1">
      <alignment horizontal="left"/>
    </xf>
    <xf numFmtId="169" fontId="0" fillId="0" borderId="0" xfId="0" applyNumberFormat="1"/>
    <xf numFmtId="176" fontId="2" fillId="0" borderId="0" xfId="0" applyNumberFormat="1" applyFont="1"/>
    <xf numFmtId="176" fontId="0" fillId="0" borderId="0" xfId="0" applyNumberFormat="1" applyAlignment="1">
      <alignment horizontal="right"/>
    </xf>
    <xf numFmtId="176" fontId="2" fillId="0" borderId="0" xfId="0" applyNumberFormat="1" applyFont="1" applyAlignment="1">
      <alignment horizontal="center" wrapText="1"/>
    </xf>
    <xf numFmtId="176" fontId="0" fillId="0" borderId="0" xfId="0" applyNumberFormat="1"/>
    <xf numFmtId="0" fontId="12" fillId="0" borderId="0" xfId="0" applyFont="1"/>
    <xf numFmtId="0" fontId="2" fillId="0" borderId="0" xfId="0" applyFont="1" applyAlignment="1">
      <alignment horizontal="right"/>
    </xf>
    <xf numFmtId="0" fontId="0" fillId="0" borderId="0" xfId="0" applyAlignment="1">
      <alignment horizontal="left" indent="2"/>
    </xf>
    <xf numFmtId="0" fontId="14" fillId="0" borderId="0" xfId="0" applyFont="1"/>
    <xf numFmtId="2" fontId="2" fillId="0" borderId="0" xfId="0" applyNumberFormat="1" applyFont="1"/>
    <xf numFmtId="171" fontId="0" fillId="0" borderId="0" xfId="4" applyNumberFormat="1" applyFont="1"/>
    <xf numFmtId="165" fontId="0" fillId="0" borderId="0" xfId="3" applyNumberFormat="1" applyFont="1"/>
    <xf numFmtId="0" fontId="0" fillId="0" borderId="0" xfId="0" applyAlignment="1">
      <alignment horizontal="right" wrapText="1"/>
    </xf>
    <xf numFmtId="172" fontId="0" fillId="0" borderId="0" xfId="0" applyNumberFormat="1"/>
    <xf numFmtId="0" fontId="17" fillId="5" borderId="10" xfId="0" applyFont="1" applyFill="1" applyBorder="1" applyAlignment="1">
      <alignment horizontal="center" vertical="center"/>
    </xf>
    <xf numFmtId="0" fontId="16" fillId="4" borderId="5" xfId="0" applyFont="1" applyFill="1" applyBorder="1" applyAlignment="1">
      <alignment horizontal="center" vertical="center" wrapText="1"/>
    </xf>
    <xf numFmtId="0" fontId="16" fillId="4" borderId="5" xfId="0" applyFont="1" applyFill="1" applyBorder="1" applyAlignment="1">
      <alignment horizontal="center" vertical="center"/>
    </xf>
    <xf numFmtId="0" fontId="16" fillId="5" borderId="5" xfId="0" applyFont="1" applyFill="1" applyBorder="1" applyAlignment="1">
      <alignment horizontal="center" vertical="center"/>
    </xf>
    <xf numFmtId="171" fontId="15" fillId="0" borderId="14" xfId="0" applyNumberFormat="1" applyFont="1" applyBorder="1" applyAlignment="1">
      <alignment horizontal="center" vertical="center"/>
    </xf>
    <xf numFmtId="171" fontId="19" fillId="0" borderId="14" xfId="0" applyNumberFormat="1" applyFont="1" applyBorder="1" applyAlignment="1">
      <alignment horizontal="center" vertical="center"/>
    </xf>
    <xf numFmtId="171" fontId="15" fillId="0" borderId="14" xfId="1" applyNumberFormat="1" applyFont="1" applyBorder="1" applyAlignment="1">
      <alignment horizontal="center" vertical="center"/>
    </xf>
    <xf numFmtId="171" fontId="20" fillId="0" borderId="14" xfId="0" applyNumberFormat="1" applyFont="1" applyBorder="1" applyAlignment="1">
      <alignment vertical="center"/>
    </xf>
    <xf numFmtId="0" fontId="2" fillId="3" borderId="14" xfId="0" applyFont="1" applyFill="1" applyBorder="1" applyAlignment="1">
      <alignment vertical="center" wrapText="1"/>
    </xf>
    <xf numFmtId="0" fontId="0" fillId="3" borderId="0" xfId="0" applyFill="1"/>
    <xf numFmtId="0" fontId="0" fillId="3" borderId="14" xfId="0" applyFill="1" applyBorder="1" applyAlignment="1">
      <alignment vertical="center" wrapText="1"/>
    </xf>
    <xf numFmtId="176" fontId="0" fillId="3" borderId="14" xfId="0" applyNumberFormat="1" applyFill="1" applyBorder="1"/>
    <xf numFmtId="0" fontId="2" fillId="3" borderId="14" xfId="0" applyFont="1" applyFill="1" applyBorder="1" applyAlignment="1">
      <alignment horizontal="center" vertical="center"/>
    </xf>
    <xf numFmtId="2" fontId="0" fillId="0" borderId="0" xfId="0" applyNumberFormat="1" applyAlignment="1">
      <alignment horizontal="right"/>
    </xf>
    <xf numFmtId="174" fontId="0" fillId="0" borderId="0" xfId="4" applyNumberFormat="1" applyFont="1" applyFill="1" applyBorder="1" applyAlignment="1">
      <alignment horizontal="right"/>
    </xf>
    <xf numFmtId="0" fontId="0" fillId="3" borderId="0" xfId="0" applyFill="1" applyAlignment="1">
      <alignment vertical="top"/>
    </xf>
    <xf numFmtId="3" fontId="0" fillId="0" borderId="0" xfId="0" applyNumberFormat="1"/>
    <xf numFmtId="178" fontId="0" fillId="0" borderId="0" xfId="0" applyNumberFormat="1"/>
    <xf numFmtId="168" fontId="0" fillId="0" borderId="0" xfId="1" applyNumberFormat="1" applyFont="1" applyAlignment="1">
      <alignment horizontal="right"/>
    </xf>
    <xf numFmtId="0" fontId="9" fillId="0" borderId="19" xfId="6" applyBorder="1"/>
    <xf numFmtId="0" fontId="22" fillId="0" borderId="22" xfId="6" applyFont="1" applyBorder="1" applyAlignment="1">
      <alignment horizontal="center" wrapText="1"/>
    </xf>
    <xf numFmtId="0" fontId="22" fillId="0" borderId="23" xfId="6" applyFont="1" applyBorder="1" applyAlignment="1">
      <alignment horizontal="center" wrapText="1"/>
    </xf>
    <xf numFmtId="0" fontId="22" fillId="0" borderId="24" xfId="6" applyFont="1" applyBorder="1" applyAlignment="1">
      <alignment horizontal="center" wrapText="1"/>
    </xf>
    <xf numFmtId="0" fontId="22" fillId="0" borderId="20" xfId="6" applyFont="1" applyBorder="1" applyAlignment="1">
      <alignment horizontal="center" vertical="center"/>
    </xf>
    <xf numFmtId="0" fontId="22" fillId="0" borderId="20" xfId="6" applyFont="1" applyBorder="1" applyAlignment="1">
      <alignment horizontal="center"/>
    </xf>
    <xf numFmtId="1" fontId="22" fillId="0" borderId="25" xfId="6" applyNumberFormat="1" applyFont="1" applyBorder="1" applyAlignment="1">
      <alignment horizontal="center"/>
    </xf>
    <xf numFmtId="1" fontId="22" fillId="0" borderId="26" xfId="6" applyNumberFormat="1" applyFont="1" applyBorder="1" applyAlignment="1">
      <alignment horizontal="center"/>
    </xf>
    <xf numFmtId="1" fontId="22" fillId="0" borderId="27" xfId="6" applyNumberFormat="1" applyFont="1" applyBorder="1" applyAlignment="1">
      <alignment horizontal="center"/>
    </xf>
    <xf numFmtId="1" fontId="22" fillId="0" borderId="28" xfId="6" applyNumberFormat="1" applyFont="1" applyBorder="1" applyAlignment="1">
      <alignment horizontal="center"/>
    </xf>
    <xf numFmtId="1" fontId="22" fillId="0" borderId="14" xfId="6" applyNumberFormat="1" applyFont="1" applyBorder="1" applyAlignment="1">
      <alignment horizontal="center"/>
    </xf>
    <xf numFmtId="1" fontId="22" fillId="0" borderId="29" xfId="6" applyNumberFormat="1" applyFont="1" applyBorder="1" applyAlignment="1">
      <alignment horizontal="center"/>
    </xf>
    <xf numFmtId="0" fontId="22" fillId="0" borderId="21" xfId="6" applyFont="1" applyBorder="1" applyAlignment="1">
      <alignment horizontal="center"/>
    </xf>
    <xf numFmtId="1" fontId="22" fillId="0" borderId="30" xfId="6" applyNumberFormat="1" applyFont="1" applyBorder="1" applyAlignment="1">
      <alignment horizontal="center"/>
    </xf>
    <xf numFmtId="1" fontId="22" fillId="0" borderId="31" xfId="6" applyNumberFormat="1" applyFont="1" applyBorder="1" applyAlignment="1">
      <alignment horizontal="center"/>
    </xf>
    <xf numFmtId="1" fontId="22" fillId="0" borderId="32" xfId="6" applyNumberFormat="1" applyFont="1" applyBorder="1" applyAlignment="1">
      <alignment horizontal="center"/>
    </xf>
    <xf numFmtId="0" fontId="9" fillId="0" borderId="0" xfId="6"/>
    <xf numFmtId="0" fontId="24" fillId="0" borderId="0" xfId="6" applyFont="1" applyAlignment="1">
      <alignment horizontal="left" wrapText="1"/>
    </xf>
    <xf numFmtId="2" fontId="0" fillId="0" borderId="0" xfId="4" applyNumberFormat="1" applyFont="1" applyBorder="1"/>
    <xf numFmtId="171" fontId="1" fillId="0" borderId="0" xfId="4" applyNumberFormat="1" applyFont="1" applyFill="1" applyBorder="1" applyAlignment="1">
      <alignment horizontal="right"/>
    </xf>
    <xf numFmtId="0" fontId="11" fillId="0" borderId="0" xfId="0" applyFont="1"/>
    <xf numFmtId="0" fontId="26" fillId="0" borderId="0" xfId="0" applyFont="1" applyAlignment="1">
      <alignment vertical="top"/>
    </xf>
    <xf numFmtId="0" fontId="26" fillId="0" borderId="0" xfId="0" applyFont="1"/>
    <xf numFmtId="171" fontId="9" fillId="0" borderId="0" xfId="4" applyNumberFormat="1" applyFont="1" applyAlignment="1">
      <alignment horizontal="center" vertical="center"/>
    </xf>
    <xf numFmtId="0" fontId="27" fillId="0" borderId="0" xfId="0" applyFont="1"/>
    <xf numFmtId="0" fontId="21" fillId="0" borderId="0" xfId="0" applyFont="1" applyAlignment="1">
      <alignment horizontal="left"/>
    </xf>
    <xf numFmtId="171" fontId="28" fillId="0" borderId="0" xfId="4" applyNumberFormat="1" applyFont="1" applyFill="1" applyBorder="1" applyAlignment="1">
      <alignment horizontal="right"/>
    </xf>
    <xf numFmtId="0" fontId="10" fillId="0" borderId="0" xfId="0" applyFont="1" applyAlignment="1">
      <alignment horizontal="left"/>
    </xf>
    <xf numFmtId="0" fontId="29" fillId="0" borderId="0" xfId="0" applyFont="1"/>
    <xf numFmtId="0" fontId="6" fillId="0" borderId="1" xfId="0" applyFont="1" applyBorder="1"/>
    <xf numFmtId="176" fontId="0" fillId="0" borderId="0" xfId="4" applyNumberFormat="1" applyFont="1" applyBorder="1"/>
    <xf numFmtId="44" fontId="0" fillId="0" borderId="0" xfId="4" applyFont="1" applyBorder="1"/>
    <xf numFmtId="0" fontId="0" fillId="7" borderId="1" xfId="0" applyFill="1" applyBorder="1"/>
    <xf numFmtId="0" fontId="4" fillId="0" borderId="0" xfId="2" applyBorder="1"/>
    <xf numFmtId="0" fontId="0" fillId="3" borderId="1" xfId="0" applyFill="1" applyBorder="1" applyAlignment="1">
      <alignment horizontal="left"/>
    </xf>
    <xf numFmtId="180" fontId="0" fillId="0" borderId="0" xfId="0" applyNumberFormat="1"/>
    <xf numFmtId="0" fontId="0" fillId="0" borderId="1" xfId="0" applyBorder="1" applyAlignment="1">
      <alignment wrapText="1"/>
    </xf>
    <xf numFmtId="179" fontId="0" fillId="0" borderId="0" xfId="0" applyNumberFormat="1"/>
    <xf numFmtId="179" fontId="0" fillId="0" borderId="5" xfId="3" applyNumberFormat="1" applyFont="1" applyBorder="1"/>
    <xf numFmtId="179" fontId="0" fillId="0" borderId="0" xfId="3" applyNumberFormat="1" applyFont="1" applyBorder="1"/>
    <xf numFmtId="179" fontId="0" fillId="0" borderId="0" xfId="4" applyNumberFormat="1" applyFont="1" applyBorder="1"/>
    <xf numFmtId="0" fontId="0" fillId="0" borderId="33" xfId="0" applyBorder="1"/>
    <xf numFmtId="0" fontId="2" fillId="0" borderId="2" xfId="0" applyFont="1" applyBorder="1" applyAlignment="1">
      <alignment horizontal="left" vertical="top"/>
    </xf>
    <xf numFmtId="44" fontId="0" fillId="0" borderId="7" xfId="0" applyNumberFormat="1" applyBorder="1"/>
    <xf numFmtId="44" fontId="0" fillId="0" borderId="8" xfId="0" applyNumberFormat="1" applyBorder="1"/>
    <xf numFmtId="166" fontId="0" fillId="7" borderId="0" xfId="0" applyNumberFormat="1" applyFill="1" applyAlignment="1">
      <alignment horizontal="right"/>
    </xf>
    <xf numFmtId="172" fontId="0" fillId="7" borderId="0" xfId="0" applyNumberFormat="1" applyFill="1" applyAlignment="1">
      <alignment horizontal="right"/>
    </xf>
    <xf numFmtId="173" fontId="0" fillId="7" borderId="0" xfId="0" applyNumberFormat="1" applyFill="1" applyAlignment="1">
      <alignment horizontal="right"/>
    </xf>
    <xf numFmtId="179" fontId="0" fillId="7" borderId="0" xfId="0" applyNumberFormat="1" applyFill="1" applyAlignment="1">
      <alignment horizontal="right"/>
    </xf>
    <xf numFmtId="0" fontId="3" fillId="0" borderId="2" xfId="0" applyFont="1" applyBorder="1"/>
    <xf numFmtId="0" fontId="3" fillId="0" borderId="3" xfId="0" applyFont="1" applyBorder="1"/>
    <xf numFmtId="0" fontId="2" fillId="3" borderId="0" xfId="0" applyFont="1" applyFill="1" applyAlignment="1">
      <alignment horizontal="center" vertical="center"/>
    </xf>
    <xf numFmtId="176" fontId="0" fillId="3" borderId="0" xfId="0" applyNumberFormat="1" applyFill="1"/>
    <xf numFmtId="0" fontId="10" fillId="0" borderId="0" xfId="0" applyFont="1" applyAlignment="1">
      <alignment horizontal="right"/>
    </xf>
    <xf numFmtId="2" fontId="2" fillId="0" borderId="4" xfId="0" applyNumberFormat="1" applyFont="1" applyBorder="1" applyAlignment="1">
      <alignment horizontal="right"/>
    </xf>
    <xf numFmtId="174" fontId="2" fillId="0" borderId="0" xfId="4" applyNumberFormat="1" applyFont="1" applyFill="1" applyBorder="1" applyAlignment="1">
      <alignment horizontal="right"/>
    </xf>
    <xf numFmtId="0" fontId="16" fillId="0" borderId="0" xfId="0" applyFont="1" applyAlignment="1">
      <alignment horizontal="center" vertical="center" wrapText="1"/>
    </xf>
    <xf numFmtId="0" fontId="17"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171" fontId="15" fillId="0" borderId="0" xfId="0" applyNumberFormat="1" applyFont="1" applyAlignment="1">
      <alignment horizontal="center" vertical="center"/>
    </xf>
    <xf numFmtId="171" fontId="19" fillId="0" borderId="0" xfId="0" applyNumberFormat="1" applyFont="1" applyAlignment="1">
      <alignment horizontal="center" vertical="center"/>
    </xf>
    <xf numFmtId="171" fontId="15" fillId="0" borderId="0" xfId="1" applyNumberFormat="1" applyFont="1" applyFill="1" applyBorder="1" applyAlignment="1">
      <alignment horizontal="center" vertical="center"/>
    </xf>
    <xf numFmtId="171" fontId="0" fillId="0" borderId="0" xfId="0" applyNumberFormat="1" applyAlignment="1">
      <alignment horizontal="center"/>
    </xf>
    <xf numFmtId="171" fontId="15" fillId="0" borderId="0" xfId="0" applyNumberFormat="1" applyFont="1" applyAlignment="1">
      <alignment horizontal="center"/>
    </xf>
    <xf numFmtId="171" fontId="15" fillId="0" borderId="0" xfId="1" applyNumberFormat="1" applyFont="1" applyFill="1" applyBorder="1" applyAlignment="1">
      <alignment horizontal="center"/>
    </xf>
    <xf numFmtId="0" fontId="20" fillId="0" borderId="0" xfId="0" applyFont="1" applyAlignment="1">
      <alignment horizontal="center" vertical="center"/>
    </xf>
    <xf numFmtId="171" fontId="20" fillId="0" borderId="0" xfId="0" applyNumberFormat="1" applyFont="1" applyAlignment="1">
      <alignment vertical="center"/>
    </xf>
    <xf numFmtId="5" fontId="2" fillId="0" borderId="8" xfId="4" applyNumberFormat="1" applyFont="1" applyFill="1" applyBorder="1" applyAlignment="1">
      <alignment horizontal="right"/>
    </xf>
    <xf numFmtId="0" fontId="2" fillId="0" borderId="2" xfId="0" applyFont="1" applyBorder="1" applyAlignment="1">
      <alignment vertical="center"/>
    </xf>
    <xf numFmtId="0" fontId="7" fillId="0" borderId="1" xfId="0" applyFont="1" applyBorder="1"/>
    <xf numFmtId="0" fontId="7" fillId="0" borderId="6" xfId="0" applyFont="1" applyBorder="1"/>
    <xf numFmtId="168" fontId="8" fillId="0" borderId="7" xfId="1" applyNumberFormat="1" applyFont="1" applyBorder="1"/>
    <xf numFmtId="0" fontId="2" fillId="0" borderId="5" xfId="0" applyFont="1" applyBorder="1"/>
    <xf numFmtId="168" fontId="8" fillId="0" borderId="0" xfId="1" applyNumberFormat="1" applyFont="1" applyBorder="1"/>
    <xf numFmtId="0" fontId="30" fillId="0" borderId="0" xfId="0" applyFont="1" applyAlignment="1">
      <alignment horizontal="left" vertical="center"/>
    </xf>
    <xf numFmtId="10" fontId="0" fillId="0" borderId="0" xfId="0" applyNumberFormat="1"/>
    <xf numFmtId="10" fontId="0" fillId="2" borderId="0" xfId="0" applyNumberFormat="1" applyFill="1"/>
    <xf numFmtId="0" fontId="30" fillId="0" borderId="0" xfId="0" applyFont="1" applyAlignment="1">
      <alignment horizontal="center" vertical="center" wrapText="1"/>
    </xf>
    <xf numFmtId="0" fontId="34" fillId="3" borderId="35" xfId="0" applyFont="1" applyFill="1" applyBorder="1" applyAlignment="1">
      <alignment horizontal="left" vertical="center"/>
    </xf>
    <xf numFmtId="0" fontId="34" fillId="3" borderId="8" xfId="0" applyFont="1" applyFill="1" applyBorder="1" applyAlignment="1">
      <alignment vertical="center"/>
    </xf>
    <xf numFmtId="0" fontId="34" fillId="3" borderId="8" xfId="0" applyFont="1" applyFill="1" applyBorder="1" applyAlignment="1">
      <alignment horizontal="center" vertical="center"/>
    </xf>
    <xf numFmtId="3" fontId="34" fillId="0" borderId="8" xfId="0" applyNumberFormat="1" applyFont="1" applyBorder="1" applyAlignment="1">
      <alignment horizontal="center" vertical="center"/>
    </xf>
    <xf numFmtId="176" fontId="34" fillId="3" borderId="8" xfId="0" applyNumberFormat="1" applyFont="1" applyFill="1" applyBorder="1" applyAlignment="1">
      <alignment horizontal="right" vertical="center"/>
    </xf>
    <xf numFmtId="3" fontId="35" fillId="0" borderId="8" xfId="0" applyNumberFormat="1" applyFont="1" applyBorder="1" applyAlignment="1">
      <alignment horizontal="center" vertical="center"/>
    </xf>
    <xf numFmtId="3" fontId="34" fillId="3" borderId="8" xfId="0" applyNumberFormat="1" applyFont="1" applyFill="1" applyBorder="1" applyAlignment="1">
      <alignment horizontal="center" vertical="center"/>
    </xf>
    <xf numFmtId="8" fontId="34" fillId="3" borderId="8" xfId="0" applyNumberFormat="1" applyFont="1" applyFill="1" applyBorder="1" applyAlignment="1">
      <alignment horizontal="right" vertical="center"/>
    </xf>
    <xf numFmtId="8" fontId="36" fillId="3" borderId="8" xfId="0" applyNumberFormat="1" applyFont="1" applyFill="1" applyBorder="1" applyAlignment="1">
      <alignment horizontal="right" vertical="center"/>
    </xf>
    <xf numFmtId="0" fontId="34" fillId="3" borderId="10" xfId="0" applyFont="1" applyFill="1" applyBorder="1" applyAlignment="1">
      <alignment horizontal="center" vertical="center"/>
    </xf>
    <xf numFmtId="3" fontId="35" fillId="3" borderId="8" xfId="0" applyNumberFormat="1" applyFont="1" applyFill="1" applyBorder="1" applyAlignment="1">
      <alignment horizontal="center" vertical="center"/>
    </xf>
    <xf numFmtId="0" fontId="34" fillId="3" borderId="8" xfId="0" applyFont="1" applyFill="1" applyBorder="1" applyAlignment="1">
      <alignment horizontal="right" vertical="center"/>
    </xf>
    <xf numFmtId="0" fontId="34" fillId="3" borderId="9" xfId="0" applyFont="1" applyFill="1" applyBorder="1" applyAlignment="1">
      <alignment horizontal="left" vertical="center"/>
    </xf>
    <xf numFmtId="0" fontId="34" fillId="3" borderId="10" xfId="0" applyFont="1" applyFill="1" applyBorder="1" applyAlignment="1">
      <alignment vertical="center"/>
    </xf>
    <xf numFmtId="3" fontId="34" fillId="3" borderId="10" xfId="0" applyNumberFormat="1" applyFont="1" applyFill="1" applyBorder="1" applyAlignment="1">
      <alignment horizontal="center" vertical="center"/>
    </xf>
    <xf numFmtId="176" fontId="34" fillId="3" borderId="10" xfId="0" applyNumberFormat="1" applyFont="1" applyFill="1" applyBorder="1" applyAlignment="1">
      <alignment horizontal="right" vertical="center"/>
    </xf>
    <xf numFmtId="8" fontId="36" fillId="3" borderId="11" xfId="0" applyNumberFormat="1" applyFont="1" applyFill="1" applyBorder="1" applyAlignment="1">
      <alignment horizontal="right" vertical="center"/>
    </xf>
    <xf numFmtId="0" fontId="0" fillId="0" borderId="6" xfId="0" applyBorder="1" applyAlignment="1">
      <alignment horizontal="left" vertical="center"/>
    </xf>
    <xf numFmtId="168" fontId="0" fillId="0" borderId="0" xfId="1" applyNumberFormat="1" applyFont="1" applyBorder="1" applyAlignment="1">
      <alignment horizontal="left"/>
    </xf>
    <xf numFmtId="171" fontId="0" fillId="8" borderId="0" xfId="0" applyNumberFormat="1" applyFill="1"/>
    <xf numFmtId="171" fontId="2" fillId="0" borderId="0" xfId="0" applyNumberFormat="1" applyFont="1" applyAlignment="1">
      <alignment horizontal="center"/>
    </xf>
    <xf numFmtId="0" fontId="1" fillId="0" borderId="0" xfId="7"/>
    <xf numFmtId="171" fontId="10" fillId="0" borderId="0" xfId="0" applyNumberFormat="1" applyFont="1"/>
    <xf numFmtId="171" fontId="2" fillId="0" borderId="0" xfId="0" applyNumberFormat="1" applyFont="1"/>
    <xf numFmtId="0" fontId="39" fillId="0" borderId="1" xfId="0" applyFont="1" applyBorder="1" applyAlignment="1">
      <alignment horizontal="left" vertical="center" wrapText="1"/>
    </xf>
    <xf numFmtId="0" fontId="0" fillId="0" borderId="6" xfId="0" applyBorder="1" applyAlignment="1">
      <alignment horizontal="left" vertical="center" wrapText="1"/>
    </xf>
    <xf numFmtId="177" fontId="0" fillId="0" borderId="7" xfId="0" applyNumberFormat="1" applyBorder="1" applyAlignment="1">
      <alignment horizontal="center" vertical="center" wrapText="1"/>
    </xf>
    <xf numFmtId="0" fontId="2" fillId="0" borderId="3" xfId="0" applyFont="1" applyBorder="1" applyAlignment="1">
      <alignment horizontal="center" vertical="center"/>
    </xf>
    <xf numFmtId="0" fontId="0" fillId="0" borderId="1" xfId="0" applyBorder="1" applyAlignment="1">
      <alignment horizontal="left" vertical="center" wrapText="1"/>
    </xf>
    <xf numFmtId="177" fontId="0" fillId="0" borderId="0" xfId="0" applyNumberFormat="1" applyAlignment="1">
      <alignment horizontal="center" vertical="center" wrapText="1"/>
    </xf>
    <xf numFmtId="0" fontId="15" fillId="0" borderId="0" xfId="0" applyFont="1"/>
    <xf numFmtId="0" fontId="0" fillId="0" borderId="7" xfId="0" applyBorder="1" applyAlignment="1">
      <alignment horizontal="center"/>
    </xf>
    <xf numFmtId="168" fontId="0" fillId="0" borderId="7" xfId="1" applyNumberFormat="1" applyFont="1" applyBorder="1" applyAlignment="1">
      <alignment horizontal="left"/>
    </xf>
    <xf numFmtId="0" fontId="40" fillId="0" borderId="36" xfId="0" applyFont="1" applyBorder="1"/>
    <xf numFmtId="0" fontId="41" fillId="0" borderId="0" xfId="0" applyFont="1"/>
    <xf numFmtId="0" fontId="42" fillId="0" borderId="14" xfId="0" applyFont="1" applyBorder="1" applyAlignment="1">
      <alignment vertical="center" wrapText="1"/>
    </xf>
    <xf numFmtId="0" fontId="41" fillId="0" borderId="36" xfId="0" applyFont="1" applyBorder="1"/>
    <xf numFmtId="176" fontId="42" fillId="0" borderId="14" xfId="0" applyNumberFormat="1" applyFont="1" applyBorder="1"/>
    <xf numFmtId="0" fontId="44" fillId="9" borderId="14" xfId="0" applyFont="1" applyFill="1" applyBorder="1" applyAlignment="1">
      <alignment vertical="center" wrapText="1"/>
    </xf>
    <xf numFmtId="0" fontId="44" fillId="9" borderId="14" xfId="0" applyFont="1" applyFill="1" applyBorder="1" applyAlignment="1">
      <alignment horizontal="right" vertical="center" wrapText="1"/>
    </xf>
    <xf numFmtId="8" fontId="42" fillId="0" borderId="14" xfId="0" applyNumberFormat="1" applyFont="1" applyBorder="1" applyAlignment="1">
      <alignment horizontal="right" vertical="center" wrapText="1"/>
    </xf>
    <xf numFmtId="0" fontId="42" fillId="0" borderId="14" xfId="0" applyFont="1" applyBorder="1" applyAlignment="1">
      <alignment vertical="top"/>
    </xf>
    <xf numFmtId="0" fontId="42" fillId="0" borderId="14" xfId="0" applyFont="1" applyBorder="1" applyAlignment="1">
      <alignment vertical="top" wrapText="1"/>
    </xf>
    <xf numFmtId="180" fontId="42" fillId="0" borderId="14" xfId="0" applyNumberFormat="1" applyFont="1" applyBorder="1"/>
    <xf numFmtId="0" fontId="41" fillId="0" borderId="5" xfId="0" applyFont="1" applyBorder="1"/>
    <xf numFmtId="0" fontId="42" fillId="0" borderId="14" xfId="0" applyFont="1" applyBorder="1" applyAlignment="1">
      <alignment vertical="center"/>
    </xf>
    <xf numFmtId="8" fontId="42" fillId="0" borderId="14" xfId="0" applyNumberFormat="1" applyFont="1" applyBorder="1" applyAlignment="1">
      <alignment horizontal="right" vertical="center"/>
    </xf>
    <xf numFmtId="0" fontId="42" fillId="0" borderId="14" xfId="0" applyFont="1" applyBorder="1" applyAlignment="1">
      <alignment horizontal="right" vertical="center"/>
    </xf>
    <xf numFmtId="0" fontId="0" fillId="0" borderId="39" xfId="0" applyBorder="1"/>
    <xf numFmtId="0" fontId="0" fillId="0" borderId="40" xfId="0" applyBorder="1"/>
    <xf numFmtId="0" fontId="44" fillId="9" borderId="14" xfId="0" applyFont="1" applyFill="1" applyBorder="1" applyAlignment="1">
      <alignment horizontal="right" vertical="top" wrapText="1"/>
    </xf>
    <xf numFmtId="0" fontId="6" fillId="0" borderId="2" xfId="0" applyFont="1" applyBorder="1"/>
    <xf numFmtId="0" fontId="7" fillId="0" borderId="15" xfId="0" applyFont="1" applyBorder="1"/>
    <xf numFmtId="0" fontId="7" fillId="0" borderId="35" xfId="0" applyFont="1" applyBorder="1"/>
    <xf numFmtId="168" fontId="8" fillId="0" borderId="3" xfId="1" applyNumberFormat="1" applyFont="1" applyBorder="1"/>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7" fillId="0" borderId="2" xfId="0" applyFont="1" applyBorder="1"/>
    <xf numFmtId="0" fontId="13" fillId="0" borderId="2" xfId="0" applyFont="1" applyBorder="1" applyAlignment="1">
      <alignment horizontal="center" vertical="center"/>
    </xf>
    <xf numFmtId="0" fontId="30" fillId="0" borderId="3" xfId="0" applyFont="1" applyBorder="1" applyAlignment="1">
      <alignment horizontal="center" vertical="center"/>
    </xf>
    <xf numFmtId="168" fontId="10" fillId="0" borderId="3" xfId="1" applyNumberFormat="1" applyFont="1" applyBorder="1" applyAlignment="1">
      <alignment horizontal="right" vertical="center"/>
    </xf>
    <xf numFmtId="168" fontId="10" fillId="0" borderId="7" xfId="1" applyNumberFormat="1" applyFont="1" applyBorder="1" applyAlignment="1">
      <alignment horizontal="right" vertical="center"/>
    </xf>
    <xf numFmtId="168" fontId="8" fillId="0" borderId="4" xfId="1" applyNumberFormat="1" applyFont="1" applyBorder="1"/>
    <xf numFmtId="0" fontId="13" fillId="0" borderId="15" xfId="0" applyFont="1" applyBorder="1" applyAlignment="1">
      <alignment horizontal="left" vertical="center"/>
    </xf>
    <xf numFmtId="0" fontId="13" fillId="0" borderId="35" xfId="0" applyFont="1" applyBorder="1" applyAlignment="1">
      <alignment horizontal="left" vertical="center"/>
    </xf>
    <xf numFmtId="0" fontId="48" fillId="0" borderId="1" xfId="0" applyFont="1" applyBorder="1"/>
    <xf numFmtId="0" fontId="48" fillId="0" borderId="0" xfId="0" applyFont="1"/>
    <xf numFmtId="0" fontId="6" fillId="8" borderId="38" xfId="0" applyFont="1" applyFill="1" applyBorder="1"/>
    <xf numFmtId="169" fontId="8" fillId="0" borderId="4" xfId="5" applyNumberFormat="1" applyFont="1" applyFill="1" applyBorder="1" applyAlignment="1">
      <alignment horizontal="right"/>
    </xf>
    <xf numFmtId="168" fontId="8" fillId="0" borderId="8" xfId="1" applyNumberFormat="1" applyFont="1" applyFill="1" applyBorder="1"/>
    <xf numFmtId="0" fontId="2" fillId="0" borderId="0" xfId="0" applyFont="1" applyAlignment="1">
      <alignment horizontal="center"/>
    </xf>
    <xf numFmtId="174" fontId="0" fillId="0" borderId="0" xfId="4" applyNumberFormat="1" applyFont="1" applyBorder="1"/>
    <xf numFmtId="0" fontId="37" fillId="9" borderId="38" xfId="0" applyFont="1" applyFill="1" applyBorder="1" applyAlignment="1">
      <alignment horizontal="center" vertical="center" wrapText="1"/>
    </xf>
    <xf numFmtId="0" fontId="16" fillId="9" borderId="38" xfId="0" applyFont="1" applyFill="1" applyBorder="1" applyAlignment="1">
      <alignment horizontal="center" vertical="center" wrapText="1"/>
    </xf>
    <xf numFmtId="176" fontId="50" fillId="9" borderId="38" xfId="0" applyNumberFormat="1" applyFont="1" applyFill="1" applyBorder="1" applyAlignment="1">
      <alignment horizontal="center" wrapText="1"/>
    </xf>
    <xf numFmtId="0" fontId="0" fillId="0" borderId="18" xfId="0" applyBorder="1"/>
    <xf numFmtId="171" fontId="39" fillId="0" borderId="15" xfId="0" applyNumberFormat="1" applyFont="1" applyBorder="1" applyAlignment="1">
      <alignment horizontal="right" vertical="center" wrapText="1"/>
    </xf>
    <xf numFmtId="171" fontId="39" fillId="0" borderId="18" xfId="0" applyNumberFormat="1" applyFont="1" applyBorder="1" applyAlignment="1">
      <alignment horizontal="right" vertical="center" wrapText="1"/>
    </xf>
    <xf numFmtId="0" fontId="20" fillId="0" borderId="6" xfId="0" applyFont="1" applyBorder="1" applyAlignment="1">
      <alignment horizontal="right" vertical="center" wrapText="1"/>
    </xf>
    <xf numFmtId="171" fontId="20" fillId="0" borderId="35" xfId="0" applyNumberFormat="1" applyFont="1" applyBorder="1" applyAlignment="1">
      <alignment horizontal="right" vertical="center" wrapText="1"/>
    </xf>
    <xf numFmtId="0" fontId="2" fillId="0" borderId="15" xfId="0" applyFont="1" applyBorder="1"/>
    <xf numFmtId="168" fontId="7" fillId="0" borderId="15" xfId="1" applyNumberFormat="1" applyFont="1" applyBorder="1"/>
    <xf numFmtId="168" fontId="7" fillId="0" borderId="35" xfId="1" applyNumberFormat="1" applyFont="1" applyBorder="1"/>
    <xf numFmtId="168" fontId="2" fillId="0" borderId="15" xfId="1" applyNumberFormat="1" applyFont="1" applyBorder="1"/>
    <xf numFmtId="168" fontId="2" fillId="0" borderId="35" xfId="1" applyNumberFormat="1" applyFont="1" applyBorder="1"/>
    <xf numFmtId="0" fontId="49" fillId="7" borderId="42" xfId="0" applyFont="1" applyFill="1" applyBorder="1" applyAlignment="1">
      <alignment horizontal="left" vertical="center"/>
    </xf>
    <xf numFmtId="0" fontId="13" fillId="0" borderId="18" xfId="0" applyFont="1" applyBorder="1" applyAlignment="1">
      <alignment horizontal="left" vertical="center"/>
    </xf>
    <xf numFmtId="0" fontId="7" fillId="0" borderId="18" xfId="0" applyFont="1" applyBorder="1"/>
    <xf numFmtId="0" fontId="7" fillId="0" borderId="18" xfId="0" applyFont="1" applyBorder="1" applyAlignment="1">
      <alignment wrapText="1"/>
    </xf>
    <xf numFmtId="0" fontId="7" fillId="0" borderId="35" xfId="0" applyFont="1" applyBorder="1" applyAlignment="1">
      <alignment wrapText="1"/>
    </xf>
    <xf numFmtId="0" fontId="30" fillId="0" borderId="38" xfId="0" applyFont="1" applyBorder="1" applyAlignment="1">
      <alignment horizontal="center" vertical="center"/>
    </xf>
    <xf numFmtId="168" fontId="8" fillId="0" borderId="15" xfId="1" applyNumberFormat="1" applyFont="1" applyBorder="1"/>
    <xf numFmtId="168" fontId="8" fillId="0" borderId="35" xfId="1" applyNumberFormat="1" applyFont="1" applyBorder="1"/>
    <xf numFmtId="0" fontId="7" fillId="0" borderId="15" xfId="0" applyFont="1" applyBorder="1" applyAlignment="1">
      <alignment horizontal="center"/>
    </xf>
    <xf numFmtId="3" fontId="7" fillId="0" borderId="15" xfId="0" applyNumberFormat="1" applyFont="1" applyBorder="1"/>
    <xf numFmtId="3" fontId="7" fillId="0" borderId="35" xfId="0" applyNumberFormat="1" applyFont="1" applyBorder="1"/>
    <xf numFmtId="10" fontId="8" fillId="0" borderId="15" xfId="0" applyNumberFormat="1" applyFont="1" applyBorder="1" applyAlignment="1">
      <alignment horizontal="right"/>
    </xf>
    <xf numFmtId="168" fontId="10" fillId="0" borderId="18" xfId="1" applyNumberFormat="1" applyFont="1" applyBorder="1" applyAlignment="1">
      <alignment horizontal="right" vertical="center"/>
    </xf>
    <xf numFmtId="0" fontId="8" fillId="0" borderId="18" xfId="0" applyFont="1" applyBorder="1"/>
    <xf numFmtId="10" fontId="8" fillId="0" borderId="18" xfId="0" applyNumberFormat="1" applyFont="1" applyBorder="1" applyAlignment="1">
      <alignment horizontal="right"/>
    </xf>
    <xf numFmtId="168" fontId="8" fillId="0" borderId="18" xfId="1" applyNumberFormat="1" applyFont="1" applyFill="1" applyBorder="1"/>
    <xf numFmtId="168" fontId="8" fillId="0" borderId="35" xfId="1" applyNumberFormat="1" applyFont="1" applyFill="1" applyBorder="1"/>
    <xf numFmtId="168" fontId="10" fillId="0" borderId="2" xfId="1" applyNumberFormat="1" applyFont="1" applyBorder="1" applyAlignment="1">
      <alignment horizontal="right" vertical="center"/>
    </xf>
    <xf numFmtId="168" fontId="10" fillId="0" borderId="1" xfId="1" applyNumberFormat="1" applyFont="1" applyBorder="1" applyAlignment="1">
      <alignment horizontal="right" vertical="center"/>
    </xf>
    <xf numFmtId="0" fontId="8" fillId="0" borderId="1" xfId="0" applyFont="1" applyBorder="1"/>
    <xf numFmtId="10" fontId="8" fillId="0" borderId="1" xfId="0" applyNumberFormat="1" applyFont="1" applyBorder="1" applyAlignment="1">
      <alignment horizontal="right"/>
    </xf>
    <xf numFmtId="168" fontId="8" fillId="0" borderId="1" xfId="1" applyNumberFormat="1" applyFont="1" applyFill="1" applyBorder="1"/>
    <xf numFmtId="168" fontId="8" fillId="0" borderId="6" xfId="1" applyNumberFormat="1" applyFont="1" applyFill="1" applyBorder="1"/>
    <xf numFmtId="0" fontId="7" fillId="0" borderId="38" xfId="0" applyFont="1" applyBorder="1" applyAlignment="1">
      <alignment horizontal="center"/>
    </xf>
    <xf numFmtId="0" fontId="2" fillId="0" borderId="18" xfId="0" applyFont="1" applyBorder="1"/>
    <xf numFmtId="168" fontId="7" fillId="0" borderId="18" xfId="1" applyNumberFormat="1" applyFont="1" applyFill="1" applyBorder="1"/>
    <xf numFmtId="168" fontId="7" fillId="0" borderId="35" xfId="1" applyNumberFormat="1" applyFont="1" applyFill="1" applyBorder="1"/>
    <xf numFmtId="0" fontId="7" fillId="0" borderId="38" xfId="0" applyFont="1" applyBorder="1"/>
    <xf numFmtId="10" fontId="8" fillId="8" borderId="38" xfId="0" applyNumberFormat="1" applyFont="1" applyFill="1" applyBorder="1" applyAlignment="1">
      <alignment horizontal="right"/>
    </xf>
    <xf numFmtId="10" fontId="8" fillId="8" borderId="11" xfId="0" applyNumberFormat="1" applyFont="1" applyFill="1" applyBorder="1" applyAlignment="1">
      <alignment horizontal="right"/>
    </xf>
    <xf numFmtId="0" fontId="2" fillId="0" borderId="38" xfId="0" applyFont="1" applyBorder="1" applyAlignment="1">
      <alignment wrapText="1"/>
    </xf>
    <xf numFmtId="0" fontId="7" fillId="0" borderId="4" xfId="0" applyFont="1" applyBorder="1" applyAlignment="1">
      <alignment horizontal="center"/>
    </xf>
    <xf numFmtId="0" fontId="8" fillId="0" borderId="0" xfId="0" applyFont="1"/>
    <xf numFmtId="0" fontId="7" fillId="0" borderId="0" xfId="0" applyFont="1"/>
    <xf numFmtId="168" fontId="2" fillId="0" borderId="5" xfId="1" applyNumberFormat="1" applyFont="1" applyBorder="1"/>
    <xf numFmtId="176" fontId="50" fillId="0" borderId="0" xfId="0" applyNumberFormat="1" applyFont="1" applyAlignment="1">
      <alignment horizontal="center" wrapText="1"/>
    </xf>
    <xf numFmtId="171" fontId="12" fillId="0" borderId="0" xfId="0" applyNumberFormat="1" applyFont="1"/>
    <xf numFmtId="171" fontId="12" fillId="0" borderId="0" xfId="0" applyNumberFormat="1" applyFont="1" applyAlignment="1">
      <alignment vertical="center"/>
    </xf>
    <xf numFmtId="176" fontId="12" fillId="0" borderId="0" xfId="0" applyNumberFormat="1" applyFont="1"/>
    <xf numFmtId="2" fontId="20" fillId="0" borderId="0" xfId="0" applyNumberFormat="1" applyFont="1" applyAlignment="1">
      <alignment horizontal="right" vertical="center" wrapText="1"/>
    </xf>
    <xf numFmtId="171" fontId="15" fillId="6" borderId="43" xfId="0" applyNumberFormat="1" applyFont="1" applyFill="1" applyBorder="1" applyAlignment="1">
      <alignment horizontal="center" vertical="center"/>
    </xf>
    <xf numFmtId="171" fontId="20" fillId="6" borderId="43" xfId="0" applyNumberFormat="1" applyFont="1" applyFill="1" applyBorder="1" applyAlignment="1">
      <alignment vertical="center"/>
    </xf>
    <xf numFmtId="174" fontId="0" fillId="0" borderId="6" xfId="4" applyNumberFormat="1" applyFont="1" applyBorder="1"/>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171" fontId="39" fillId="0" borderId="18" xfId="0" applyNumberFormat="1" applyFont="1" applyBorder="1" applyAlignment="1">
      <alignment horizontal="right" vertical="center" wrapText="1"/>
    </xf>
    <xf numFmtId="0" fontId="2" fillId="0" borderId="0" xfId="0" applyFont="1" applyAlignment="1">
      <alignment horizontal="center"/>
    </xf>
    <xf numFmtId="0" fontId="32" fillId="3" borderId="9" xfId="0" applyFont="1" applyFill="1" applyBorder="1" applyAlignment="1">
      <alignment horizontal="center" vertical="center"/>
    </xf>
    <xf numFmtId="0" fontId="32" fillId="3" borderId="10" xfId="0" applyFont="1" applyFill="1" applyBorder="1" applyAlignment="1">
      <alignment horizontal="center" vertical="center"/>
    </xf>
    <xf numFmtId="0" fontId="32" fillId="3" borderId="11" xfId="0" applyFont="1" applyFill="1" applyBorder="1" applyAlignment="1">
      <alignment horizontal="center" vertical="center"/>
    </xf>
    <xf numFmtId="0" fontId="31" fillId="0" borderId="0" xfId="0" applyFont="1" applyAlignment="1">
      <alignment horizontal="center"/>
    </xf>
    <xf numFmtId="171" fontId="12" fillId="0" borderId="0" xfId="0" applyNumberFormat="1" applyFont="1" applyAlignment="1">
      <alignment horizontal="right" vertical="center"/>
    </xf>
    <xf numFmtId="0" fontId="34" fillId="3" borderId="9"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11" xfId="0" applyFont="1" applyFill="1" applyBorder="1" applyAlignment="1">
      <alignment horizontal="center" vertical="center"/>
    </xf>
    <xf numFmtId="176" fontId="34" fillId="3" borderId="15" xfId="0" applyNumberFormat="1" applyFont="1" applyFill="1" applyBorder="1" applyAlignment="1">
      <alignment horizontal="right" vertical="center"/>
    </xf>
    <xf numFmtId="176" fontId="34" fillId="3" borderId="35" xfId="0" applyNumberFormat="1" applyFont="1" applyFill="1" applyBorder="1" applyAlignment="1">
      <alignment horizontal="right" vertical="center"/>
    </xf>
    <xf numFmtId="3" fontId="34" fillId="0" borderId="15" xfId="0" applyNumberFormat="1" applyFont="1" applyBorder="1" applyAlignment="1">
      <alignment horizontal="center" vertical="center"/>
    </xf>
    <xf numFmtId="3" fontId="34" fillId="0" borderId="35" xfId="0" applyNumberFormat="1" applyFont="1" applyBorder="1" applyAlignment="1">
      <alignment horizontal="center" vertical="center"/>
    </xf>
    <xf numFmtId="0" fontId="33" fillId="3" borderId="15" xfId="0" applyFont="1" applyFill="1" applyBorder="1" applyAlignment="1">
      <alignment horizontal="center" vertical="center" wrapText="1"/>
    </xf>
    <xf numFmtId="0" fontId="33" fillId="3" borderId="35" xfId="0" applyFont="1" applyFill="1" applyBorder="1" applyAlignment="1">
      <alignment horizontal="center" vertical="center" wrapText="1"/>
    </xf>
    <xf numFmtId="176" fontId="33" fillId="3" borderId="15" xfId="0" applyNumberFormat="1" applyFont="1" applyFill="1" applyBorder="1" applyAlignment="1">
      <alignment horizontal="center" vertical="center" wrapText="1"/>
    </xf>
    <xf numFmtId="176" fontId="33" fillId="3" borderId="35" xfId="0" applyNumberFormat="1" applyFont="1" applyFill="1" applyBorder="1" applyAlignment="1">
      <alignment horizontal="center" vertical="center" wrapText="1"/>
    </xf>
    <xf numFmtId="3" fontId="33" fillId="3" borderId="15" xfId="0" applyNumberFormat="1" applyFont="1" applyFill="1" applyBorder="1" applyAlignment="1">
      <alignment horizontal="center" vertical="center"/>
    </xf>
    <xf numFmtId="3" fontId="33" fillId="3" borderId="35" xfId="0" applyNumberFormat="1" applyFont="1" applyFill="1" applyBorder="1" applyAlignment="1">
      <alignment horizontal="center" vertical="center"/>
    </xf>
    <xf numFmtId="0" fontId="33" fillId="3" borderId="15" xfId="0" applyFont="1" applyFill="1" applyBorder="1" applyAlignment="1">
      <alignment horizontal="center" vertical="center"/>
    </xf>
    <xf numFmtId="0" fontId="33" fillId="3" borderId="35" xfId="0" applyFont="1" applyFill="1" applyBorder="1" applyAlignment="1">
      <alignment horizontal="center" vertical="center"/>
    </xf>
    <xf numFmtId="0" fontId="33" fillId="3" borderId="15" xfId="0" applyFont="1" applyFill="1" applyBorder="1" applyAlignment="1">
      <alignment horizontal="left" vertical="center" wrapText="1"/>
    </xf>
    <xf numFmtId="0" fontId="33" fillId="3" borderId="35" xfId="0" applyFont="1" applyFill="1" applyBorder="1" applyAlignment="1">
      <alignment horizontal="left" vertical="center" wrapText="1"/>
    </xf>
    <xf numFmtId="0" fontId="16"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wrapText="1"/>
    </xf>
    <xf numFmtId="0" fontId="18" fillId="4" borderId="17"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5" fillId="0" borderId="0" xfId="0" applyFont="1"/>
    <xf numFmtId="0" fontId="0" fillId="0" borderId="0" xfId="0"/>
    <xf numFmtId="0" fontId="5" fillId="0" borderId="0" xfId="0" applyFont="1" applyAlignment="1">
      <alignment horizontal="left" wrapText="1"/>
    </xf>
    <xf numFmtId="0" fontId="23" fillId="0" borderId="22" xfId="6" applyFont="1" applyBorder="1" applyAlignment="1">
      <alignment horizontal="center"/>
    </xf>
    <xf numFmtId="0" fontId="23" fillId="0" borderId="23" xfId="6" applyFont="1" applyBorder="1" applyAlignment="1">
      <alignment horizontal="center"/>
    </xf>
    <xf numFmtId="0" fontId="23" fillId="0" borderId="24" xfId="6" applyFont="1" applyBorder="1" applyAlignment="1">
      <alignment horizontal="center"/>
    </xf>
    <xf numFmtId="167" fontId="22" fillId="0" borderId="9" xfId="6" applyNumberFormat="1" applyFont="1" applyBorder="1" applyAlignment="1">
      <alignment horizontal="center"/>
    </xf>
    <xf numFmtId="167" fontId="22" fillId="0" borderId="10" xfId="6" applyNumberFormat="1" applyFont="1" applyBorder="1" applyAlignment="1">
      <alignment horizontal="center"/>
    </xf>
    <xf numFmtId="167" fontId="22" fillId="0" borderId="11" xfId="6" applyNumberFormat="1" applyFont="1" applyBorder="1" applyAlignment="1">
      <alignment horizontal="center"/>
    </xf>
    <xf numFmtId="0" fontId="24" fillId="0" borderId="0" xfId="6" applyFont="1" applyAlignment="1">
      <alignment horizontal="left" wrapText="1"/>
    </xf>
    <xf numFmtId="0" fontId="42" fillId="0" borderId="36" xfId="0" applyFont="1" applyBorder="1" applyAlignment="1">
      <alignment horizontal="left" vertical="top" wrapText="1"/>
    </xf>
    <xf numFmtId="0" fontId="42" fillId="0" borderId="0" xfId="0" applyFont="1" applyAlignment="1">
      <alignment horizontal="left" vertical="top" wrapText="1"/>
    </xf>
    <xf numFmtId="0" fontId="42" fillId="0" borderId="13" xfId="0" applyFont="1" applyBorder="1" applyAlignment="1">
      <alignment horizontal="left" vertical="top" wrapText="1"/>
    </xf>
    <xf numFmtId="0" fontId="42" fillId="0" borderId="37" xfId="0" applyFont="1" applyBorder="1" applyAlignment="1">
      <alignment horizontal="left" vertical="top" wrapText="1"/>
    </xf>
    <xf numFmtId="0" fontId="42" fillId="0" borderId="12" xfId="0" applyFont="1" applyBorder="1" applyAlignment="1">
      <alignment horizontal="left" vertical="top" wrapText="1"/>
    </xf>
    <xf numFmtId="0" fontId="42" fillId="0" borderId="41" xfId="0" applyFont="1" applyBorder="1" applyAlignment="1">
      <alignment horizontal="left" vertical="top" wrapText="1"/>
    </xf>
    <xf numFmtId="0" fontId="0" fillId="0" borderId="1" xfId="0" applyBorder="1" applyAlignment="1">
      <alignment horizontal="left" vertical="center"/>
    </xf>
    <xf numFmtId="0" fontId="0" fillId="0" borderId="6" xfId="0" applyBorder="1" applyAlignment="1">
      <alignment horizontal="left" vertical="center"/>
    </xf>
    <xf numFmtId="176" fontId="0" fillId="0" borderId="0" xfId="4" applyNumberFormat="1" applyFont="1" applyBorder="1" applyAlignment="1">
      <alignment horizontal="right" vertical="center"/>
    </xf>
    <xf numFmtId="176" fontId="0" fillId="0" borderId="7" xfId="4" applyNumberFormat="1" applyFont="1" applyBorder="1" applyAlignment="1">
      <alignment horizontal="right" vertical="center"/>
    </xf>
    <xf numFmtId="168" fontId="0" fillId="0" borderId="0" xfId="1" applyNumberFormat="1" applyFont="1" applyBorder="1" applyAlignment="1">
      <alignment horizontal="left"/>
    </xf>
    <xf numFmtId="168" fontId="0" fillId="0" borderId="5" xfId="1" applyNumberFormat="1" applyFont="1" applyBorder="1" applyAlignment="1">
      <alignment horizontal="left"/>
    </xf>
    <xf numFmtId="0" fontId="4" fillId="0" borderId="7" xfId="2" applyBorder="1" applyAlignment="1">
      <alignment horizontal="left"/>
    </xf>
    <xf numFmtId="0" fontId="4" fillId="0" borderId="8" xfId="2" applyBorder="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173" fontId="4" fillId="0" borderId="0" xfId="2" applyNumberFormat="1" applyFill="1" applyBorder="1" applyAlignment="1">
      <alignment horizontal="left" vertical="center" wrapText="1"/>
    </xf>
    <xf numFmtId="173" fontId="4" fillId="0" borderId="5" xfId="2" applyNumberFormat="1" applyFill="1" applyBorder="1" applyAlignment="1">
      <alignment horizontal="left" vertical="center" wrapText="1"/>
    </xf>
    <xf numFmtId="173" fontId="4" fillId="0" borderId="7" xfId="2" applyNumberFormat="1" applyFill="1" applyBorder="1" applyAlignment="1">
      <alignment horizontal="left" vertical="center" wrapText="1"/>
    </xf>
    <xf numFmtId="173" fontId="4" fillId="0" borderId="8" xfId="2" applyNumberFormat="1" applyFill="1" applyBorder="1" applyAlignment="1">
      <alignment horizontal="left" vertical="center" wrapText="1"/>
    </xf>
    <xf numFmtId="168" fontId="0" fillId="0" borderId="7" xfId="1" applyNumberFormat="1" applyFont="1" applyBorder="1" applyAlignment="1">
      <alignment horizontal="left"/>
    </xf>
    <xf numFmtId="168" fontId="0" fillId="0" borderId="8" xfId="1" applyNumberFormat="1"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6" xfId="0" applyFont="1" applyBorder="1" applyAlignment="1">
      <alignment horizontal="left" vertical="center"/>
    </xf>
    <xf numFmtId="0" fontId="6" fillId="0" borderId="7" xfId="0" applyFont="1" applyBorder="1" applyAlignment="1">
      <alignment horizontal="left" vertical="center"/>
    </xf>
    <xf numFmtId="0" fontId="42" fillId="0" borderId="5" xfId="0" applyFont="1" applyBorder="1" applyAlignment="1">
      <alignment horizontal="left" vertical="top" wrapText="1"/>
    </xf>
    <xf numFmtId="0" fontId="42" fillId="0" borderId="34" xfId="0" applyFont="1" applyBorder="1" applyAlignment="1">
      <alignment horizontal="left" vertical="top" wrapText="1"/>
    </xf>
    <xf numFmtId="0" fontId="42" fillId="0" borderId="8" xfId="0" applyFont="1" applyBorder="1" applyAlignment="1">
      <alignment horizontal="left" vertical="top" wrapText="1"/>
    </xf>
    <xf numFmtId="0" fontId="0" fillId="0" borderId="0" xfId="0" applyAlignment="1">
      <alignment horizontal="left"/>
    </xf>
    <xf numFmtId="0" fontId="0" fillId="0" borderId="5" xfId="0" applyBorder="1" applyAlignment="1">
      <alignment horizontal="left"/>
    </xf>
    <xf numFmtId="0" fontId="0" fillId="0" borderId="7" xfId="0" applyBorder="1" applyAlignment="1">
      <alignment horizontal="left"/>
    </xf>
    <xf numFmtId="0" fontId="0" fillId="0" borderId="8" xfId="0" applyBorder="1" applyAlignment="1">
      <alignment horizontal="left"/>
    </xf>
  </cellXfs>
  <cellStyles count="8">
    <cellStyle name="Comma" xfId="1" builtinId="3"/>
    <cellStyle name="Currency" xfId="4" builtinId="4"/>
    <cellStyle name="Factor" xfId="3" xr:uid="{70969E6C-ACDC-4A9A-A5DD-C81E6403A5F5}"/>
    <cellStyle name="Hyperlink" xfId="2" builtinId="8"/>
    <cellStyle name="Normal" xfId="0" builtinId="0"/>
    <cellStyle name="Normal 2" xfId="6" xr:uid="{732C88EE-8C1E-47E3-A5E8-5145DDCB468E}"/>
    <cellStyle name="Normal 9" xfId="7" xr:uid="{874FFE04-5BA6-4A5D-9821-C346ED34A81B}"/>
    <cellStyle name="Percent" xfId="5" builtinId="5"/>
  </cellStyles>
  <dxfs count="14">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2" defaultTableStyle="TableStyleMedium2" defaultPivotStyle="PivotStyleLight16">
    <tableStyle name="TableStyleMedium2 2" pivot="0" count="7" xr9:uid="{AEBDF176-0957-B649-B4CF-40121F52F635}">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2 3" pivot="0" count="7" xr9:uid="{3D801C2B-21A4-B74E-9A6C-53B745233E26}">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pfel, Alan" id="{DEF8AFB8-535A-477F-AD7C-679086AD3F50}" userId="S::aapfel@xpresswest.com::e7486d9b-8850-45d0-be46-4b4867f7518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5" dT="2023-02-08T20:29:02.37" personId="{DEF8AFB8-535A-477F-AD7C-679086AD3F50}" id="{C934E233-E4DD-4D2C-93F0-E9C452A9D129}">
    <text>$24 max at hotels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www.statista.com/statistics/191984/participants-in-walking-for-fitness-in-the-us-since-2006/" TargetMode="External"/><Relationship Id="rId1" Type="http://schemas.openxmlformats.org/officeDocument/2006/relationships/hyperlink" Target="https://www.statista.com/statistics/227415/number-of-cyclists-and-bike-riders-usa/"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8" Type="http://schemas.openxmlformats.org/officeDocument/2006/relationships/hyperlink" Target="https://fred.stlouisfed.org/series/GDPDEF/" TargetMode="External"/><Relationship Id="rId3" Type="http://schemas.openxmlformats.org/officeDocument/2006/relationships/hyperlink" Target="https://www.epa.gov/system/files/documents/2022-10/420b22046.pdf" TargetMode="External"/><Relationship Id="rId7" Type="http://schemas.openxmlformats.org/officeDocument/2006/relationships/hyperlink" Target="https://mobility.tamu.edu/umr/congestion-data/" TargetMode="External"/><Relationship Id="rId12" Type="http://schemas.microsoft.com/office/2017/10/relationships/threadedComment" Target="../threadedComments/threadedComment1.xml"/><Relationship Id="rId2" Type="http://schemas.openxmlformats.org/officeDocument/2006/relationships/hyperlink" Target="https://www.ics-shipping.org/shipping-fact/environmental-performance-environmental-performance/" TargetMode="External"/><Relationship Id="rId1" Type="http://schemas.openxmlformats.org/officeDocument/2006/relationships/hyperlink" Target="https://www.freightwaves.com/news/how-much-weight-can-a-big-rig-carry" TargetMode="External"/><Relationship Id="rId6" Type="http://schemas.openxmlformats.org/officeDocument/2006/relationships/hyperlink" Target="https://www.bts.gov/content/average-freight-revenue-ton-mile" TargetMode="External"/><Relationship Id="rId11" Type="http://schemas.openxmlformats.org/officeDocument/2006/relationships/comments" Target="../comments1.xml"/><Relationship Id="rId5" Type="http://schemas.openxmlformats.org/officeDocument/2006/relationships/hyperlink" Target="https://www.bts.gov/content/average-freight-revenue-ton-mile" TargetMode="External"/><Relationship Id="rId10" Type="http://schemas.openxmlformats.org/officeDocument/2006/relationships/vmlDrawing" Target="../drawings/vmlDrawing1.vml"/><Relationship Id="rId4" Type="http://schemas.openxmlformats.org/officeDocument/2006/relationships/hyperlink" Target="https://www.bts.gov/content/average-freight-revenue-ton-mile"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E7A9-E505-4EE1-AADD-4B68BF081C89}">
  <sheetPr>
    <tabColor rgb="FF0070C0"/>
  </sheetPr>
  <dimension ref="A1:AS33"/>
  <sheetViews>
    <sheetView tabSelected="1" zoomScale="80" zoomScaleNormal="80" workbookViewId="0">
      <selection activeCell="J18" sqref="J18"/>
    </sheetView>
  </sheetViews>
  <sheetFormatPr defaultColWidth="8.84375" defaultRowHeight="14.6" x14ac:dyDescent="0.4"/>
  <cols>
    <col min="1" max="1" width="41.53515625" customWidth="1"/>
    <col min="2" max="2" width="17.53515625" customWidth="1"/>
    <col min="3" max="3" width="5.53515625" hidden="1" customWidth="1"/>
    <col min="4" max="4" width="14.53515625" hidden="1" customWidth="1"/>
    <col min="5" max="5" width="14.4609375" hidden="1" customWidth="1"/>
    <col min="6" max="6" width="13.15234375" customWidth="1"/>
    <col min="7" max="34" width="14.4609375" bestFit="1" customWidth="1"/>
    <col min="35" max="38" width="13.53515625" customWidth="1"/>
    <col min="39" max="42" width="11.61328125" customWidth="1"/>
    <col min="43" max="43" width="13" customWidth="1"/>
    <col min="44" max="45" width="11.61328125" customWidth="1"/>
  </cols>
  <sheetData>
    <row r="1" spans="1:45" ht="20.6" x14ac:dyDescent="0.4">
      <c r="A1" s="105" t="s">
        <v>202</v>
      </c>
      <c r="B1" s="48"/>
      <c r="C1" s="48"/>
      <c r="D1" s="48"/>
    </row>
    <row r="2" spans="1:45" ht="18.899999999999999" thickBot="1" x14ac:dyDescent="0.45">
      <c r="A2" s="48" t="s">
        <v>203</v>
      </c>
      <c r="B2" s="48"/>
      <c r="C2" s="48"/>
      <c r="D2" s="48"/>
    </row>
    <row r="3" spans="1:45" ht="18.899999999999999" thickBot="1" x14ac:dyDescent="0.45">
      <c r="A3" s="48"/>
      <c r="B3" s="48"/>
      <c r="C3" s="48"/>
      <c r="D3" s="48"/>
      <c r="I3" s="291" t="s">
        <v>187</v>
      </c>
      <c r="J3" s="292"/>
      <c r="K3" s="292"/>
      <c r="L3" s="293"/>
      <c r="M3" s="291" t="s">
        <v>0</v>
      </c>
      <c r="N3" s="292"/>
      <c r="O3" s="293"/>
    </row>
    <row r="4" spans="1:45" x14ac:dyDescent="0.4">
      <c r="A4" s="13" t="s">
        <v>1</v>
      </c>
      <c r="B4" s="13"/>
      <c r="C4" s="13"/>
      <c r="D4">
        <v>2020</v>
      </c>
      <c r="E4">
        <v>2021</v>
      </c>
      <c r="F4">
        <f t="shared" ref="F4:AA5" si="0">E4+1</f>
        <v>2022</v>
      </c>
      <c r="G4">
        <f t="shared" si="0"/>
        <v>2023</v>
      </c>
      <c r="H4">
        <f t="shared" si="0"/>
        <v>2024</v>
      </c>
      <c r="I4">
        <f t="shared" si="0"/>
        <v>2025</v>
      </c>
      <c r="J4">
        <f t="shared" si="0"/>
        <v>2026</v>
      </c>
      <c r="K4">
        <f t="shared" si="0"/>
        <v>2027</v>
      </c>
      <c r="L4">
        <f t="shared" si="0"/>
        <v>2028</v>
      </c>
      <c r="M4">
        <f t="shared" si="0"/>
        <v>2029</v>
      </c>
      <c r="N4">
        <f t="shared" si="0"/>
        <v>2030</v>
      </c>
      <c r="O4">
        <f t="shared" si="0"/>
        <v>2031</v>
      </c>
      <c r="P4">
        <f t="shared" si="0"/>
        <v>2032</v>
      </c>
      <c r="Q4">
        <f t="shared" si="0"/>
        <v>2033</v>
      </c>
      <c r="R4">
        <f t="shared" si="0"/>
        <v>2034</v>
      </c>
      <c r="S4">
        <f t="shared" si="0"/>
        <v>2035</v>
      </c>
      <c r="T4">
        <f t="shared" si="0"/>
        <v>2036</v>
      </c>
      <c r="U4">
        <f t="shared" si="0"/>
        <v>2037</v>
      </c>
      <c r="V4">
        <f t="shared" si="0"/>
        <v>2038</v>
      </c>
      <c r="W4">
        <f t="shared" si="0"/>
        <v>2039</v>
      </c>
      <c r="X4">
        <f t="shared" si="0"/>
        <v>2040</v>
      </c>
      <c r="Y4">
        <f t="shared" si="0"/>
        <v>2041</v>
      </c>
      <c r="Z4">
        <f t="shared" si="0"/>
        <v>2042</v>
      </c>
      <c r="AA4">
        <f t="shared" si="0"/>
        <v>2043</v>
      </c>
      <c r="AB4">
        <f t="shared" ref="AB4:AB7" si="1">AA4+1</f>
        <v>2044</v>
      </c>
      <c r="AC4">
        <f t="shared" ref="AC4:AC7" si="2">AB4+1</f>
        <v>2045</v>
      </c>
      <c r="AD4">
        <f t="shared" ref="AD4" si="3">AC4+1</f>
        <v>2046</v>
      </c>
      <c r="AE4">
        <f t="shared" ref="AE4" si="4">AD4+1</f>
        <v>2047</v>
      </c>
      <c r="AF4">
        <f t="shared" ref="AF4" si="5">AE4+1</f>
        <v>2048</v>
      </c>
      <c r="AG4">
        <f t="shared" ref="AG4" si="6">AF4+1</f>
        <v>2049</v>
      </c>
      <c r="AH4">
        <f t="shared" ref="AH4" si="7">AG4+1</f>
        <v>2050</v>
      </c>
      <c r="AI4">
        <f t="shared" ref="AI4:AJ4" si="8">AH4+1</f>
        <v>2051</v>
      </c>
      <c r="AJ4">
        <f t="shared" si="8"/>
        <v>2052</v>
      </c>
      <c r="AK4">
        <f t="shared" ref="AK4" si="9">AJ4+1</f>
        <v>2053</v>
      </c>
      <c r="AL4">
        <f t="shared" ref="AL4" si="10">AK4+1</f>
        <v>2054</v>
      </c>
      <c r="AM4">
        <f t="shared" ref="AM4" si="11">AL4+1</f>
        <v>2055</v>
      </c>
      <c r="AN4">
        <f t="shared" ref="AN4" si="12">AM4+1</f>
        <v>2056</v>
      </c>
      <c r="AO4">
        <f t="shared" ref="AO4" si="13">AN4+1</f>
        <v>2057</v>
      </c>
      <c r="AP4">
        <f t="shared" ref="AP4" si="14">AO4+1</f>
        <v>2058</v>
      </c>
      <c r="AQ4">
        <f t="shared" ref="AQ4" si="15">AP4+1</f>
        <v>2059</v>
      </c>
      <c r="AR4">
        <f t="shared" ref="AR4" si="16">AQ4+1</f>
        <v>2060</v>
      </c>
      <c r="AS4">
        <f t="shared" ref="AS4" si="17">AR4+1</f>
        <v>2061</v>
      </c>
    </row>
    <row r="5" spans="1:45" x14ac:dyDescent="0.4">
      <c r="A5" t="s">
        <v>2</v>
      </c>
      <c r="B5" s="13"/>
      <c r="C5" s="13"/>
      <c r="D5" s="13"/>
      <c r="I5">
        <v>1</v>
      </c>
      <c r="J5">
        <f>I5+1</f>
        <v>2</v>
      </c>
      <c r="K5">
        <f t="shared" si="0"/>
        <v>3</v>
      </c>
      <c r="L5">
        <f t="shared" si="0"/>
        <v>4</v>
      </c>
      <c r="M5">
        <f t="shared" si="0"/>
        <v>5</v>
      </c>
      <c r="N5">
        <f t="shared" si="0"/>
        <v>6</v>
      </c>
      <c r="O5">
        <f t="shared" si="0"/>
        <v>7</v>
      </c>
    </row>
    <row r="6" spans="1:45" x14ac:dyDescent="0.4">
      <c r="A6" s="19" t="s">
        <v>3</v>
      </c>
      <c r="B6" s="19"/>
      <c r="C6" s="19"/>
      <c r="D6" s="19"/>
      <c r="E6" t="s">
        <v>4</v>
      </c>
      <c r="F6" t="s">
        <v>4</v>
      </c>
      <c r="G6" t="s">
        <v>4</v>
      </c>
      <c r="P6">
        <v>1</v>
      </c>
      <c r="Q6">
        <f t="shared" ref="Q6" si="18">P6+1</f>
        <v>2</v>
      </c>
      <c r="R6">
        <f t="shared" ref="R6" si="19">Q6+1</f>
        <v>3</v>
      </c>
      <c r="S6">
        <f t="shared" ref="S6" si="20">R6+1</f>
        <v>4</v>
      </c>
      <c r="T6">
        <f t="shared" ref="T6" si="21">S6+1</f>
        <v>5</v>
      </c>
      <c r="U6">
        <f t="shared" ref="U6" si="22">T6+1</f>
        <v>6</v>
      </c>
      <c r="V6">
        <f t="shared" ref="V6" si="23">U6+1</f>
        <v>7</v>
      </c>
      <c r="W6">
        <f t="shared" ref="W6" si="24">V6+1</f>
        <v>8</v>
      </c>
      <c r="X6">
        <f t="shared" ref="X6" si="25">W6+1</f>
        <v>9</v>
      </c>
      <c r="Y6">
        <f t="shared" ref="Y6" si="26">X6+1</f>
        <v>10</v>
      </c>
      <c r="Z6">
        <f t="shared" ref="Z6" si="27">Y6+1</f>
        <v>11</v>
      </c>
      <c r="AA6">
        <f t="shared" ref="AA6" si="28">Z6+1</f>
        <v>12</v>
      </c>
      <c r="AB6">
        <f t="shared" ref="AB6" si="29">AA6+1</f>
        <v>13</v>
      </c>
      <c r="AC6">
        <f t="shared" ref="AC6" si="30">AB6+1</f>
        <v>14</v>
      </c>
      <c r="AD6">
        <f t="shared" ref="AD6:AD7" si="31">AC6+1</f>
        <v>15</v>
      </c>
      <c r="AE6">
        <f t="shared" ref="AE6:AE7" si="32">AD6+1</f>
        <v>16</v>
      </c>
      <c r="AF6">
        <f t="shared" ref="AF6:AF7" si="33">AE6+1</f>
        <v>17</v>
      </c>
      <c r="AG6">
        <f t="shared" ref="AG6:AG7" si="34">AF6+1</f>
        <v>18</v>
      </c>
      <c r="AH6">
        <f t="shared" ref="AH6:AJ7" si="35">AG6+1</f>
        <v>19</v>
      </c>
      <c r="AI6">
        <f t="shared" si="35"/>
        <v>20</v>
      </c>
      <c r="AJ6">
        <f t="shared" si="35"/>
        <v>21</v>
      </c>
      <c r="AK6">
        <f t="shared" ref="AK6:AK7" si="36">AJ6+1</f>
        <v>22</v>
      </c>
      <c r="AL6">
        <f t="shared" ref="AL6:AL7" si="37">AK6+1</f>
        <v>23</v>
      </c>
      <c r="AM6">
        <f t="shared" ref="AM6:AM7" si="38">AL6+1</f>
        <v>24</v>
      </c>
      <c r="AN6">
        <f t="shared" ref="AN6:AN7" si="39">AM6+1</f>
        <v>25</v>
      </c>
      <c r="AO6">
        <f t="shared" ref="AO6:AO7" si="40">AN6+1</f>
        <v>26</v>
      </c>
      <c r="AP6">
        <f t="shared" ref="AP6:AP7" si="41">AO6+1</f>
        <v>27</v>
      </c>
      <c r="AQ6">
        <f t="shared" ref="AQ6:AQ7" si="42">AP6+1</f>
        <v>28</v>
      </c>
      <c r="AR6">
        <f t="shared" ref="AR6:AR7" si="43">AQ6+1</f>
        <v>29</v>
      </c>
      <c r="AS6">
        <f t="shared" ref="AS6:AS7" si="44">AR6+1</f>
        <v>30</v>
      </c>
    </row>
    <row r="7" spans="1:45" x14ac:dyDescent="0.4">
      <c r="A7" s="19" t="s">
        <v>5</v>
      </c>
      <c r="B7" s="19"/>
      <c r="C7" s="19"/>
      <c r="D7" s="19">
        <v>-1</v>
      </c>
      <c r="E7">
        <v>0</v>
      </c>
      <c r="F7">
        <v>0</v>
      </c>
      <c r="G7">
        <f t="shared" ref="G7:AA7" si="45">F7+1</f>
        <v>1</v>
      </c>
      <c r="H7">
        <f t="shared" si="45"/>
        <v>2</v>
      </c>
      <c r="I7">
        <f t="shared" si="45"/>
        <v>3</v>
      </c>
      <c r="J7">
        <f t="shared" si="45"/>
        <v>4</v>
      </c>
      <c r="K7">
        <f t="shared" si="45"/>
        <v>5</v>
      </c>
      <c r="L7">
        <f t="shared" si="45"/>
        <v>6</v>
      </c>
      <c r="M7">
        <f t="shared" si="45"/>
        <v>7</v>
      </c>
      <c r="N7">
        <f t="shared" si="45"/>
        <v>8</v>
      </c>
      <c r="O7">
        <f t="shared" si="45"/>
        <v>9</v>
      </c>
      <c r="P7">
        <f t="shared" si="45"/>
        <v>10</v>
      </c>
      <c r="Q7">
        <f t="shared" si="45"/>
        <v>11</v>
      </c>
      <c r="R7">
        <f t="shared" si="45"/>
        <v>12</v>
      </c>
      <c r="S7">
        <f t="shared" si="45"/>
        <v>13</v>
      </c>
      <c r="T7">
        <f t="shared" si="45"/>
        <v>14</v>
      </c>
      <c r="U7">
        <f t="shared" si="45"/>
        <v>15</v>
      </c>
      <c r="V7">
        <f t="shared" si="45"/>
        <v>16</v>
      </c>
      <c r="W7">
        <f t="shared" si="45"/>
        <v>17</v>
      </c>
      <c r="X7">
        <f t="shared" si="45"/>
        <v>18</v>
      </c>
      <c r="Y7">
        <f t="shared" si="45"/>
        <v>19</v>
      </c>
      <c r="Z7">
        <f t="shared" si="45"/>
        <v>20</v>
      </c>
      <c r="AA7">
        <f t="shared" si="45"/>
        <v>21</v>
      </c>
      <c r="AB7">
        <f t="shared" si="1"/>
        <v>22</v>
      </c>
      <c r="AC7">
        <f t="shared" si="2"/>
        <v>23</v>
      </c>
      <c r="AD7">
        <f t="shared" si="31"/>
        <v>24</v>
      </c>
      <c r="AE7">
        <f t="shared" si="32"/>
        <v>25</v>
      </c>
      <c r="AF7">
        <f t="shared" si="33"/>
        <v>26</v>
      </c>
      <c r="AG7">
        <f t="shared" si="34"/>
        <v>27</v>
      </c>
      <c r="AH7">
        <f t="shared" si="35"/>
        <v>28</v>
      </c>
      <c r="AI7">
        <f t="shared" si="35"/>
        <v>29</v>
      </c>
      <c r="AJ7">
        <f t="shared" si="35"/>
        <v>30</v>
      </c>
      <c r="AK7">
        <f t="shared" si="36"/>
        <v>31</v>
      </c>
      <c r="AL7">
        <f t="shared" si="37"/>
        <v>32</v>
      </c>
      <c r="AM7">
        <f t="shared" si="38"/>
        <v>33</v>
      </c>
      <c r="AN7">
        <f t="shared" si="39"/>
        <v>34</v>
      </c>
      <c r="AO7">
        <f t="shared" si="40"/>
        <v>35</v>
      </c>
      <c r="AP7">
        <f t="shared" si="41"/>
        <v>36</v>
      </c>
      <c r="AQ7">
        <f t="shared" si="42"/>
        <v>37</v>
      </c>
      <c r="AR7">
        <f t="shared" si="43"/>
        <v>38</v>
      </c>
      <c r="AS7">
        <f t="shared" si="44"/>
        <v>39</v>
      </c>
    </row>
    <row r="8" spans="1:45" x14ac:dyDescent="0.4">
      <c r="A8" s="19" t="s">
        <v>200</v>
      </c>
      <c r="B8" s="19"/>
      <c r="C8" s="19"/>
      <c r="D8" s="3">
        <f>(1+'General Look Up Data'!$B$6)^D7</f>
        <v>0.96993210475266745</v>
      </c>
      <c r="E8" s="3">
        <f>(1+'General Look Up Data'!$B$6)^E7</f>
        <v>1</v>
      </c>
      <c r="F8" s="3">
        <f>(1+'General Look Up Data'!$B$6)^F7</f>
        <v>1</v>
      </c>
      <c r="G8" s="3">
        <f>(1+'General Look Up Data'!$B$6)^G7</f>
        <v>1.0309999999999999</v>
      </c>
      <c r="H8" s="3">
        <f>(1+'General Look Up Data'!$B$6)^H7</f>
        <v>1.0629609999999998</v>
      </c>
      <c r="I8" s="3">
        <f>(1+'General Look Up Data'!$B$6)^I7</f>
        <v>1.0959127909999997</v>
      </c>
      <c r="J8" s="3">
        <f>(1+'General Look Up Data'!$B$6)^J7</f>
        <v>1.1298860875209997</v>
      </c>
      <c r="K8" s="3">
        <f>(1+'General Look Up Data'!$B$6)^K7</f>
        <v>1.1649125562341507</v>
      </c>
      <c r="L8" s="3">
        <f>(1+'General Look Up Data'!$B$6)^L7</f>
        <v>1.2010248454774093</v>
      </c>
      <c r="M8" s="3">
        <f>(1+'General Look Up Data'!$B$6)^M7</f>
        <v>1.2382566156872088</v>
      </c>
      <c r="N8" s="3">
        <f>(1+'General Look Up Data'!$B$6)^N7</f>
        <v>1.2766425707735123</v>
      </c>
      <c r="O8" s="3">
        <f>(1+'General Look Up Data'!$B$6)^O7</f>
        <v>1.316218490467491</v>
      </c>
      <c r="P8" s="3">
        <f>(1+'General Look Up Data'!$B$6)^P7</f>
        <v>1.3570212636719832</v>
      </c>
      <c r="Q8" s="3">
        <f>(1+'General Look Up Data'!$B$6)^Q7</f>
        <v>1.3990889228458145</v>
      </c>
      <c r="R8" s="3">
        <f>(1+'General Look Up Data'!$B$6)^R7</f>
        <v>1.4424606794540349</v>
      </c>
      <c r="S8" s="3">
        <f>(1+'General Look Up Data'!$B$6)^S7</f>
        <v>1.4871769605171099</v>
      </c>
      <c r="T8" s="3">
        <f>(1+'General Look Up Data'!$B$6)^T7</f>
        <v>1.5332794462931401</v>
      </c>
      <c r="U8" s="3">
        <f>(1+'General Look Up Data'!$B$6)^U7</f>
        <v>1.5808111091282273</v>
      </c>
      <c r="V8" s="3">
        <f>(1+'General Look Up Data'!$B$6)^V7</f>
        <v>1.6298162535112024</v>
      </c>
      <c r="W8" s="3">
        <f>(1+'General Look Up Data'!$B$6)^W7</f>
        <v>1.6803405573700496</v>
      </c>
      <c r="X8" s="3">
        <f>(1+'General Look Up Data'!$B$6)^X7</f>
        <v>1.732431114648521</v>
      </c>
      <c r="Y8" s="3">
        <f>(1+'General Look Up Data'!$B$6)^Y7</f>
        <v>1.7861364792026249</v>
      </c>
      <c r="Z8" s="3">
        <f>(1+'General Look Up Data'!$B$6)^Z7</f>
        <v>1.8415067100579063</v>
      </c>
      <c r="AA8" s="3">
        <f>(1+'General Look Up Data'!$B$6)^AA7</f>
        <v>1.8985934180697013</v>
      </c>
      <c r="AB8" s="3">
        <f>(1+'General Look Up Data'!$B$6)^AB7</f>
        <v>1.957449814029862</v>
      </c>
      <c r="AC8" s="3">
        <f>(1+'General Look Up Data'!$B$6)^AC7</f>
        <v>2.0181307582647876</v>
      </c>
      <c r="AD8" s="3">
        <f>(1+'General Look Up Data'!$B$6)^AD7</f>
        <v>2.0806928117709957</v>
      </c>
      <c r="AE8" s="3">
        <f>(1+'General Look Up Data'!$B$6)^AE7</f>
        <v>2.1451942889358966</v>
      </c>
      <c r="AF8" s="3">
        <f>(1+'General Look Up Data'!$B$6)^AF7</f>
        <v>2.211695311892909</v>
      </c>
      <c r="AG8" s="3">
        <f>(1+'General Look Up Data'!$B$6)^AG7</f>
        <v>2.2802578665615894</v>
      </c>
      <c r="AH8" s="3">
        <f>(1+'General Look Up Data'!$B$6)^AH7</f>
        <v>2.3509458604249986</v>
      </c>
      <c r="AI8" s="3">
        <f>(1+'General Look Up Data'!$B$6)^AI7</f>
        <v>2.4238251820981733</v>
      </c>
      <c r="AJ8" s="3">
        <f>(1+'General Look Up Data'!$B$6)^AJ7</f>
        <v>2.4989637627432164</v>
      </c>
      <c r="AK8" s="3">
        <f>(1+'General Look Up Data'!$B$6)^AK7</f>
        <v>2.576431639388256</v>
      </c>
      <c r="AL8" s="3">
        <f>(1+'General Look Up Data'!$B$6)^AL7</f>
        <v>2.656301020209292</v>
      </c>
      <c r="AM8" s="3">
        <f>(1+'General Look Up Data'!$B$6)^AM7</f>
        <v>2.7386463518357798</v>
      </c>
      <c r="AN8" s="3">
        <f>(1+'General Look Up Data'!$B$6)^AN7</f>
        <v>2.8235443887426888</v>
      </c>
      <c r="AO8" s="3">
        <f>(1+'General Look Up Data'!$B$6)^AO7</f>
        <v>2.911074264793712</v>
      </c>
      <c r="AP8" s="3">
        <f>(1+'General Look Up Data'!$B$6)^AP7</f>
        <v>3.0013175670023169</v>
      </c>
      <c r="AQ8" s="3">
        <f>(1+'General Look Up Data'!$B$6)^AQ7</f>
        <v>3.094358411579389</v>
      </c>
      <c r="AR8" s="3">
        <f>(1+'General Look Up Data'!$B$6)^AR7</f>
        <v>3.1902835223383494</v>
      </c>
      <c r="AS8" s="3">
        <f>(1+'General Look Up Data'!$B$6)^AS7</f>
        <v>3.2891823115308378</v>
      </c>
    </row>
    <row r="9" spans="1:45" x14ac:dyDescent="0.4">
      <c r="A9" s="19" t="s">
        <v>201</v>
      </c>
      <c r="B9" s="19"/>
      <c r="C9" s="19"/>
      <c r="D9" s="3">
        <f>(1+'General Look Up Data'!$B$7)^D7</f>
        <v>0.98039215686274506</v>
      </c>
      <c r="E9" s="3">
        <f>(1+'General Look Up Data'!$B$7)^E7</f>
        <v>1</v>
      </c>
      <c r="F9" s="3">
        <f>(1+'General Look Up Data'!$B$7)^F7</f>
        <v>1</v>
      </c>
      <c r="G9" s="3">
        <f>(1+'General Look Up Data'!$B$7)^G7</f>
        <v>1.02</v>
      </c>
      <c r="H9" s="3">
        <f>(1+'General Look Up Data'!$B$7)^H7</f>
        <v>1.0404</v>
      </c>
      <c r="I9" s="3">
        <f>(1+'General Look Up Data'!$B$7)^I7</f>
        <v>1.0612079999999999</v>
      </c>
      <c r="J9" s="3">
        <f>(1+'General Look Up Data'!$B$7)^J7</f>
        <v>1.08243216</v>
      </c>
      <c r="K9" s="3">
        <f>(1+'General Look Up Data'!$B$7)^K7</f>
        <v>1.1040808032</v>
      </c>
      <c r="L9" s="3">
        <f>(1+'General Look Up Data'!$B$7)^L7</f>
        <v>1.1261624192640001</v>
      </c>
      <c r="M9" s="3">
        <f>(1+'General Look Up Data'!$B$7)^M7</f>
        <v>1.1486856676492798</v>
      </c>
      <c r="N9" s="3">
        <f>(1+'General Look Up Data'!$B$7)^N7</f>
        <v>1.1716593810022655</v>
      </c>
      <c r="O9" s="3">
        <f>(1+'General Look Up Data'!$B$7)^O7</f>
        <v>1.1950925686223108</v>
      </c>
      <c r="P9" s="3">
        <f>(1+'General Look Up Data'!$B$7)^P7</f>
        <v>1.2189944199947571</v>
      </c>
      <c r="Q9" s="3">
        <f>(1+'General Look Up Data'!$B$7)^Q7</f>
        <v>1.243374308394652</v>
      </c>
      <c r="R9" s="3">
        <f>(1+'General Look Up Data'!$B$7)^R7</f>
        <v>1.2682417945625453</v>
      </c>
      <c r="S9" s="3">
        <f>(1+'General Look Up Data'!$B$7)^S7</f>
        <v>1.2936066304537961</v>
      </c>
      <c r="T9" s="3">
        <f>(1+'General Look Up Data'!$B$7)^T7</f>
        <v>1.3194787630628722</v>
      </c>
      <c r="U9" s="3">
        <f>(1+'General Look Up Data'!$B$7)^U7</f>
        <v>1.3458683383241292</v>
      </c>
      <c r="V9" s="3">
        <f>(1+'General Look Up Data'!$B$7)^V7</f>
        <v>1.372785705090612</v>
      </c>
      <c r="W9" s="3">
        <f>(1+'General Look Up Data'!$B$7)^W7</f>
        <v>1.4002414191924244</v>
      </c>
      <c r="X9" s="3">
        <f>(1+'General Look Up Data'!$B$7)^X7</f>
        <v>1.4282462475762727</v>
      </c>
      <c r="Y9" s="3">
        <f>(1+'General Look Up Data'!$B$7)^Y7</f>
        <v>1.4568111725277981</v>
      </c>
      <c r="Z9" s="3">
        <f>(1+'General Look Up Data'!$B$7)^Z7</f>
        <v>1.4859473959783542</v>
      </c>
      <c r="AA9" s="3">
        <f>(1+'General Look Up Data'!$B$7)^AA7</f>
        <v>1.5156663438979212</v>
      </c>
      <c r="AB9" s="3">
        <f>(1+'General Look Up Data'!$B$7)^AB7</f>
        <v>1.5459796707758797</v>
      </c>
      <c r="AC9" s="3">
        <f>(1+'General Look Up Data'!$B$7)^AC7</f>
        <v>1.576899264191397</v>
      </c>
      <c r="AD9" s="3">
        <f>(1+'General Look Up Data'!$B$7)^AD7</f>
        <v>1.608437249475225</v>
      </c>
      <c r="AE9" s="3">
        <f>(1+'General Look Up Data'!$B$7)^AE7</f>
        <v>1.6406059944647295</v>
      </c>
      <c r="AF9" s="3">
        <f>(1+'General Look Up Data'!$B$7)^AF7</f>
        <v>1.6734181143540243</v>
      </c>
      <c r="AG9" s="3">
        <f>(1+'General Look Up Data'!$B$7)^AG7</f>
        <v>1.7068864766411045</v>
      </c>
      <c r="AH9" s="3">
        <f>(1+'General Look Up Data'!$B$7)^AH7</f>
        <v>1.7410242061739269</v>
      </c>
      <c r="AI9" s="3">
        <f>(1+'General Look Up Data'!$B$7)^AI7</f>
        <v>1.7758446902974052</v>
      </c>
      <c r="AJ9" s="3">
        <f>(1+'General Look Up Data'!$B$7)^AJ7</f>
        <v>1.8113615841033535</v>
      </c>
      <c r="AK9" s="3">
        <f>(1+'General Look Up Data'!$B$7)^AK7</f>
        <v>1.8475888157854201</v>
      </c>
      <c r="AL9" s="3">
        <f>(1+'General Look Up Data'!$B$7)^AL7</f>
        <v>1.8845405921011289</v>
      </c>
      <c r="AM9" s="3">
        <f>(1+'General Look Up Data'!$B$7)^AM7</f>
        <v>1.9222314039431516</v>
      </c>
      <c r="AN9" s="3">
        <f>(1+'General Look Up Data'!$B$7)^AN7</f>
        <v>1.9606760320220145</v>
      </c>
      <c r="AO9" s="3">
        <f>(1+'General Look Up Data'!$B$7)^AO7</f>
        <v>1.9998895526624547</v>
      </c>
      <c r="AP9" s="3">
        <f>(1+'General Look Up Data'!$B$7)^AP7</f>
        <v>2.0398873437157037</v>
      </c>
      <c r="AQ9" s="3">
        <f>(1+'General Look Up Data'!$B$7)^AQ7</f>
        <v>2.080685090590018</v>
      </c>
      <c r="AR9" s="3">
        <f>(1+'General Look Up Data'!$B$7)^AR7</f>
        <v>2.1222987924018186</v>
      </c>
      <c r="AS9" s="3">
        <f>(1+'General Look Up Data'!$B$7)^AS7</f>
        <v>2.1647447682498542</v>
      </c>
    </row>
    <row r="10" spans="1:45" x14ac:dyDescent="0.4">
      <c r="E10" s="3"/>
      <c r="F10" s="3"/>
      <c r="G10" s="3"/>
      <c r="H10" s="3"/>
      <c r="I10" s="3"/>
      <c r="J10" s="3"/>
      <c r="K10" s="3"/>
      <c r="L10" s="3"/>
      <c r="M10" s="3" t="s">
        <v>6</v>
      </c>
      <c r="N10" s="3"/>
      <c r="O10" s="3"/>
      <c r="P10" s="3"/>
      <c r="Q10" s="3"/>
      <c r="R10" s="3"/>
      <c r="S10" s="3"/>
      <c r="T10" s="3"/>
      <c r="U10" s="3"/>
      <c r="V10" s="3"/>
      <c r="W10" s="3"/>
      <c r="X10" s="3"/>
      <c r="Y10" s="3"/>
      <c r="Z10" s="3"/>
      <c r="AA10" s="3"/>
    </row>
    <row r="11" spans="1:45" ht="18.45" x14ac:dyDescent="0.5">
      <c r="A11" s="108" t="s">
        <v>189</v>
      </c>
      <c r="B11" s="29" t="s">
        <v>7</v>
      </c>
      <c r="C11" s="29"/>
      <c r="D11" s="29"/>
    </row>
    <row r="12" spans="1:45" x14ac:dyDescent="0.4">
      <c r="A12" s="32" t="s">
        <v>190</v>
      </c>
      <c r="B12" s="26">
        <f>SUM(D12:AS12)</f>
        <v>16472507.657457419</v>
      </c>
      <c r="C12" s="26"/>
      <c r="D12" s="26"/>
      <c r="E12" s="25"/>
      <c r="F12" s="25"/>
      <c r="G12" s="25"/>
      <c r="H12" s="25"/>
      <c r="I12" s="25">
        <f>'Capital Costs'!F10/I8</f>
        <v>474214.71611229691</v>
      </c>
      <c r="J12" s="25">
        <f>'Capital Costs'!G10/J8</f>
        <v>459956.0777034887</v>
      </c>
      <c r="K12" s="25">
        <f>'Capital Costs'!H10/K8</f>
        <v>446126.1665407262</v>
      </c>
      <c r="L12" s="25">
        <f>'Capital Costs'!I10/L8</f>
        <v>432712.0916980856</v>
      </c>
      <c r="M12" s="25">
        <f>'Capital Costs'!J10/M8</f>
        <v>5036416.1982318414</v>
      </c>
      <c r="N12" s="25">
        <f>'Capital Costs'!K10/N8</f>
        <v>4884981.7635614369</v>
      </c>
      <c r="O12" s="25">
        <f>'Capital Costs'!L10/O8</f>
        <v>4738100.6436095415</v>
      </c>
      <c r="P12" s="25"/>
      <c r="Q12" s="25"/>
      <c r="R12" s="25"/>
      <c r="S12" s="25"/>
      <c r="T12" s="25"/>
      <c r="U12" s="25"/>
      <c r="V12" s="25"/>
      <c r="W12" s="25"/>
      <c r="X12" s="25"/>
      <c r="Y12" s="25"/>
      <c r="Z12" s="25"/>
      <c r="AA12" s="25"/>
      <c r="AB12" s="25"/>
      <c r="AC12" s="25"/>
      <c r="AD12" s="25"/>
      <c r="AE12" s="25"/>
      <c r="AF12" s="25"/>
      <c r="AG12" s="25"/>
      <c r="AH12" s="25"/>
      <c r="AI12" s="25"/>
    </row>
    <row r="13" spans="1:45" x14ac:dyDescent="0.4">
      <c r="A13" t="s">
        <v>191</v>
      </c>
      <c r="B13" s="26">
        <f>SUM(D13:AS13)</f>
        <v>336856.94534765347</v>
      </c>
      <c r="C13" s="27"/>
      <c r="D13" s="27"/>
      <c r="E13" s="16"/>
      <c r="F13" s="16"/>
      <c r="G13" s="16"/>
      <c r="H13" s="16"/>
      <c r="I13" s="16"/>
      <c r="J13" s="16"/>
      <c r="K13" s="16"/>
      <c r="L13" s="16"/>
      <c r="M13" s="16"/>
      <c r="N13" s="16"/>
      <c r="O13" s="16"/>
      <c r="P13" s="16">
        <f>'Maintenance Cost'!F9/P8</f>
        <v>3684.5406434313554</v>
      </c>
      <c r="Q13" s="16">
        <f>'Maintenance Cost'!G9/Q8</f>
        <v>3573.7542613301221</v>
      </c>
      <c r="R13" s="16">
        <f>'Maintenance Cost'!H9/R8</f>
        <v>3466.298992560739</v>
      </c>
      <c r="S13" s="16">
        <f>'Maintenance Cost'!I9/S8</f>
        <v>3362.074677556488</v>
      </c>
      <c r="T13" s="16">
        <f>'Maintenance Cost'!J9/T8</f>
        <v>3260.98416833801</v>
      </c>
      <c r="U13" s="16">
        <f>'Maintenance Cost'!K9/U8</f>
        <v>3162.9332379612129</v>
      </c>
      <c r="V13" s="16">
        <f>'Maintenance Cost'!L9/V8</f>
        <v>3067.8304926878882</v>
      </c>
      <c r="W13" s="16">
        <f>'Maintenance Cost'!M9/W8</f>
        <v>2975.5872867971757</v>
      </c>
      <c r="X13" s="16">
        <f>'Maintenance Cost'!N9/X8</f>
        <v>2886.1176399584638</v>
      </c>
      <c r="Y13" s="16">
        <f>'Maintenance Cost'!O9/Y8</f>
        <v>2799.3381570887141</v>
      </c>
      <c r="Z13" s="16">
        <f>'Maintenance Cost'!P9/Z8</f>
        <v>2715.1679506195092</v>
      </c>
      <c r="AA13" s="16">
        <f>'Maintenance Cost'!Q9/AA8</f>
        <v>265986.38507523807</v>
      </c>
      <c r="AB13" s="16">
        <f>'Maintenance Cost'!R9/AB8</f>
        <v>2554.3439040750409</v>
      </c>
      <c r="AC13" s="16">
        <f>'Maintenance Cost'!S9/AC8</f>
        <v>2477.5401591416498</v>
      </c>
      <c r="AD13" s="16">
        <f>'Maintenance Cost'!T9/AD8</f>
        <v>2403.0457411655188</v>
      </c>
      <c r="AE13" s="16">
        <f>'Maintenance Cost'!U9/AE8</f>
        <v>2330.7912135456054</v>
      </c>
      <c r="AF13" s="16">
        <f>'Maintenance Cost'!V9/AF8</f>
        <v>2260.7092274933129</v>
      </c>
      <c r="AG13" s="16">
        <f>'Maintenance Cost'!W9/AG8</f>
        <v>2192.7344592563654</v>
      </c>
      <c r="AH13" s="16">
        <f>'Maintenance Cost'!X9/AH8</f>
        <v>2126.8035492302283</v>
      </c>
      <c r="AI13" s="16">
        <f>'Maintenance Cost'!Y9/AI8</f>
        <v>2062.8550429003185</v>
      </c>
      <c r="AJ13" s="16">
        <f>'Maintenance Cost'!Z9/AJ8</f>
        <v>2000.8293335599601</v>
      </c>
      <c r="AK13" s="16">
        <f>'Maintenance Cost'!AA9/AK8</f>
        <v>1940.6686067506889</v>
      </c>
      <c r="AL13" s="16">
        <f>'Maintenance Cost'!AB9/AL8</f>
        <v>1882.3167863731221</v>
      </c>
      <c r="AM13" s="16">
        <f>'Maintenance Cost'!AC9/AM8</f>
        <v>1825.7194824181593</v>
      </c>
      <c r="AN13" s="16">
        <f>'Maintenance Cost'!AD9/AN8</f>
        <v>1770.8239402697957</v>
      </c>
      <c r="AO13" s="16">
        <f>'Maintenance Cost'!AE9/AO8</f>
        <v>1717.5789915322946</v>
      </c>
      <c r="AP13" s="16">
        <f>'Maintenance Cost'!AF9/AP8</f>
        <v>1665.9350063358825</v>
      </c>
      <c r="AQ13" s="16">
        <f>'Maintenance Cost'!AG9/AQ8</f>
        <v>1615.8438470765104</v>
      </c>
      <c r="AR13" s="16">
        <f>'Maintenance Cost'!AH9/AR8</f>
        <v>1567.2588235465671</v>
      </c>
      <c r="AS13" s="16">
        <f>'Maintenance Cost'!AI9/AS8</f>
        <v>1520.1346494147112</v>
      </c>
    </row>
    <row r="14" spans="1:45" x14ac:dyDescent="0.4">
      <c r="A14" s="12" t="s">
        <v>240</v>
      </c>
      <c r="B14" s="27">
        <f>B12+B13</f>
        <v>16809364.602805071</v>
      </c>
      <c r="C14" s="27"/>
      <c r="D14" s="27"/>
      <c r="E14" s="16"/>
      <c r="F14" s="16"/>
      <c r="G14" s="16"/>
      <c r="H14" s="16"/>
      <c r="I14" s="16"/>
      <c r="J14" s="16"/>
      <c r="K14" s="16"/>
      <c r="L14" s="16"/>
      <c r="M14" s="16"/>
      <c r="N14" s="16"/>
      <c r="O14" s="16"/>
      <c r="P14" s="16"/>
      <c r="Q14" s="16"/>
      <c r="R14" s="16"/>
      <c r="S14" s="16"/>
      <c r="T14" s="16"/>
      <c r="U14" s="16"/>
      <c r="V14" s="16"/>
      <c r="W14" s="16"/>
      <c r="X14" s="16"/>
      <c r="Y14" s="16"/>
      <c r="Z14" s="16"/>
      <c r="AA14" s="16"/>
      <c r="AB14" s="9"/>
    </row>
    <row r="15" spans="1:45" x14ac:dyDescent="0.4">
      <c r="B15" s="27"/>
      <c r="C15" s="27"/>
      <c r="D15" s="27"/>
      <c r="E15" s="16"/>
      <c r="F15" s="16"/>
      <c r="G15" s="16"/>
      <c r="H15" s="16"/>
      <c r="I15" s="16"/>
      <c r="J15" s="16"/>
      <c r="K15" s="16"/>
      <c r="L15" s="16"/>
      <c r="M15" s="16"/>
      <c r="N15" s="16"/>
      <c r="O15" s="16"/>
      <c r="P15" s="16"/>
      <c r="Q15" s="16"/>
      <c r="R15" s="16"/>
      <c r="S15" s="16"/>
      <c r="T15" s="16"/>
      <c r="U15" s="16"/>
      <c r="V15" s="16"/>
      <c r="W15" s="16"/>
      <c r="X15" s="16"/>
      <c r="Y15" s="16"/>
      <c r="Z15" s="16"/>
      <c r="AA15" s="16"/>
      <c r="AB15" s="9"/>
    </row>
    <row r="16" spans="1:45" ht="17.5" customHeight="1" x14ac:dyDescent="0.5">
      <c r="A16" s="108" t="s">
        <v>8</v>
      </c>
      <c r="B16" s="28"/>
      <c r="C16" s="28"/>
      <c r="D16" s="28"/>
    </row>
    <row r="17" spans="1:45" x14ac:dyDescent="0.4">
      <c r="A17" s="111" t="s">
        <v>9</v>
      </c>
      <c r="B17" s="26">
        <f>SUM(D17:AS17)</f>
        <v>2275231.3807423911</v>
      </c>
      <c r="C17" s="26"/>
      <c r="D17" s="26"/>
      <c r="I17" s="39"/>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L17" s="24">
        <f>'Capital Costs'!AK13/AL8</f>
        <v>0</v>
      </c>
      <c r="AQ17" s="49"/>
      <c r="AS17" s="24">
        <f>'Capital Costs'!AP12/AS8</f>
        <v>2275231.3807423911</v>
      </c>
    </row>
    <row r="18" spans="1:45" x14ac:dyDescent="0.4">
      <c r="A18" s="111" t="s">
        <v>10</v>
      </c>
      <c r="B18" s="110"/>
      <c r="C18" s="26"/>
      <c r="D18" s="26"/>
      <c r="I18" s="39"/>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row>
    <row r="19" spans="1:45" x14ac:dyDescent="0.4">
      <c r="A19" s="137" t="s">
        <v>277</v>
      </c>
      <c r="B19" s="26">
        <f>SUM(D19:AS19)</f>
        <v>1437531.390698689</v>
      </c>
      <c r="C19" s="26"/>
      <c r="D19" s="26"/>
      <c r="I19" s="39"/>
      <c r="J19" s="43"/>
      <c r="K19" s="43"/>
      <c r="L19" s="43"/>
      <c r="M19" s="43"/>
      <c r="N19" s="43"/>
      <c r="O19" s="43"/>
      <c r="P19" s="43">
        <f>'Bike and Ped User Benefits'!C11/P8</f>
        <v>72059.159143461002</v>
      </c>
      <c r="Q19" s="43">
        <f>'Bike and Ped User Benefits'!D11/Q8</f>
        <v>69892.491894724546</v>
      </c>
      <c r="R19" s="43">
        <f>'Bike and Ped User Benefits'!E11/R8</f>
        <v>67790.971769858923</v>
      </c>
      <c r="S19" s="43">
        <f>'Bike and Ped User Benefits'!F11/S8</f>
        <v>65752.639931967919</v>
      </c>
      <c r="T19" s="43">
        <f>'Bike and Ped User Benefits'!G11/T8</f>
        <v>63775.596442257935</v>
      </c>
      <c r="U19" s="43">
        <f>'Bike and Ped User Benefits'!H11/U8</f>
        <v>61857.99848909596</v>
      </c>
      <c r="V19" s="43">
        <f>'Bike and Ped User Benefits'!I11/V8</f>
        <v>59998.058670316161</v>
      </c>
      <c r="W19" s="43">
        <f>'Bike and Ped User Benefits'!J11/W8</f>
        <v>58194.043327173771</v>
      </c>
      <c r="X19" s="43">
        <f>'Bike and Ped User Benefits'!K11/X8</f>
        <v>56444.270928393576</v>
      </c>
      <c r="Y19" s="43">
        <f>'Bike and Ped User Benefits'!L11/Y8</f>
        <v>54747.110502806587</v>
      </c>
      <c r="Z19" s="43">
        <f>'Bike and Ped User Benefits'!M11/Z8</f>
        <v>53100.980119114043</v>
      </c>
      <c r="AA19" s="43">
        <f>'Bike and Ped User Benefits'!N11/AA8</f>
        <v>51504.345411361835</v>
      </c>
      <c r="AB19" s="43">
        <f>'Bike and Ped User Benefits'!O11/AB8</f>
        <v>49955.718148750566</v>
      </c>
      <c r="AC19" s="43">
        <f>'Bike and Ped User Benefits'!P11/AC8</f>
        <v>48453.654848448663</v>
      </c>
      <c r="AD19" s="43">
        <f>'Bike and Ped User Benefits'!Q11/AD8</f>
        <v>46996.755430115096</v>
      </c>
      <c r="AE19" s="43">
        <f>'Bike and Ped User Benefits'!R11/AE8</f>
        <v>45583.661910877883</v>
      </c>
      <c r="AF19" s="43">
        <f>'Bike and Ped User Benefits'!S11/AF8</f>
        <v>44213.057139551784</v>
      </c>
      <c r="AG19" s="43">
        <f>'Bike and Ped User Benefits'!T11/AG8</f>
        <v>42883.663568915406</v>
      </c>
      <c r="AH19" s="43">
        <f>'Bike and Ped User Benefits'!U11/AH8</f>
        <v>41594.242064903403</v>
      </c>
      <c r="AI19" s="43">
        <f>'Bike and Ped User Benefits'!V11/AI8</f>
        <v>40343.59075160369</v>
      </c>
      <c r="AJ19" s="43">
        <f>'Bike and Ped User Benefits'!W11/AJ8</f>
        <v>39130.543890983216</v>
      </c>
      <c r="AK19" s="43">
        <f>'Bike and Ped User Benefits'!X11/AK8</f>
        <v>37953.970796297981</v>
      </c>
      <c r="AL19" s="43">
        <f>'Bike and Ped User Benefits'!Y11/AL8</f>
        <v>36812.774778174564</v>
      </c>
      <c r="AM19" s="43">
        <f>'Bike and Ped User Benefits'!Z11/AM8</f>
        <v>35705.89212238077</v>
      </c>
      <c r="AN19" s="43">
        <f>'Bike and Ped User Benefits'!AA11/AN8</f>
        <v>34632.291098332462</v>
      </c>
      <c r="AO19" s="43">
        <f>'Bike and Ped User Benefits'!AB11/AO8</f>
        <v>33590.970997412674</v>
      </c>
      <c r="AP19" s="43">
        <f>'Bike and Ped User Benefits'!AC11/AP8</f>
        <v>32580.961200206279</v>
      </c>
      <c r="AQ19" s="43">
        <f>'Bike and Ped User Benefits'!AD11/AQ8</f>
        <v>31601.320271781064</v>
      </c>
      <c r="AR19" s="43">
        <f>'Bike and Ped User Benefits'!AE11/AR8</f>
        <v>30651.135084171747</v>
      </c>
      <c r="AS19" s="43">
        <f>'Bike and Ped User Benefits'!AF11/AS8</f>
        <v>29729.51996524903</v>
      </c>
    </row>
    <row r="20" spans="1:45" x14ac:dyDescent="0.4">
      <c r="A20" s="137" t="s">
        <v>278</v>
      </c>
      <c r="B20" s="26">
        <f>SUM(D20:AS20)</f>
        <v>8495838.7417768054</v>
      </c>
      <c r="C20" s="26"/>
      <c r="D20" s="26"/>
      <c r="I20" s="39"/>
      <c r="J20" s="43"/>
      <c r="K20" s="43"/>
      <c r="L20" s="43"/>
      <c r="M20" s="43"/>
      <c r="N20" s="43"/>
      <c r="O20" s="43"/>
      <c r="P20" s="43">
        <f>'Bike and Ped User Benefits'!C12/P$8</f>
        <v>425871.0452599753</v>
      </c>
      <c r="Q20" s="43">
        <f>'Bike and Ped User Benefits'!D12/Q$8</f>
        <v>413065.99928222632</v>
      </c>
      <c r="R20" s="43">
        <f>'Bike and Ped User Benefits'!E12/R$8</f>
        <v>400645.97408557351</v>
      </c>
      <c r="S20" s="43">
        <f>'Bike and Ped User Benefits'!F12/S$8</f>
        <v>388599.39290550293</v>
      </c>
      <c r="T20" s="43">
        <f>'Bike and Ped User Benefits'!G12/T$8</f>
        <v>376915.02706644323</v>
      </c>
      <c r="U20" s="43">
        <f>'Bike and Ped User Benefits'!H12/U$8</f>
        <v>365581.98551546392</v>
      </c>
      <c r="V20" s="43">
        <f>'Bike and Ped User Benefits'!I12/V$8</f>
        <v>354589.704670673</v>
      </c>
      <c r="W20" s="43">
        <f>'Bike and Ped User Benefits'!J12/W$8</f>
        <v>343927.9385748526</v>
      </c>
      <c r="X20" s="43">
        <f>'Bike and Ped User Benefits'!K12/X$8</f>
        <v>333586.74934515293</v>
      </c>
      <c r="Y20" s="43">
        <f>'Bike and Ped User Benefits'!L12/Y$8</f>
        <v>323556.49790994468</v>
      </c>
      <c r="Z20" s="43">
        <f>'Bike and Ped User Benefits'!M12/Z$8</f>
        <v>313827.83502419462</v>
      </c>
      <c r="AA20" s="43">
        <f>'Bike and Ped User Benefits'!N12/AA$8</f>
        <v>304391.69255498995</v>
      </c>
      <c r="AB20" s="43">
        <f>'Bike and Ped User Benefits'!O12/AB$8</f>
        <v>295239.27502908825</v>
      </c>
      <c r="AC20" s="43">
        <f>'Bike and Ped User Benefits'!P12/AC$8</f>
        <v>286362.05143461516</v>
      </c>
      <c r="AD20" s="43">
        <f>'Bike and Ped User Benefits'!Q12/AD$8</f>
        <v>277751.74726926791</v>
      </c>
      <c r="AE20" s="43">
        <f>'Bike and Ped User Benefits'!R12/AE$8</f>
        <v>269400.33682761196</v>
      </c>
      <c r="AF20" s="43">
        <f>'Bike and Ped User Benefits'!S12/AF$8</f>
        <v>261300.03572028319</v>
      </c>
      <c r="AG20" s="43">
        <f>'Bike and Ped User Benefits'!T12/AG$8</f>
        <v>253443.29361812142</v>
      </c>
      <c r="AH20" s="43">
        <f>'Bike and Ped User Benefits'!U12/AH$8</f>
        <v>245822.78721447274</v>
      </c>
      <c r="AI20" s="43">
        <f>'Bike and Ped User Benefits'!V12/AI$8</f>
        <v>238431.41339910065</v>
      </c>
      <c r="AJ20" s="43">
        <f>'Bike and Ped User Benefits'!W12/AJ$8</f>
        <v>231262.28263734304</v>
      </c>
      <c r="AK20" s="43">
        <f>'Bike and Ped User Benefits'!X12/AK$8</f>
        <v>224308.7125483444</v>
      </c>
      <c r="AL20" s="43">
        <f>'Bike and Ped User Benefits'!Y12/AL$8</f>
        <v>217564.22167637671</v>
      </c>
      <c r="AM20" s="43">
        <f>'Bike and Ped User Benefits'!Z12/AM$8</f>
        <v>211022.52344944398</v>
      </c>
      <c r="AN20" s="43">
        <f>'Bike and Ped User Benefits'!AA12/AN$8</f>
        <v>204677.52031953831</v>
      </c>
      <c r="AO20" s="43">
        <f>'Bike and Ped User Benefits'!AB12/AO$8</f>
        <v>198523.29807908661</v>
      </c>
      <c r="AP20" s="43">
        <f>'Bike and Ped User Benefits'!AC12/AP$8</f>
        <v>192554.12034828964</v>
      </c>
      <c r="AQ20" s="43">
        <f>'Bike and Ped User Benefits'!AD12/AQ$8</f>
        <v>186764.42322821496</v>
      </c>
      <c r="AR20" s="43">
        <f>'Bike and Ped User Benefits'!AE12/AR$8</f>
        <v>181148.81011466053</v>
      </c>
      <c r="AS20" s="43">
        <f>'Bike and Ped User Benefits'!AF12/AS$8</f>
        <v>175702.04666795398</v>
      </c>
    </row>
    <row r="21" spans="1:45" x14ac:dyDescent="0.4">
      <c r="A21" s="111" t="s">
        <v>295</v>
      </c>
      <c r="B21" s="26">
        <f>SUM(D21:AS21)</f>
        <v>3916523.0068824366</v>
      </c>
      <c r="C21" s="26"/>
      <c r="D21" s="26"/>
      <c r="I21" s="39"/>
      <c r="J21" s="43"/>
      <c r="K21" s="43"/>
      <c r="L21" s="43"/>
      <c r="M21" s="43"/>
      <c r="N21" s="43">
        <f>'Active Market Parameters'!I13/N8</f>
        <v>3916523.0068824366</v>
      </c>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row>
    <row r="22" spans="1:45" x14ac:dyDescent="0.4">
      <c r="A22" s="50" t="s">
        <v>196</v>
      </c>
      <c r="B22" s="27">
        <f>SUM(B17:B21)</f>
        <v>16125124.520100322</v>
      </c>
      <c r="C22" s="27"/>
      <c r="D22" s="27"/>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row>
    <row r="23" spans="1:45" x14ac:dyDescent="0.4">
      <c r="A23" s="32"/>
      <c r="B23" s="15"/>
      <c r="C23" s="15"/>
      <c r="D23" s="15"/>
      <c r="K23" s="9"/>
      <c r="L23" s="9"/>
      <c r="M23" s="9"/>
      <c r="N23" s="9"/>
      <c r="O23" s="9"/>
      <c r="P23" s="9"/>
      <c r="Q23" s="9"/>
      <c r="R23" s="9"/>
      <c r="S23" s="9"/>
      <c r="T23" s="9"/>
      <c r="U23" s="9"/>
      <c r="V23" s="9"/>
      <c r="W23" s="9"/>
      <c r="X23" s="9"/>
      <c r="Y23" s="9"/>
      <c r="Z23" s="9"/>
      <c r="AA23" s="9"/>
    </row>
    <row r="24" spans="1:45" ht="15" thickBot="1" x14ac:dyDescent="0.45">
      <c r="A24" s="13" t="s">
        <v>188</v>
      </c>
      <c r="B24" s="15"/>
      <c r="C24" s="15"/>
      <c r="D24" s="15"/>
      <c r="K24" s="9"/>
      <c r="L24" s="9"/>
      <c r="M24" s="9"/>
      <c r="N24" s="9"/>
      <c r="O24" s="9"/>
      <c r="P24" s="9"/>
      <c r="Q24" s="9"/>
      <c r="R24" s="9"/>
      <c r="S24" s="9"/>
      <c r="T24" s="9"/>
      <c r="U24" s="9"/>
      <c r="V24" s="9" t="s">
        <v>6</v>
      </c>
      <c r="W24" s="9"/>
      <c r="X24" s="9"/>
      <c r="Y24" s="9"/>
      <c r="Z24" s="9"/>
      <c r="AA24" s="9"/>
    </row>
    <row r="25" spans="1:45" x14ac:dyDescent="0.4">
      <c r="A25" s="34" t="s">
        <v>197</v>
      </c>
      <c r="B25" s="138">
        <f>B22/B14</f>
        <v>0.95929411379472573</v>
      </c>
      <c r="C25" s="78"/>
      <c r="D25" s="78"/>
    </row>
    <row r="26" spans="1:45" ht="15" thickBot="1" x14ac:dyDescent="0.45">
      <c r="A26" s="33" t="s">
        <v>198</v>
      </c>
      <c r="B26" s="152">
        <f>B22-B12</f>
        <v>-347383.13735709712</v>
      </c>
      <c r="C26" s="79"/>
      <c r="D26" s="79"/>
      <c r="L26" s="24"/>
    </row>
    <row r="27" spans="1:45" x14ac:dyDescent="0.4">
      <c r="B27" s="139"/>
      <c r="C27" s="79"/>
      <c r="D27" s="79"/>
    </row>
    <row r="28" spans="1:45" x14ac:dyDescent="0.4">
      <c r="B28" s="47"/>
      <c r="C28" s="47"/>
      <c r="D28" s="47"/>
    </row>
    <row r="29" spans="1:45" x14ac:dyDescent="0.4">
      <c r="A29" s="20"/>
      <c r="B29" s="47"/>
      <c r="C29" s="47"/>
      <c r="D29" s="47"/>
    </row>
    <row r="30" spans="1:45" x14ac:dyDescent="0.4">
      <c r="B30" s="38"/>
      <c r="C30" s="51"/>
      <c r="D30" s="51"/>
    </row>
    <row r="31" spans="1:45" x14ac:dyDescent="0.4">
      <c r="B31" s="38"/>
    </row>
    <row r="32" spans="1:45" x14ac:dyDescent="0.4">
      <c r="B32" s="38"/>
    </row>
    <row r="33" spans="1:2" x14ac:dyDescent="0.4">
      <c r="A33" s="32"/>
      <c r="B33" s="38"/>
    </row>
  </sheetData>
  <mergeCells count="2">
    <mergeCell ref="I3:L3"/>
    <mergeCell ref="M3:O3"/>
  </mergeCells>
  <pageMargins left="0.25" right="0.25" top="0.75" bottom="0.75" header="0.3" footer="0.3"/>
  <pageSetup paperSize="3"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54974-D6EF-41D3-BE8D-E3EEAF8C2783}">
  <sheetPr>
    <tabColor rgb="FFF4B084"/>
  </sheetPr>
  <dimension ref="A1:M29"/>
  <sheetViews>
    <sheetView zoomScale="60" zoomScaleNormal="60" workbookViewId="0">
      <selection activeCell="J17" sqref="J17:M17"/>
    </sheetView>
  </sheetViews>
  <sheetFormatPr defaultRowHeight="14.6" x14ac:dyDescent="0.4"/>
  <cols>
    <col min="1" max="1" width="63.07421875" customWidth="1"/>
    <col min="2" max="2" width="18" customWidth="1"/>
    <col min="3" max="3" width="17.69140625" customWidth="1"/>
    <col min="4" max="4" width="19.69140625" customWidth="1"/>
    <col min="5" max="5" width="17.61328125" customWidth="1"/>
    <col min="6" max="6" width="18.4609375" customWidth="1"/>
    <col min="7" max="7" width="22.61328125" customWidth="1"/>
    <col min="8" max="12" width="16.69140625" customWidth="1"/>
  </cols>
  <sheetData>
    <row r="1" spans="1:13" ht="20.6" x14ac:dyDescent="0.55000000000000004">
      <c r="A1" s="229" t="s">
        <v>269</v>
      </c>
    </row>
    <row r="2" spans="1:13" ht="21" thickBot="1" x14ac:dyDescent="0.6">
      <c r="A2" s="228"/>
    </row>
    <row r="3" spans="1:13" ht="18.899999999999999" thickBot="1" x14ac:dyDescent="0.55000000000000004">
      <c r="A3" s="230" t="s">
        <v>290</v>
      </c>
      <c r="B3" s="253" t="s">
        <v>116</v>
      </c>
      <c r="C3" s="253" t="s">
        <v>117</v>
      </c>
      <c r="D3" s="253" t="s">
        <v>118</v>
      </c>
      <c r="E3" s="253" t="s">
        <v>119</v>
      </c>
      <c r="F3" s="219" t="s">
        <v>120</v>
      </c>
      <c r="G3" s="256" t="s">
        <v>20</v>
      </c>
      <c r="I3" s="12" t="s">
        <v>296</v>
      </c>
    </row>
    <row r="4" spans="1:13" x14ac:dyDescent="0.4">
      <c r="A4" s="215" t="s">
        <v>121</v>
      </c>
      <c r="B4" s="254">
        <v>2465</v>
      </c>
      <c r="C4" s="254">
        <v>2044</v>
      </c>
      <c r="D4" s="254">
        <v>806</v>
      </c>
      <c r="E4" s="254">
        <v>2519</v>
      </c>
      <c r="F4" s="217">
        <v>1666</v>
      </c>
      <c r="G4" s="257">
        <f>SUM(B4:F4)</f>
        <v>9500</v>
      </c>
      <c r="I4" s="34"/>
      <c r="J4" s="21"/>
      <c r="K4" s="21"/>
      <c r="L4" s="21"/>
      <c r="M4" s="22"/>
    </row>
    <row r="5" spans="1:13" ht="15" thickBot="1" x14ac:dyDescent="0.45">
      <c r="A5" s="216" t="s">
        <v>122</v>
      </c>
      <c r="B5" s="255">
        <v>2299</v>
      </c>
      <c r="C5" s="255">
        <v>1970</v>
      </c>
      <c r="D5" s="255">
        <v>742</v>
      </c>
      <c r="E5" s="255">
        <v>2237</v>
      </c>
      <c r="F5" s="156">
        <v>1376</v>
      </c>
      <c r="G5" s="258">
        <f>SUM(B5:F5)</f>
        <v>8624</v>
      </c>
      <c r="I5" s="30"/>
      <c r="M5" s="35"/>
    </row>
    <row r="6" spans="1:13" ht="15" thickBot="1" x14ac:dyDescent="0.45">
      <c r="A6" s="33"/>
      <c r="B6" s="36"/>
      <c r="C6" s="36"/>
      <c r="D6" s="36"/>
      <c r="E6" s="36"/>
      <c r="F6" s="36"/>
      <c r="G6" s="35"/>
      <c r="I6" s="30">
        <v>1000</v>
      </c>
      <c r="J6" s="364" t="s">
        <v>297</v>
      </c>
      <c r="K6" s="364"/>
      <c r="L6" s="364"/>
      <c r="M6" s="365"/>
    </row>
    <row r="7" spans="1:13" ht="13.5" hidden="1" customHeight="1" thickBot="1" x14ac:dyDescent="0.45">
      <c r="A7" s="221"/>
      <c r="B7" s="222" t="s">
        <v>116</v>
      </c>
      <c r="C7" s="222" t="s">
        <v>117</v>
      </c>
      <c r="D7" s="222" t="s">
        <v>118</v>
      </c>
      <c r="E7" s="222" t="s">
        <v>119</v>
      </c>
      <c r="F7" s="222" t="s">
        <v>120</v>
      </c>
      <c r="G7" s="279" t="s">
        <v>20</v>
      </c>
      <c r="I7" s="30"/>
      <c r="M7" s="35"/>
    </row>
    <row r="8" spans="1:13" ht="15" hidden="1" customHeight="1" thickBot="1" x14ac:dyDescent="0.45">
      <c r="A8" s="226" t="s">
        <v>270</v>
      </c>
      <c r="B8" s="223">
        <f t="shared" ref="B8:F9" si="0">B4</f>
        <v>2465</v>
      </c>
      <c r="C8" s="223">
        <f t="shared" si="0"/>
        <v>2044</v>
      </c>
      <c r="D8" s="223">
        <f t="shared" si="0"/>
        <v>806</v>
      </c>
      <c r="E8" s="223">
        <f t="shared" si="0"/>
        <v>2519</v>
      </c>
      <c r="F8" s="223">
        <f t="shared" si="0"/>
        <v>1666</v>
      </c>
      <c r="G8" s="257">
        <f>SUM(B8:F8)</f>
        <v>9500</v>
      </c>
      <c r="I8" s="30"/>
      <c r="M8" s="35"/>
    </row>
    <row r="9" spans="1:13" ht="15" hidden="1" customHeight="1" thickBot="1" x14ac:dyDescent="0.45">
      <c r="A9" s="227" t="s">
        <v>271</v>
      </c>
      <c r="B9" s="224">
        <f t="shared" si="0"/>
        <v>2299</v>
      </c>
      <c r="C9" s="224">
        <f t="shared" si="0"/>
        <v>1970</v>
      </c>
      <c r="D9" s="224">
        <f t="shared" si="0"/>
        <v>742</v>
      </c>
      <c r="E9" s="224">
        <f t="shared" si="0"/>
        <v>2237</v>
      </c>
      <c r="F9" s="224">
        <f t="shared" si="0"/>
        <v>1376</v>
      </c>
      <c r="G9" s="258">
        <f>SUM(B9:F9)</f>
        <v>8624</v>
      </c>
      <c r="I9" s="290">
        <f>I6*5000</f>
        <v>5000000</v>
      </c>
      <c r="J9" s="366" t="s">
        <v>298</v>
      </c>
      <c r="K9" s="366"/>
      <c r="L9" s="366"/>
      <c r="M9" s="367"/>
    </row>
    <row r="10" spans="1:13" ht="15" hidden="1" customHeight="1" thickBot="1" x14ac:dyDescent="0.45">
      <c r="A10" s="154"/>
      <c r="B10" s="280"/>
      <c r="C10" s="280"/>
      <c r="D10" s="280"/>
      <c r="E10" s="280"/>
      <c r="F10" s="281"/>
      <c r="G10" s="157"/>
      <c r="I10" s="30"/>
      <c r="M10" s="35"/>
    </row>
    <row r="11" spans="1:13" ht="15" thickBot="1" x14ac:dyDescent="0.45">
      <c r="A11" s="215" t="s">
        <v>272</v>
      </c>
      <c r="B11" s="259">
        <v>2.7E-2</v>
      </c>
      <c r="C11" s="259">
        <v>4.0000000000000001E-3</v>
      </c>
      <c r="D11" s="259">
        <v>8.9999999999999993E-3</v>
      </c>
      <c r="E11" s="259">
        <v>1.0999999999999999E-2</v>
      </c>
      <c r="F11" s="231">
        <v>8.6999999999999994E-2</v>
      </c>
      <c r="G11" s="243" t="s">
        <v>285</v>
      </c>
      <c r="I11" s="30"/>
      <c r="M11" s="35"/>
    </row>
    <row r="12" spans="1:13" ht="17.05" customHeight="1" thickBot="1" x14ac:dyDescent="0.45">
      <c r="A12" s="275" t="s">
        <v>289</v>
      </c>
      <c r="B12" s="276">
        <v>3.0000000000000001E-3</v>
      </c>
      <c r="C12" s="276">
        <v>3.0000000000000001E-3</v>
      </c>
      <c r="D12" s="276">
        <v>3.0000000000000001E-3</v>
      </c>
      <c r="E12" s="276">
        <v>3.0000000000000001E-3</v>
      </c>
      <c r="F12" s="277">
        <v>3.0000000000000001E-3</v>
      </c>
      <c r="G12" s="278" t="s">
        <v>284</v>
      </c>
      <c r="I12" s="30"/>
      <c r="M12" s="35"/>
    </row>
    <row r="13" spans="1:13" ht="15" thickBot="1" x14ac:dyDescent="0.45">
      <c r="A13" s="30"/>
      <c r="G13" s="35"/>
      <c r="I13" s="290">
        <f>I6*5000</f>
        <v>5000000</v>
      </c>
      <c r="J13" s="366" t="s">
        <v>298</v>
      </c>
      <c r="K13" s="366"/>
      <c r="L13" s="366"/>
      <c r="M13" s="367"/>
    </row>
    <row r="14" spans="1:13" x14ac:dyDescent="0.4">
      <c r="A14" s="220" t="s">
        <v>125</v>
      </c>
      <c r="B14" s="254">
        <f>B8*B11</f>
        <v>66.554999999999993</v>
      </c>
      <c r="C14" s="254">
        <f t="shared" ref="C14:F15" si="1">C8*C11</f>
        <v>8.1760000000000002</v>
      </c>
      <c r="D14" s="254">
        <f t="shared" si="1"/>
        <v>7.2539999999999996</v>
      </c>
      <c r="E14" s="254">
        <f t="shared" si="1"/>
        <v>27.709</v>
      </c>
      <c r="F14" s="225">
        <f t="shared" si="1"/>
        <v>144.94199999999998</v>
      </c>
      <c r="G14" s="244">
        <f>SUM(B14:F14)</f>
        <v>254.63599999999997</v>
      </c>
      <c r="J14" s="364"/>
      <c r="K14" s="364"/>
      <c r="L14" s="364"/>
      <c r="M14" s="364"/>
    </row>
    <row r="15" spans="1:13" ht="15" thickBot="1" x14ac:dyDescent="0.45">
      <c r="A15" s="155" t="s">
        <v>126</v>
      </c>
      <c r="B15" s="255">
        <f>B9*B12</f>
        <v>6.8970000000000002</v>
      </c>
      <c r="C15" s="255">
        <f t="shared" si="1"/>
        <v>5.91</v>
      </c>
      <c r="D15" s="255">
        <f t="shared" si="1"/>
        <v>2.226</v>
      </c>
      <c r="E15" s="255">
        <f t="shared" si="1"/>
        <v>6.7110000000000003</v>
      </c>
      <c r="F15" s="232">
        <f>F9*F12</f>
        <v>4.1280000000000001</v>
      </c>
      <c r="G15" s="245">
        <f>SUM(B15:F15)</f>
        <v>25.872</v>
      </c>
    </row>
    <row r="16" spans="1:13" x14ac:dyDescent="0.4">
      <c r="A16" s="30"/>
      <c r="G16" s="35"/>
    </row>
    <row r="17" spans="1:13" ht="15" thickBot="1" x14ac:dyDescent="0.45">
      <c r="A17" s="154" t="s">
        <v>283</v>
      </c>
      <c r="B17" s="158"/>
      <c r="C17" s="158"/>
      <c r="D17" s="158"/>
      <c r="E17" s="158"/>
      <c r="F17" s="158"/>
      <c r="G17" s="282"/>
      <c r="I17" s="234"/>
      <c r="J17" s="364"/>
      <c r="K17" s="364"/>
      <c r="L17" s="364"/>
      <c r="M17" s="364"/>
    </row>
    <row r="18" spans="1:13" x14ac:dyDescent="0.4">
      <c r="A18" s="215" t="s">
        <v>279</v>
      </c>
      <c r="B18" s="217">
        <f>B14*480*0.25</f>
        <v>7986.5999999999995</v>
      </c>
      <c r="C18" s="217">
        <f>C14*480*0.25</f>
        <v>981.12</v>
      </c>
      <c r="D18" s="217">
        <f>D14*480*0.25</f>
        <v>870.4799999999999</v>
      </c>
      <c r="E18" s="217">
        <f>E14*480*0.25</f>
        <v>3325.08</v>
      </c>
      <c r="F18" s="217">
        <f>F14*480*0.25</f>
        <v>17393.039999999997</v>
      </c>
      <c r="G18" s="246">
        <f>SUM(B18:F18)</f>
        <v>30556.319999999996</v>
      </c>
    </row>
    <row r="19" spans="1:13" ht="15" thickBot="1" x14ac:dyDescent="0.45">
      <c r="A19" s="216" t="s">
        <v>280</v>
      </c>
      <c r="B19" s="156">
        <f>B15*480*0.5</f>
        <v>1655.28</v>
      </c>
      <c r="C19" s="156">
        <f>C15*480*0.5</f>
        <v>1418.4</v>
      </c>
      <c r="D19" s="156">
        <f>D15*480*0.5</f>
        <v>534.24</v>
      </c>
      <c r="E19" s="156">
        <f>E15*480*0.5</f>
        <v>1610.64</v>
      </c>
      <c r="F19" s="156">
        <f>F15*480*0.5</f>
        <v>990.72</v>
      </c>
      <c r="G19" s="247">
        <f>SUM(B19:F19)</f>
        <v>6209.2800000000007</v>
      </c>
    </row>
    <row r="20" spans="1:13" ht="15" thickBot="1" x14ac:dyDescent="0.45">
      <c r="A20" s="154"/>
      <c r="B20" s="158"/>
      <c r="C20" s="158"/>
      <c r="D20" s="158"/>
      <c r="E20" s="158"/>
      <c r="F20" s="158"/>
      <c r="G20" s="282"/>
    </row>
    <row r="21" spans="1:13" ht="18.899999999999999" thickBot="1" x14ac:dyDescent="0.45">
      <c r="A21" s="248" t="s">
        <v>291</v>
      </c>
      <c r="B21" s="253" t="s">
        <v>116</v>
      </c>
      <c r="C21" s="218" t="s">
        <v>117</v>
      </c>
      <c r="D21" s="253" t="s">
        <v>118</v>
      </c>
      <c r="E21" s="253" t="s">
        <v>119</v>
      </c>
      <c r="F21" s="218" t="s">
        <v>120</v>
      </c>
      <c r="G21" s="271" t="s">
        <v>20</v>
      </c>
    </row>
    <row r="22" spans="1:13" x14ac:dyDescent="0.4">
      <c r="A22" s="249" t="s">
        <v>123</v>
      </c>
      <c r="B22" s="260">
        <f t="shared" ref="B22:F23" si="2">B4</f>
        <v>2465</v>
      </c>
      <c r="C22" s="266">
        <f t="shared" si="2"/>
        <v>2044</v>
      </c>
      <c r="D22" s="260">
        <f t="shared" si="2"/>
        <v>806</v>
      </c>
      <c r="E22" s="260">
        <f t="shared" si="2"/>
        <v>2519</v>
      </c>
      <c r="F22" s="265">
        <f t="shared" si="2"/>
        <v>1666</v>
      </c>
      <c r="G22" s="272"/>
    </row>
    <row r="23" spans="1:13" x14ac:dyDescent="0.4">
      <c r="A23" s="249" t="s">
        <v>124</v>
      </c>
      <c r="B23" s="260">
        <f t="shared" si="2"/>
        <v>2299</v>
      </c>
      <c r="C23" s="266">
        <f t="shared" si="2"/>
        <v>1970</v>
      </c>
      <c r="D23" s="260">
        <f t="shared" si="2"/>
        <v>742</v>
      </c>
      <c r="E23" s="260">
        <f t="shared" si="2"/>
        <v>2237</v>
      </c>
      <c r="F23" s="266">
        <f t="shared" si="2"/>
        <v>1376</v>
      </c>
      <c r="G23" s="272"/>
    </row>
    <row r="24" spans="1:13" x14ac:dyDescent="0.4">
      <c r="A24" s="250"/>
      <c r="B24" s="261"/>
      <c r="C24" s="267"/>
      <c r="D24" s="261"/>
      <c r="E24" s="261"/>
      <c r="F24" s="154"/>
      <c r="G24" s="272"/>
    </row>
    <row r="25" spans="1:13" x14ac:dyDescent="0.4">
      <c r="A25" s="250" t="s">
        <v>127</v>
      </c>
      <c r="B25" s="262">
        <v>0.35</v>
      </c>
      <c r="C25" s="268">
        <v>0.35</v>
      </c>
      <c r="D25" s="262">
        <v>0.35</v>
      </c>
      <c r="E25" s="262">
        <v>0.35</v>
      </c>
      <c r="F25" s="268">
        <v>0.35</v>
      </c>
      <c r="G25" s="272"/>
      <c r="H25" s="18" t="s">
        <v>292</v>
      </c>
      <c r="I25" s="18" t="s">
        <v>293</v>
      </c>
    </row>
    <row r="26" spans="1:13" x14ac:dyDescent="0.4">
      <c r="A26" s="250" t="s">
        <v>128</v>
      </c>
      <c r="B26" s="262">
        <v>0.11</v>
      </c>
      <c r="C26" s="268">
        <v>0.11</v>
      </c>
      <c r="D26" s="262">
        <v>0.11</v>
      </c>
      <c r="E26" s="262">
        <v>0.11</v>
      </c>
      <c r="F26" s="268">
        <v>0.11</v>
      </c>
      <c r="G26" s="272"/>
      <c r="H26" s="18" t="s">
        <v>292</v>
      </c>
      <c r="I26" s="18" t="s">
        <v>294</v>
      </c>
    </row>
    <row r="27" spans="1:13" x14ac:dyDescent="0.4">
      <c r="A27" s="238"/>
      <c r="B27" s="238"/>
      <c r="C27" s="30"/>
      <c r="D27" s="238"/>
      <c r="E27" s="238"/>
      <c r="F27" s="30"/>
      <c r="G27" s="238"/>
    </row>
    <row r="28" spans="1:13" ht="29.15" x14ac:dyDescent="0.4">
      <c r="A28" s="251" t="s">
        <v>281</v>
      </c>
      <c r="B28" s="263">
        <f>B22*B25*12</f>
        <v>10353</v>
      </c>
      <c r="C28" s="269">
        <f t="shared" ref="C28:F28" si="3">C22*C25*12</f>
        <v>8584.7999999999993</v>
      </c>
      <c r="D28" s="263">
        <f t="shared" si="3"/>
        <v>3385.2</v>
      </c>
      <c r="E28" s="263">
        <f t="shared" si="3"/>
        <v>10579.8</v>
      </c>
      <c r="F28" s="269">
        <f t="shared" si="3"/>
        <v>6997.1999999999989</v>
      </c>
      <c r="G28" s="273">
        <f>SUM(B28:F28)</f>
        <v>39900</v>
      </c>
      <c r="I28" s="7"/>
    </row>
    <row r="29" spans="1:13" ht="29.6" thickBot="1" x14ac:dyDescent="0.45">
      <c r="A29" s="252" t="s">
        <v>282</v>
      </c>
      <c r="B29" s="264">
        <f>B23*B26*12</f>
        <v>3034.6800000000003</v>
      </c>
      <c r="C29" s="270">
        <f t="shared" ref="C29:F29" si="4">C23*C26*12</f>
        <v>2600.3999999999996</v>
      </c>
      <c r="D29" s="264">
        <f t="shared" si="4"/>
        <v>979.44</v>
      </c>
      <c r="E29" s="264">
        <f t="shared" si="4"/>
        <v>2952.84</v>
      </c>
      <c r="F29" s="270">
        <f t="shared" si="4"/>
        <v>1816.3200000000002</v>
      </c>
      <c r="G29" s="274">
        <f>SUM(B29:F29)</f>
        <v>11383.68</v>
      </c>
      <c r="I29" s="7"/>
    </row>
  </sheetData>
  <mergeCells count="5">
    <mergeCell ref="J14:M14"/>
    <mergeCell ref="J17:M17"/>
    <mergeCell ref="J6:M6"/>
    <mergeCell ref="J9:M9"/>
    <mergeCell ref="J13:M13"/>
  </mergeCells>
  <hyperlinks>
    <hyperlink ref="H25" r:id="rId1" display="https://www.statista.com/statistics/227415/number-of-cyclists-and-bike-riders-usa/" xr:uid="{C90C392B-75F4-4816-8FAA-599B1F0CD04B}"/>
    <hyperlink ref="H26" r:id="rId2" display="https://www.statista.com/statistics/191984/participants-in-walking-for-fitness-in-the-us-since-2006/" xr:uid="{8E9B625B-6CD4-4BF1-9BCF-F535EDCC987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5CCC2-19E8-465E-873B-1CDC7C6DA2FA}">
  <sheetPr>
    <tabColor rgb="FFF4B084"/>
  </sheetPr>
  <dimension ref="A1:G7"/>
  <sheetViews>
    <sheetView workbookViewId="0">
      <selection sqref="A1:G7"/>
    </sheetView>
  </sheetViews>
  <sheetFormatPr defaultRowHeight="14.6" x14ac:dyDescent="0.4"/>
  <cols>
    <col min="1" max="1" width="45.69140625" customWidth="1"/>
    <col min="2" max="8" width="12.69140625" customWidth="1"/>
  </cols>
  <sheetData>
    <row r="1" spans="1:7" ht="43.75" x14ac:dyDescent="0.4">
      <c r="A1" s="159" t="s">
        <v>129</v>
      </c>
      <c r="B1" s="162" t="s">
        <v>116</v>
      </c>
      <c r="C1" s="162" t="s">
        <v>117</v>
      </c>
      <c r="D1" s="162" t="s">
        <v>118</v>
      </c>
      <c r="E1" s="162" t="s">
        <v>119</v>
      </c>
      <c r="F1" s="162" t="s">
        <v>120</v>
      </c>
      <c r="G1" s="162" t="s">
        <v>130</v>
      </c>
    </row>
    <row r="2" spans="1:7" x14ac:dyDescent="0.4">
      <c r="A2" t="s">
        <v>131</v>
      </c>
      <c r="B2" s="160">
        <v>0.94799999999999995</v>
      </c>
      <c r="C2" s="160">
        <v>0.9</v>
      </c>
      <c r="D2" s="160">
        <v>0.80100000000000005</v>
      </c>
      <c r="E2" s="160">
        <v>0.93100000000000005</v>
      </c>
      <c r="F2" s="160">
        <v>0.86699999999999999</v>
      </c>
      <c r="G2" s="160">
        <v>0.91300000000000003</v>
      </c>
    </row>
    <row r="3" spans="1:7" x14ac:dyDescent="0.4">
      <c r="A3" t="s">
        <v>132</v>
      </c>
      <c r="B3" s="160">
        <v>0</v>
      </c>
      <c r="C3" s="160">
        <v>3.4000000000000002E-2</v>
      </c>
      <c r="D3" s="160">
        <v>6.0000000000000001E-3</v>
      </c>
      <c r="E3" s="160">
        <v>3.5999999999999997E-2</v>
      </c>
      <c r="F3" s="160">
        <v>7.0000000000000001E-3</v>
      </c>
      <c r="G3" s="160">
        <v>5.0000000000000001E-3</v>
      </c>
    </row>
    <row r="4" spans="1:7" x14ac:dyDescent="0.4">
      <c r="A4" s="23" t="s">
        <v>133</v>
      </c>
      <c r="B4" s="161">
        <v>2.7E-2</v>
      </c>
      <c r="C4" s="161">
        <v>4.0000000000000001E-3</v>
      </c>
      <c r="D4" s="161">
        <v>8.9999999999999993E-3</v>
      </c>
      <c r="E4" s="161">
        <v>1.0999999999999999E-2</v>
      </c>
      <c r="F4" s="161">
        <v>8.6999999999999994E-2</v>
      </c>
      <c r="G4" s="161">
        <v>1.6E-2</v>
      </c>
    </row>
    <row r="5" spans="1:7" x14ac:dyDescent="0.4">
      <c r="A5" s="23" t="s">
        <v>134</v>
      </c>
      <c r="B5" s="161">
        <v>0</v>
      </c>
      <c r="C5" s="161">
        <v>0</v>
      </c>
      <c r="D5" s="161">
        <v>0</v>
      </c>
      <c r="E5" s="161">
        <v>0</v>
      </c>
      <c r="F5" s="161">
        <v>5.0000000000000001E-3</v>
      </c>
      <c r="G5" s="161">
        <v>3.0000000000000001E-3</v>
      </c>
    </row>
    <row r="6" spans="1:7" x14ac:dyDescent="0.4">
      <c r="A6" t="s">
        <v>135</v>
      </c>
      <c r="B6" s="160">
        <v>1.6E-2</v>
      </c>
      <c r="C6" s="160">
        <v>4.4999999999999998E-2</v>
      </c>
      <c r="D6" s="160">
        <v>0.161</v>
      </c>
      <c r="E6" s="160">
        <v>0</v>
      </c>
      <c r="F6" s="160">
        <v>6.0000000000000001E-3</v>
      </c>
      <c r="G6" s="160">
        <v>1.2E-2</v>
      </c>
    </row>
    <row r="7" spans="1:7" x14ac:dyDescent="0.4">
      <c r="A7" t="s">
        <v>136</v>
      </c>
      <c r="B7" s="160">
        <v>8.9999999999999993E-3</v>
      </c>
      <c r="C7" s="160">
        <v>1.7000000000000001E-2</v>
      </c>
      <c r="D7" s="160">
        <v>2.1999999999999999E-2</v>
      </c>
      <c r="E7" s="160">
        <v>2.1000000000000001E-2</v>
      </c>
      <c r="F7" s="160">
        <v>2.8000000000000001E-2</v>
      </c>
      <c r="G7" s="160">
        <v>5.1999999999999998E-2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6CCC-855B-4F77-8948-5C6EEB6C5C79}">
  <sheetPr>
    <tabColor rgb="FFFFC000"/>
  </sheetPr>
  <dimension ref="A1:D8"/>
  <sheetViews>
    <sheetView zoomScale="75" zoomScaleNormal="75" workbookViewId="0">
      <selection activeCell="K15" sqref="K15"/>
    </sheetView>
  </sheetViews>
  <sheetFormatPr defaultRowHeight="14.6" x14ac:dyDescent="0.4"/>
  <cols>
    <col min="1" max="1" width="23.69140625" bestFit="1" customWidth="1"/>
    <col min="2" max="2" width="25.69140625" customWidth="1"/>
    <col min="3" max="3" width="13.84375" customWidth="1"/>
  </cols>
  <sheetData>
    <row r="1" spans="1:4" x14ac:dyDescent="0.4">
      <c r="A1" s="12" t="s">
        <v>137</v>
      </c>
    </row>
    <row r="3" spans="1:4" x14ac:dyDescent="0.4">
      <c r="A3" s="58"/>
      <c r="B3" s="2"/>
      <c r="C3" s="2"/>
      <c r="D3" s="60"/>
    </row>
    <row r="4" spans="1:4" x14ac:dyDescent="0.4">
      <c r="A4" s="58"/>
      <c r="B4" s="2"/>
      <c r="C4" s="2"/>
      <c r="D4" s="60"/>
    </row>
    <row r="5" spans="1:4" x14ac:dyDescent="0.4">
      <c r="A5" s="58"/>
      <c r="B5" s="2"/>
      <c r="C5" s="2"/>
      <c r="D5" s="60"/>
    </row>
    <row r="6" spans="1:4" x14ac:dyDescent="0.4">
      <c r="A6" s="58"/>
      <c r="B6" s="2"/>
      <c r="C6" s="2"/>
      <c r="D6" s="60"/>
    </row>
    <row r="7" spans="1:4" x14ac:dyDescent="0.4">
      <c r="B7" s="2"/>
      <c r="C7" s="2"/>
      <c r="D7" s="2"/>
    </row>
    <row r="8" spans="1:4" x14ac:dyDescent="0.4">
      <c r="B8" s="59"/>
    </row>
  </sheetData>
  <pageMargins left="0.7" right="0.7" top="0.75" bottom="0.75" header="0.3" footer="0.3"/>
  <pageSetup paperSize="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D602-3F95-4B4C-A3CE-801F28389066}">
  <dimension ref="A1"/>
  <sheetViews>
    <sheetView workbookViewId="0"/>
  </sheetViews>
  <sheetFormatPr defaultColWidth="8.84375" defaultRowHeight="14.6" x14ac:dyDescent="0.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6C1F-D5FB-4B32-89EA-66FFF7EED211}">
  <sheetPr>
    <tabColor rgb="FFFF0000"/>
  </sheetPr>
  <dimension ref="A1:AP95"/>
  <sheetViews>
    <sheetView zoomScale="80" zoomScaleNormal="80" workbookViewId="0">
      <pane xSplit="1" topLeftCell="B1" activePane="topRight" state="frozen"/>
      <selection pane="topRight" activeCell="L74" sqref="L74"/>
    </sheetView>
  </sheetViews>
  <sheetFormatPr defaultColWidth="8.84375" defaultRowHeight="14.6" x14ac:dyDescent="0.4"/>
  <cols>
    <col min="1" max="1" width="45.15234375" customWidth="1"/>
    <col min="2" max="2" width="17" customWidth="1"/>
    <col min="3" max="3" width="15.15234375" customWidth="1"/>
    <col min="4" max="4" width="15.4609375" style="55" customWidth="1"/>
    <col min="5" max="5" width="13.53515625" hidden="1" customWidth="1"/>
    <col min="6" max="37" width="13.53515625" customWidth="1"/>
    <col min="38" max="42" width="11.61328125" customWidth="1"/>
  </cols>
  <sheetData>
    <row r="1" spans="1:42" ht="21" thickBot="1" x14ac:dyDescent="0.6">
      <c r="A1" s="106" t="s">
        <v>195</v>
      </c>
      <c r="D1" s="52"/>
    </row>
    <row r="2" spans="1:42" ht="15" customHeight="1" thickBot="1" x14ac:dyDescent="0.6">
      <c r="A2" s="106"/>
      <c r="D2" s="52"/>
      <c r="F2" s="291" t="s">
        <v>187</v>
      </c>
      <c r="G2" s="292"/>
      <c r="H2" s="292"/>
      <c r="I2" s="293"/>
      <c r="J2" s="292" t="s">
        <v>0</v>
      </c>
      <c r="K2" s="292"/>
      <c r="L2" s="293"/>
    </row>
    <row r="3" spans="1:42" x14ac:dyDescent="0.4">
      <c r="A3" s="1" t="s">
        <v>2</v>
      </c>
      <c r="B3" s="1"/>
      <c r="C3" s="1"/>
      <c r="D3" s="52"/>
      <c r="F3">
        <v>1</v>
      </c>
      <c r="G3" s="1">
        <v>2</v>
      </c>
      <c r="H3" s="63">
        <v>3</v>
      </c>
      <c r="I3" s="1">
        <v>3</v>
      </c>
      <c r="J3" s="63">
        <v>4</v>
      </c>
      <c r="K3" s="1">
        <v>5</v>
      </c>
      <c r="L3" s="63">
        <v>6</v>
      </c>
    </row>
    <row r="4" spans="1:42" x14ac:dyDescent="0.4">
      <c r="A4" s="1" t="s">
        <v>11</v>
      </c>
      <c r="B4" s="1"/>
      <c r="C4" s="1"/>
      <c r="D4" s="53"/>
      <c r="E4" s="40"/>
      <c r="M4">
        <v>1</v>
      </c>
      <c r="N4">
        <f t="shared" ref="N4:AK5" si="0">M4+1</f>
        <v>2</v>
      </c>
      <c r="O4">
        <f t="shared" si="0"/>
        <v>3</v>
      </c>
      <c r="P4">
        <f t="shared" si="0"/>
        <v>4</v>
      </c>
      <c r="Q4">
        <f t="shared" si="0"/>
        <v>5</v>
      </c>
      <c r="R4">
        <f t="shared" si="0"/>
        <v>6</v>
      </c>
      <c r="S4">
        <f t="shared" si="0"/>
        <v>7</v>
      </c>
      <c r="T4">
        <f t="shared" si="0"/>
        <v>8</v>
      </c>
      <c r="U4">
        <f t="shared" si="0"/>
        <v>9</v>
      </c>
      <c r="V4">
        <f t="shared" si="0"/>
        <v>10</v>
      </c>
      <c r="W4">
        <f t="shared" si="0"/>
        <v>11</v>
      </c>
      <c r="X4">
        <f t="shared" si="0"/>
        <v>12</v>
      </c>
      <c r="Y4">
        <f t="shared" si="0"/>
        <v>13</v>
      </c>
      <c r="Z4">
        <f t="shared" si="0"/>
        <v>14</v>
      </c>
      <c r="AA4">
        <f t="shared" si="0"/>
        <v>15</v>
      </c>
      <c r="AB4">
        <f t="shared" si="0"/>
        <v>16</v>
      </c>
      <c r="AC4">
        <f t="shared" si="0"/>
        <v>17</v>
      </c>
      <c r="AD4">
        <f t="shared" si="0"/>
        <v>18</v>
      </c>
      <c r="AE4">
        <f t="shared" si="0"/>
        <v>19</v>
      </c>
      <c r="AF4">
        <f t="shared" si="0"/>
        <v>20</v>
      </c>
      <c r="AG4">
        <f t="shared" si="0"/>
        <v>21</v>
      </c>
      <c r="AH4">
        <f t="shared" si="0"/>
        <v>22</v>
      </c>
      <c r="AI4">
        <f t="shared" si="0"/>
        <v>23</v>
      </c>
      <c r="AJ4">
        <f t="shared" si="0"/>
        <v>24</v>
      </c>
      <c r="AK4">
        <f t="shared" si="0"/>
        <v>25</v>
      </c>
      <c r="AL4">
        <f t="shared" ref="AL4:AL5" si="1">AK4+1</f>
        <v>26</v>
      </c>
      <c r="AM4">
        <f t="shared" ref="AM4:AM5" si="2">AL4+1</f>
        <v>27</v>
      </c>
      <c r="AN4">
        <f t="shared" ref="AN4:AN5" si="3">AM4+1</f>
        <v>28</v>
      </c>
      <c r="AO4">
        <f t="shared" ref="AO4:AO5" si="4">AN4+1</f>
        <v>29</v>
      </c>
      <c r="AP4">
        <f t="shared" ref="AP4:AP5" si="5">AO4+1</f>
        <v>30</v>
      </c>
    </row>
    <row r="5" spans="1:42" ht="29.15" x14ac:dyDescent="0.4">
      <c r="B5" s="233" t="s">
        <v>12</v>
      </c>
      <c r="C5" s="233"/>
      <c r="D5" s="54" t="s">
        <v>286</v>
      </c>
      <c r="E5" s="12">
        <v>2024</v>
      </c>
      <c r="F5" s="12">
        <v>2025</v>
      </c>
      <c r="G5" s="12">
        <f>F5+1</f>
        <v>2026</v>
      </c>
      <c r="H5" s="12">
        <f t="shared" ref="H5:AC5" si="6">G5+1</f>
        <v>2027</v>
      </c>
      <c r="I5" s="12">
        <f t="shared" si="6"/>
        <v>2028</v>
      </c>
      <c r="J5" s="12">
        <f t="shared" si="6"/>
        <v>2029</v>
      </c>
      <c r="K5" s="12">
        <f t="shared" si="6"/>
        <v>2030</v>
      </c>
      <c r="L5" s="12">
        <f t="shared" si="6"/>
        <v>2031</v>
      </c>
      <c r="M5" s="12">
        <f t="shared" si="6"/>
        <v>2032</v>
      </c>
      <c r="N5" s="12">
        <f t="shared" si="6"/>
        <v>2033</v>
      </c>
      <c r="O5" s="12">
        <f t="shared" si="6"/>
        <v>2034</v>
      </c>
      <c r="P5" s="12">
        <f t="shared" si="6"/>
        <v>2035</v>
      </c>
      <c r="Q5" s="12">
        <f t="shared" si="6"/>
        <v>2036</v>
      </c>
      <c r="R5" s="12">
        <f t="shared" si="6"/>
        <v>2037</v>
      </c>
      <c r="S5" s="12">
        <f t="shared" si="6"/>
        <v>2038</v>
      </c>
      <c r="T5" s="12">
        <f t="shared" si="6"/>
        <v>2039</v>
      </c>
      <c r="U5" s="12">
        <f t="shared" si="6"/>
        <v>2040</v>
      </c>
      <c r="V5" s="12">
        <f t="shared" si="6"/>
        <v>2041</v>
      </c>
      <c r="W5" s="12">
        <f t="shared" si="6"/>
        <v>2042</v>
      </c>
      <c r="X5" s="12">
        <f t="shared" si="6"/>
        <v>2043</v>
      </c>
      <c r="Y5" s="12">
        <f t="shared" si="6"/>
        <v>2044</v>
      </c>
      <c r="Z5" s="12">
        <f t="shared" si="6"/>
        <v>2045</v>
      </c>
      <c r="AA5" s="12">
        <f t="shared" si="6"/>
        <v>2046</v>
      </c>
      <c r="AB5" s="12">
        <f t="shared" si="6"/>
        <v>2047</v>
      </c>
      <c r="AC5" s="12">
        <f t="shared" si="6"/>
        <v>2048</v>
      </c>
      <c r="AD5" s="12">
        <f t="shared" si="0"/>
        <v>2049</v>
      </c>
      <c r="AE5" s="12">
        <f t="shared" si="0"/>
        <v>2050</v>
      </c>
      <c r="AF5" s="12">
        <f t="shared" si="0"/>
        <v>2051</v>
      </c>
      <c r="AG5" s="12">
        <f t="shared" si="0"/>
        <v>2052</v>
      </c>
      <c r="AH5" s="12">
        <f t="shared" si="0"/>
        <v>2053</v>
      </c>
      <c r="AI5" s="12">
        <f t="shared" si="0"/>
        <v>2054</v>
      </c>
      <c r="AJ5" s="12">
        <f t="shared" si="0"/>
        <v>2055</v>
      </c>
      <c r="AK5" s="12">
        <f t="shared" si="0"/>
        <v>2056</v>
      </c>
      <c r="AL5" s="12">
        <f t="shared" si="1"/>
        <v>2057</v>
      </c>
      <c r="AM5" s="12">
        <f t="shared" si="2"/>
        <v>2058</v>
      </c>
      <c r="AN5" s="12">
        <f t="shared" si="3"/>
        <v>2059</v>
      </c>
      <c r="AO5" s="12">
        <f t="shared" si="4"/>
        <v>2060</v>
      </c>
      <c r="AP5" s="12">
        <f t="shared" si="5"/>
        <v>2061</v>
      </c>
    </row>
    <row r="6" spans="1:42" x14ac:dyDescent="0.4">
      <c r="A6" s="32"/>
      <c r="B6" s="32"/>
      <c r="C6" s="32"/>
    </row>
    <row r="7" spans="1:42" x14ac:dyDescent="0.4">
      <c r="A7" s="41"/>
      <c r="B7" s="109"/>
      <c r="C7" s="109"/>
      <c r="D7" s="42"/>
    </row>
    <row r="8" spans="1:42" ht="14.05" customHeight="1" x14ac:dyDescent="0.4">
      <c r="A8" s="1" t="s">
        <v>193</v>
      </c>
      <c r="B8" s="49">
        <f>F8+G8+H8+I8+J8+K8+L8</f>
        <v>13721090.559581026</v>
      </c>
      <c r="C8" s="49"/>
      <c r="D8" s="28">
        <f>B8*1.08</f>
        <v>14818777.80434751</v>
      </c>
      <c r="F8" s="61">
        <f>$L$35*0.025*L57/'General Look Up Data'!B48</f>
        <v>343027.26398952561</v>
      </c>
      <c r="G8" s="61">
        <f>$L$35*0.025*L57/'General Look Up Data'!B48</f>
        <v>343027.26398952561</v>
      </c>
      <c r="H8" s="61">
        <f>$L$35*0.025*L57/'General Look Up Data'!B48</f>
        <v>343027.26398952561</v>
      </c>
      <c r="I8" s="61">
        <f>$L$35*0.025*L57/'General Look Up Data'!B48</f>
        <v>343027.26398952561</v>
      </c>
      <c r="J8" s="61">
        <f>$L$35*0.9/3*L57/'General Look Up Data'!B48</f>
        <v>4116327.1678743078</v>
      </c>
      <c r="K8" s="61">
        <f>$L$35*0.9/3*L57/'General Look Up Data'!B48</f>
        <v>4116327.1678743078</v>
      </c>
      <c r="L8" s="61">
        <f>$L$35*0.9/3*L57/'General Look Up Data'!B48</f>
        <v>4116327.1678743078</v>
      </c>
      <c r="M8" s="61"/>
      <c r="N8" s="61"/>
    </row>
    <row r="9" spans="1:42" ht="14.05" customHeight="1" x14ac:dyDescent="0.4">
      <c r="A9" s="1" t="s">
        <v>194</v>
      </c>
      <c r="B9" s="49">
        <f>F9+G9+H9+I9+J9+K9+L9</f>
        <v>7066828.3631349672</v>
      </c>
      <c r="C9" s="49"/>
      <c r="D9" s="28">
        <f>B9*1.08</f>
        <v>7632174.6321857646</v>
      </c>
      <c r="F9" s="61">
        <f>$L$47*0.025*L57/'General Look Up Data'!B48</f>
        <v>176670.70907837417</v>
      </c>
      <c r="G9" s="61">
        <f>$L$47*0.025*L57/'General Look Up Data'!B48</f>
        <v>176670.70907837417</v>
      </c>
      <c r="H9" s="61">
        <f>$L$47*0.025*L57/'General Look Up Data'!B48</f>
        <v>176670.70907837417</v>
      </c>
      <c r="I9" s="61">
        <f>$L$47*0.025*L57/'General Look Up Data'!B48</f>
        <v>176670.70907837417</v>
      </c>
      <c r="J9" s="61">
        <f>$L$47*0.9/3*L57/'General Look Up Data'!B48</f>
        <v>2120048.5089404904</v>
      </c>
      <c r="K9" s="61">
        <f>$L$47*0.9/3*L57/'General Look Up Data'!B48</f>
        <v>2120048.5089404904</v>
      </c>
      <c r="L9" s="61">
        <f>$L$47*0.9*L57/3/'General Look Up Data'!B48</f>
        <v>2120048.5089404904</v>
      </c>
      <c r="M9" s="61"/>
      <c r="N9" s="61"/>
    </row>
    <row r="10" spans="1:42" ht="14.05" customHeight="1" x14ac:dyDescent="0.4">
      <c r="A10" s="57" t="s">
        <v>199</v>
      </c>
      <c r="B10" s="49">
        <f>B8+B9</f>
        <v>20787918.922715992</v>
      </c>
      <c r="C10" s="49"/>
      <c r="D10" s="49">
        <f>D8+D9</f>
        <v>22450952.436533272</v>
      </c>
      <c r="F10" s="61">
        <f>F8+F9</f>
        <v>519697.97306789982</v>
      </c>
      <c r="G10" s="61">
        <f>G8+G9</f>
        <v>519697.97306789982</v>
      </c>
      <c r="H10" s="61">
        <f t="shared" ref="H10:L10" si="7">H8+H9</f>
        <v>519697.97306789982</v>
      </c>
      <c r="I10" s="61">
        <f t="shared" si="7"/>
        <v>519697.97306789982</v>
      </c>
      <c r="J10" s="61">
        <f t="shared" si="7"/>
        <v>6236375.6768147983</v>
      </c>
      <c r="K10" s="61">
        <f t="shared" si="7"/>
        <v>6236375.6768147983</v>
      </c>
      <c r="L10" s="61">
        <f t="shared" si="7"/>
        <v>6236375.6768147983</v>
      </c>
      <c r="M10" s="61"/>
      <c r="N10" s="61"/>
    </row>
    <row r="11" spans="1:42" ht="14.05" customHeight="1" x14ac:dyDescent="0.4">
      <c r="A11" s="1"/>
      <c r="B11" s="49"/>
      <c r="C11" s="49"/>
      <c r="D11" s="28"/>
      <c r="F11" s="61"/>
      <c r="G11" s="61"/>
      <c r="H11" s="61"/>
      <c r="I11" s="61"/>
      <c r="J11" s="61"/>
      <c r="K11" s="61"/>
      <c r="L11" s="61"/>
      <c r="M11" s="61"/>
      <c r="N11" s="61"/>
    </row>
    <row r="12" spans="1:42" ht="29.15" x14ac:dyDescent="0.4">
      <c r="A12" s="31" t="s">
        <v>138</v>
      </c>
      <c r="B12" s="28">
        <f>AP12</f>
        <v>7483650.8121777577</v>
      </c>
      <c r="C12" s="28"/>
      <c r="D12" s="28"/>
      <c r="G12" s="61"/>
      <c r="H12" s="61"/>
      <c r="I12" s="61" t="s">
        <v>6</v>
      </c>
      <c r="J12" s="61"/>
      <c r="K12" s="107" t="s">
        <v>6</v>
      </c>
      <c r="L12" s="61"/>
      <c r="M12" s="43"/>
      <c r="N12" s="43"/>
      <c r="O12" s="39"/>
      <c r="P12" s="39"/>
      <c r="Q12" s="39"/>
      <c r="R12" s="39"/>
      <c r="S12" s="39"/>
      <c r="T12" s="39"/>
      <c r="U12" s="39"/>
      <c r="V12" s="39"/>
      <c r="W12" s="39"/>
      <c r="X12" s="39"/>
      <c r="Y12" s="39"/>
      <c r="Z12" s="39"/>
      <c r="AA12" s="39"/>
      <c r="AB12" s="39"/>
      <c r="AC12" s="39"/>
      <c r="AD12" s="39"/>
      <c r="AI12" s="49"/>
      <c r="AK12" s="49"/>
      <c r="AP12" s="182">
        <f>(J10+K10+L10)*2/5</f>
        <v>7483650.8121777577</v>
      </c>
    </row>
    <row r="13" spans="1:42" x14ac:dyDescent="0.4">
      <c r="A13" s="32"/>
      <c r="K13" t="s">
        <v>6</v>
      </c>
      <c r="AD13" s="49"/>
      <c r="AK13" s="49"/>
    </row>
    <row r="14" spans="1:42" hidden="1" x14ac:dyDescent="0.4">
      <c r="B14" s="49"/>
      <c r="C14" s="49"/>
    </row>
    <row r="15" spans="1:42" hidden="1" x14ac:dyDescent="0.4"/>
    <row r="16" spans="1:42" hidden="1" x14ac:dyDescent="0.4"/>
    <row r="17" spans="2:12" ht="15" hidden="1" thickBot="1" x14ac:dyDescent="0.45"/>
    <row r="18" spans="2:12" ht="15" hidden="1" thickBot="1" x14ac:dyDescent="0.45">
      <c r="B18" s="299"/>
      <c r="C18" s="299"/>
      <c r="D18" s="299"/>
      <c r="E18" s="299"/>
      <c r="G18" s="296" t="s">
        <v>139</v>
      </c>
      <c r="H18" s="297"/>
      <c r="I18" s="297"/>
      <c r="J18" s="297"/>
      <c r="K18" s="297"/>
      <c r="L18" s="298"/>
    </row>
    <row r="19" spans="2:12" hidden="1" x14ac:dyDescent="0.4">
      <c r="B19" s="295"/>
      <c r="C19" s="295"/>
      <c r="D19" s="295"/>
      <c r="E19" s="183"/>
      <c r="G19" s="316" t="s">
        <v>140</v>
      </c>
      <c r="H19" s="314" t="s">
        <v>141</v>
      </c>
      <c r="I19" s="314" t="s">
        <v>142</v>
      </c>
      <c r="J19" s="312" t="s">
        <v>143</v>
      </c>
      <c r="K19" s="310" t="s">
        <v>144</v>
      </c>
      <c r="L19" s="308" t="s">
        <v>145</v>
      </c>
    </row>
    <row r="20" spans="2:12" ht="15" hidden="1" thickBot="1" x14ac:dyDescent="0.45">
      <c r="B20" s="12"/>
      <c r="C20" s="12"/>
      <c r="D20"/>
      <c r="E20" s="49"/>
      <c r="G20" s="317"/>
      <c r="H20" s="315"/>
      <c r="I20" s="315"/>
      <c r="J20" s="313"/>
      <c r="K20" s="311"/>
      <c r="L20" s="309"/>
    </row>
    <row r="21" spans="2:12" ht="15" hidden="1" thickBot="1" x14ac:dyDescent="0.45">
      <c r="D21"/>
      <c r="E21" s="49"/>
      <c r="G21" s="163" t="s">
        <v>146</v>
      </c>
      <c r="H21" s="164" t="s">
        <v>147</v>
      </c>
      <c r="I21" s="165" t="s">
        <v>148</v>
      </c>
      <c r="J21" s="166">
        <v>150</v>
      </c>
      <c r="K21" s="167">
        <v>290</v>
      </c>
      <c r="L21" s="167">
        <f>K21*J21</f>
        <v>43500</v>
      </c>
    </row>
    <row r="22" spans="2:12" ht="15" hidden="1" thickBot="1" x14ac:dyDescent="0.45">
      <c r="D22"/>
      <c r="E22" s="49"/>
      <c r="G22" s="163" t="s">
        <v>149</v>
      </c>
      <c r="H22" s="164" t="s">
        <v>150</v>
      </c>
      <c r="I22" s="165" t="s">
        <v>151</v>
      </c>
      <c r="J22" s="166">
        <v>1700</v>
      </c>
      <c r="K22" s="167">
        <v>105</v>
      </c>
      <c r="L22" s="167">
        <f>K22*J22</f>
        <v>178500</v>
      </c>
    </row>
    <row r="23" spans="2:12" ht="15" hidden="1" thickBot="1" x14ac:dyDescent="0.45">
      <c r="B23" s="12"/>
      <c r="C23" s="12"/>
      <c r="D23"/>
      <c r="E23" s="49"/>
      <c r="G23" s="163" t="s">
        <v>152</v>
      </c>
      <c r="H23" s="164" t="s">
        <v>153</v>
      </c>
      <c r="I23" s="165" t="s">
        <v>154</v>
      </c>
      <c r="J23" s="166">
        <v>2300000</v>
      </c>
      <c r="K23" s="167">
        <v>3</v>
      </c>
      <c r="L23" s="167">
        <f>K23*J23</f>
        <v>6900000</v>
      </c>
    </row>
    <row r="24" spans="2:12" ht="15" hidden="1" thickBot="1" x14ac:dyDescent="0.45">
      <c r="D24" s="184"/>
      <c r="E24" s="49"/>
      <c r="G24" s="163" t="s">
        <v>155</v>
      </c>
      <c r="H24" s="164" t="s">
        <v>156</v>
      </c>
      <c r="I24" s="165" t="s">
        <v>157</v>
      </c>
      <c r="J24" s="306">
        <f>2*5</f>
        <v>10</v>
      </c>
      <c r="K24" s="304">
        <v>2250</v>
      </c>
      <c r="L24" s="304">
        <f>K24*J24</f>
        <v>22500</v>
      </c>
    </row>
    <row r="25" spans="2:12" ht="15" hidden="1" thickBot="1" x14ac:dyDescent="0.45">
      <c r="D25" s="184"/>
      <c r="E25" s="49"/>
      <c r="G25" s="163" t="s">
        <v>158</v>
      </c>
      <c r="H25" s="164" t="s">
        <v>159</v>
      </c>
      <c r="I25" s="165" t="s">
        <v>157</v>
      </c>
      <c r="J25" s="307"/>
      <c r="K25" s="305"/>
      <c r="L25" s="305"/>
    </row>
    <row r="26" spans="2:12" ht="15" hidden="1" thickBot="1" x14ac:dyDescent="0.45">
      <c r="D26" s="184"/>
      <c r="E26" s="49"/>
      <c r="G26" s="163" t="s">
        <v>160</v>
      </c>
      <c r="H26" s="164" t="s">
        <v>161</v>
      </c>
      <c r="I26" s="165" t="s">
        <v>162</v>
      </c>
      <c r="J26" s="166">
        <v>520</v>
      </c>
      <c r="K26" s="167">
        <v>700</v>
      </c>
      <c r="L26" s="167">
        <f>K26*J26</f>
        <v>364000</v>
      </c>
    </row>
    <row r="27" spans="2:12" ht="15" hidden="1" thickBot="1" x14ac:dyDescent="0.45">
      <c r="D27" s="184"/>
      <c r="E27" s="49"/>
      <c r="G27" s="163" t="s">
        <v>163</v>
      </c>
      <c r="H27" s="164" t="s">
        <v>164</v>
      </c>
      <c r="I27" s="165" t="s">
        <v>162</v>
      </c>
      <c r="J27" s="166">
        <v>300</v>
      </c>
      <c r="K27" s="167">
        <v>770</v>
      </c>
      <c r="L27" s="167">
        <f>K27*J27</f>
        <v>231000</v>
      </c>
    </row>
    <row r="28" spans="2:12" ht="15" hidden="1" thickBot="1" x14ac:dyDescent="0.45">
      <c r="D28" s="184"/>
      <c r="E28" s="185"/>
      <c r="G28" s="163" t="s">
        <v>165</v>
      </c>
      <c r="H28" s="164" t="s">
        <v>166</v>
      </c>
      <c r="I28" s="165" t="s">
        <v>154</v>
      </c>
      <c r="J28" s="166">
        <f>ROUNDUP((J26+J27)*250,-1)</f>
        <v>205000</v>
      </c>
      <c r="K28" s="167">
        <v>1.9</v>
      </c>
      <c r="L28" s="167">
        <f>K28*J28</f>
        <v>389500</v>
      </c>
    </row>
    <row r="29" spans="2:12" ht="15" hidden="1" thickBot="1" x14ac:dyDescent="0.45">
      <c r="B29" s="12"/>
      <c r="C29" s="12"/>
      <c r="D29"/>
      <c r="E29" s="49"/>
      <c r="G29" s="163" t="s">
        <v>167</v>
      </c>
      <c r="H29" s="164" t="s">
        <v>168</v>
      </c>
      <c r="I29" s="165" t="s">
        <v>151</v>
      </c>
      <c r="J29" s="166">
        <v>100</v>
      </c>
      <c r="K29" s="167">
        <v>2000</v>
      </c>
      <c r="L29" s="167">
        <f>K29*J29</f>
        <v>200000</v>
      </c>
    </row>
    <row r="30" spans="2:12" ht="15" hidden="1" thickBot="1" x14ac:dyDescent="0.45">
      <c r="D30"/>
      <c r="E30" s="49"/>
      <c r="G30" s="163" t="s">
        <v>169</v>
      </c>
      <c r="H30" s="164" t="s">
        <v>170</v>
      </c>
      <c r="I30" s="165" t="s">
        <v>171</v>
      </c>
      <c r="J30" s="168">
        <v>600</v>
      </c>
      <c r="K30" s="167">
        <v>80</v>
      </c>
      <c r="L30" s="167">
        <f>K30*J30</f>
        <v>48000</v>
      </c>
    </row>
    <row r="31" spans="2:12" ht="15" hidden="1" thickBot="1" x14ac:dyDescent="0.45">
      <c r="D31"/>
      <c r="E31" s="49"/>
      <c r="G31" s="163"/>
      <c r="H31" s="164"/>
      <c r="I31" s="165"/>
      <c r="J31" s="168"/>
      <c r="K31" s="167"/>
      <c r="L31" s="167"/>
    </row>
    <row r="32" spans="2:12" ht="15" hidden="1" thickBot="1" x14ac:dyDescent="0.45">
      <c r="D32"/>
      <c r="E32" s="49"/>
      <c r="G32" s="163"/>
      <c r="H32" s="164" t="s">
        <v>172</v>
      </c>
      <c r="I32" s="165"/>
      <c r="J32" s="169"/>
      <c r="K32" s="167"/>
      <c r="L32" s="170">
        <f>SUM(L21:L30)</f>
        <v>8377000</v>
      </c>
    </row>
    <row r="33" spans="2:12" ht="15" hidden="1" thickBot="1" x14ac:dyDescent="0.45">
      <c r="D33" s="12"/>
      <c r="E33" s="186"/>
      <c r="G33" s="163"/>
      <c r="H33" s="164" t="s">
        <v>173</v>
      </c>
      <c r="I33" s="165"/>
      <c r="J33" s="169"/>
      <c r="K33" s="167"/>
      <c r="L33" s="170">
        <f>0.1*L32</f>
        <v>837700</v>
      </c>
    </row>
    <row r="34" spans="2:12" ht="15" hidden="1" thickBot="1" x14ac:dyDescent="0.45">
      <c r="G34" s="163"/>
      <c r="H34" s="164" t="s">
        <v>6</v>
      </c>
      <c r="I34" s="165"/>
      <c r="J34" s="169"/>
      <c r="K34" s="167"/>
      <c r="L34" s="170">
        <v>4000000</v>
      </c>
    </row>
    <row r="35" spans="2:12" ht="15" hidden="1" thickBot="1" x14ac:dyDescent="0.45">
      <c r="G35" s="163"/>
      <c r="H35" s="164" t="s">
        <v>174</v>
      </c>
      <c r="I35" s="165"/>
      <c r="J35" s="169"/>
      <c r="K35" s="167"/>
      <c r="L35" s="171">
        <f>SUM(L32:L34)</f>
        <v>13214700</v>
      </c>
    </row>
    <row r="36" spans="2:12" ht="15" hidden="1" thickBot="1" x14ac:dyDescent="0.45">
      <c r="G36" s="301"/>
      <c r="H36" s="302"/>
      <c r="I36" s="302"/>
      <c r="J36" s="302"/>
      <c r="K36" s="302"/>
      <c r="L36" s="303"/>
    </row>
    <row r="37" spans="2:12" ht="15" hidden="1" thickBot="1" x14ac:dyDescent="0.45">
      <c r="B37" s="49"/>
      <c r="C37" s="49"/>
      <c r="E37" s="49"/>
      <c r="G37" s="163" t="s">
        <v>175</v>
      </c>
      <c r="H37" s="164" t="s">
        <v>176</v>
      </c>
      <c r="I37" s="165" t="s">
        <v>148</v>
      </c>
      <c r="J37" s="173">
        <f>20*300*6/9</f>
        <v>4000</v>
      </c>
      <c r="K37" s="167">
        <v>850</v>
      </c>
      <c r="L37" s="167">
        <f t="shared" ref="L37:L43" si="8">K37*J37</f>
        <v>3400000</v>
      </c>
    </row>
    <row r="38" spans="2:12" ht="15" hidden="1" thickBot="1" x14ac:dyDescent="0.45">
      <c r="E38" s="46"/>
      <c r="G38" s="163"/>
      <c r="H38" s="164" t="s">
        <v>177</v>
      </c>
      <c r="I38" s="165" t="s">
        <v>151</v>
      </c>
      <c r="J38" s="173">
        <v>2000</v>
      </c>
      <c r="K38" s="167">
        <v>122</v>
      </c>
      <c r="L38" s="167">
        <f t="shared" si="8"/>
        <v>244000</v>
      </c>
    </row>
    <row r="39" spans="2:12" ht="15" hidden="1" thickBot="1" x14ac:dyDescent="0.45">
      <c r="G39" s="163"/>
      <c r="H39" s="164" t="s">
        <v>178</v>
      </c>
      <c r="I39" s="165" t="s">
        <v>151</v>
      </c>
      <c r="J39" s="173">
        <v>500</v>
      </c>
      <c r="K39" s="167">
        <v>1300</v>
      </c>
      <c r="L39" s="167">
        <f t="shared" si="8"/>
        <v>650000</v>
      </c>
    </row>
    <row r="40" spans="2:12" ht="15" hidden="1" thickBot="1" x14ac:dyDescent="0.45">
      <c r="G40" s="163"/>
      <c r="H40" s="164" t="s">
        <v>179</v>
      </c>
      <c r="I40" s="165" t="s">
        <v>151</v>
      </c>
      <c r="J40" s="173">
        <v>800</v>
      </c>
      <c r="K40" s="167">
        <v>122</v>
      </c>
      <c r="L40" s="167">
        <f t="shared" si="8"/>
        <v>97600</v>
      </c>
    </row>
    <row r="41" spans="2:12" ht="15" hidden="1" thickBot="1" x14ac:dyDescent="0.45">
      <c r="E41" s="49"/>
      <c r="G41" s="163"/>
      <c r="H41" s="164" t="s">
        <v>180</v>
      </c>
      <c r="I41" s="165" t="s">
        <v>151</v>
      </c>
      <c r="J41" s="173">
        <v>500</v>
      </c>
      <c r="K41" s="167">
        <v>1300</v>
      </c>
      <c r="L41" s="167">
        <f t="shared" si="8"/>
        <v>650000</v>
      </c>
    </row>
    <row r="42" spans="2:12" ht="15" hidden="1" thickBot="1" x14ac:dyDescent="0.45">
      <c r="G42" s="163"/>
      <c r="H42" s="164" t="s">
        <v>181</v>
      </c>
      <c r="I42" s="165" t="s">
        <v>151</v>
      </c>
      <c r="J42" s="173">
        <v>900</v>
      </c>
      <c r="K42" s="167">
        <v>122</v>
      </c>
      <c r="L42" s="167">
        <f t="shared" si="8"/>
        <v>109800</v>
      </c>
    </row>
    <row r="43" spans="2:12" ht="15" hidden="1" thickBot="1" x14ac:dyDescent="0.45">
      <c r="G43" s="163" t="s">
        <v>182</v>
      </c>
      <c r="H43" s="164" t="s">
        <v>183</v>
      </c>
      <c r="I43" s="165" t="s">
        <v>151</v>
      </c>
      <c r="J43" s="173">
        <f>J38+J40</f>
        <v>2800</v>
      </c>
      <c r="K43" s="167">
        <v>30</v>
      </c>
      <c r="L43" s="167">
        <f t="shared" si="8"/>
        <v>84000</v>
      </c>
    </row>
    <row r="44" spans="2:12" ht="15" hidden="1" thickBot="1" x14ac:dyDescent="0.45">
      <c r="G44" s="163"/>
      <c r="H44" s="164"/>
      <c r="I44" s="165"/>
      <c r="J44" s="169"/>
      <c r="K44" s="167"/>
      <c r="L44" s="174"/>
    </row>
    <row r="45" spans="2:12" ht="15" hidden="1" thickBot="1" x14ac:dyDescent="0.45">
      <c r="G45" s="163"/>
      <c r="H45" s="164" t="s">
        <v>172</v>
      </c>
      <c r="I45" s="165"/>
      <c r="J45" s="169"/>
      <c r="K45" s="167"/>
      <c r="L45" s="170">
        <f>SUM(L37:L43)</f>
        <v>5235400</v>
      </c>
    </row>
    <row r="46" spans="2:12" ht="15" hidden="1" thickBot="1" x14ac:dyDescent="0.45">
      <c r="G46" s="163"/>
      <c r="H46" s="164" t="s">
        <v>184</v>
      </c>
      <c r="I46" s="165"/>
      <c r="J46" s="169"/>
      <c r="K46" s="167"/>
      <c r="L46" s="170">
        <f>0.3*L45</f>
        <v>1570620</v>
      </c>
    </row>
    <row r="47" spans="2:12" ht="15" hidden="1" thickBot="1" x14ac:dyDescent="0.45">
      <c r="G47" s="163"/>
      <c r="H47" s="164" t="s">
        <v>185</v>
      </c>
      <c r="I47" s="165"/>
      <c r="J47" s="169"/>
      <c r="K47" s="167"/>
      <c r="L47" s="171">
        <f>L46+L45</f>
        <v>6806020</v>
      </c>
    </row>
    <row r="48" spans="2:12" ht="15" hidden="1" thickBot="1" x14ac:dyDescent="0.45">
      <c r="G48" s="175"/>
      <c r="H48" s="176"/>
      <c r="I48" s="172"/>
      <c r="J48" s="177"/>
      <c r="K48" s="178"/>
      <c r="L48" s="179"/>
    </row>
    <row r="49" spans="7:12" ht="15" hidden="1" thickBot="1" x14ac:dyDescent="0.45">
      <c r="G49" s="163"/>
      <c r="H49" s="164" t="s">
        <v>186</v>
      </c>
      <c r="I49" s="165"/>
      <c r="J49" s="169"/>
      <c r="K49" s="167"/>
      <c r="L49" s="171">
        <f>L47+L35</f>
        <v>20020720</v>
      </c>
    </row>
    <row r="50" spans="7:12" hidden="1" x14ac:dyDescent="0.4"/>
    <row r="51" spans="7:12" hidden="1" x14ac:dyDescent="0.4"/>
    <row r="52" spans="7:12" hidden="1" x14ac:dyDescent="0.4"/>
    <row r="53" spans="7:12" hidden="1" x14ac:dyDescent="0.4"/>
    <row r="54" spans="7:12" hidden="1" x14ac:dyDescent="0.4"/>
    <row r="55" spans="7:12" hidden="1" x14ac:dyDescent="0.4"/>
    <row r="56" spans="7:12" hidden="1" x14ac:dyDescent="0.4"/>
    <row r="57" spans="7:12" hidden="1" x14ac:dyDescent="0.4">
      <c r="L57" s="64">
        <f>21696120/L49</f>
        <v>1.0836833040969556</v>
      </c>
    </row>
    <row r="58" spans="7:12" hidden="1" x14ac:dyDescent="0.4"/>
    <row r="59" spans="7:12" hidden="1" x14ac:dyDescent="0.4"/>
    <row r="60" spans="7:12" hidden="1" x14ac:dyDescent="0.4"/>
    <row r="61" spans="7:12" hidden="1" x14ac:dyDescent="0.4"/>
    <row r="62" spans="7:12" hidden="1" x14ac:dyDescent="0.4"/>
    <row r="63" spans="7:12" hidden="1" x14ac:dyDescent="0.4"/>
    <row r="64" spans="7:12" hidden="1" x14ac:dyDescent="0.4"/>
    <row r="65" spans="1:8" hidden="1" x14ac:dyDescent="0.4"/>
    <row r="66" spans="1:8" hidden="1" x14ac:dyDescent="0.4"/>
    <row r="67" spans="1:8" hidden="1" x14ac:dyDescent="0.4"/>
    <row r="68" spans="1:8" hidden="1" x14ac:dyDescent="0.4"/>
    <row r="69" spans="1:8" hidden="1" x14ac:dyDescent="0.4"/>
    <row r="71" spans="1:8" ht="15" thickBot="1" x14ac:dyDescent="0.45">
      <c r="A71" s="12" t="s">
        <v>226</v>
      </c>
    </row>
    <row r="72" spans="1:8" ht="29.6" thickBot="1" x14ac:dyDescent="0.45">
      <c r="A72" s="235" t="s">
        <v>204</v>
      </c>
      <c r="B72" s="236" t="s">
        <v>287</v>
      </c>
      <c r="C72" s="237" t="s">
        <v>288</v>
      </c>
      <c r="D72" s="283"/>
    </row>
    <row r="73" spans="1:8" ht="15.9" x14ac:dyDescent="0.45">
      <c r="A73" s="187" t="s">
        <v>205</v>
      </c>
      <c r="B73" s="239">
        <v>43500</v>
      </c>
      <c r="C73" s="239">
        <f>43500/'General Look Up Data'!$B$48</f>
        <v>41679.087004411187</v>
      </c>
      <c r="D73" s="284"/>
      <c r="F73" s="2"/>
    </row>
    <row r="74" spans="1:8" ht="15.9" x14ac:dyDescent="0.45">
      <c r="A74" s="187" t="s">
        <v>206</v>
      </c>
      <c r="B74" s="240">
        <v>178500</v>
      </c>
      <c r="C74" s="240">
        <f>178500/'General Look Up Data'!B48</f>
        <v>171027.97770775625</v>
      </c>
      <c r="D74" s="284"/>
    </row>
    <row r="75" spans="1:8" ht="15.9" x14ac:dyDescent="0.45">
      <c r="A75" s="187" t="s">
        <v>207</v>
      </c>
      <c r="B75" s="240">
        <v>6900000</v>
      </c>
      <c r="C75" s="240">
        <f>6900000/'General Look Up Data'!B48</f>
        <v>6611165.5248376364</v>
      </c>
      <c r="D75" s="284"/>
    </row>
    <row r="76" spans="1:8" ht="15.9" x14ac:dyDescent="0.4">
      <c r="A76" s="187" t="s">
        <v>208</v>
      </c>
      <c r="B76" s="294">
        <v>22500</v>
      </c>
      <c r="C76" s="294">
        <f>22500/'General Look Up Data'!B48</f>
        <v>21558.14845055751</v>
      </c>
      <c r="D76" s="300"/>
    </row>
    <row r="77" spans="1:8" ht="15.9" x14ac:dyDescent="0.4">
      <c r="A77" s="187" t="s">
        <v>209</v>
      </c>
      <c r="B77" s="294"/>
      <c r="C77" s="294"/>
      <c r="D77" s="300"/>
    </row>
    <row r="78" spans="1:8" ht="15.9" x14ac:dyDescent="0.45">
      <c r="A78" s="187" t="s">
        <v>210</v>
      </c>
      <c r="B78" s="240">
        <v>364000</v>
      </c>
      <c r="C78" s="240">
        <f>364000/'General Look Up Data'!B48</f>
        <v>348762.93493346375</v>
      </c>
      <c r="D78" s="284"/>
    </row>
    <row r="79" spans="1:8" ht="15.9" x14ac:dyDescent="0.45">
      <c r="A79" s="187" t="s">
        <v>211</v>
      </c>
      <c r="B79" s="240">
        <v>231000</v>
      </c>
      <c r="C79" s="240">
        <f>231000/'General Look Up Data'!B48</f>
        <v>221330.32409239045</v>
      </c>
      <c r="D79" s="284"/>
      <c r="H79" t="s">
        <v>6</v>
      </c>
    </row>
    <row r="80" spans="1:8" ht="15.9" x14ac:dyDescent="0.45">
      <c r="A80" s="187" t="s">
        <v>212</v>
      </c>
      <c r="B80" s="240">
        <v>389500</v>
      </c>
      <c r="C80" s="240">
        <f>389500/'General Look Up Data'!B48</f>
        <v>373195.50317742891</v>
      </c>
      <c r="D80" s="284"/>
    </row>
    <row r="81" spans="1:8" ht="15.9" x14ac:dyDescent="0.45">
      <c r="A81" s="187" t="s">
        <v>213</v>
      </c>
      <c r="B81" s="240">
        <v>200000</v>
      </c>
      <c r="C81" s="240">
        <f>200000/'General Look Up Data'!B48</f>
        <v>191627.98622717787</v>
      </c>
      <c r="D81" s="284"/>
    </row>
    <row r="82" spans="1:8" ht="15.9" x14ac:dyDescent="0.45">
      <c r="A82" s="187" t="s">
        <v>214</v>
      </c>
      <c r="B82" s="240">
        <v>48000</v>
      </c>
      <c r="C82" s="240">
        <v>48000</v>
      </c>
      <c r="D82" s="284"/>
      <c r="H82" t="s">
        <v>6</v>
      </c>
    </row>
    <row r="83" spans="1:8" ht="15.9" x14ac:dyDescent="0.45">
      <c r="A83" s="187"/>
      <c r="B83" s="240"/>
      <c r="C83" s="240"/>
      <c r="D83" s="284"/>
    </row>
    <row r="84" spans="1:8" ht="15.9" x14ac:dyDescent="0.45">
      <c r="A84" s="187" t="s">
        <v>215</v>
      </c>
      <c r="B84" s="240">
        <v>3400000</v>
      </c>
      <c r="C84" s="240">
        <f>3400000/'General Look Up Data'!B48</f>
        <v>3257675.7658620239</v>
      </c>
      <c r="D84" s="284"/>
    </row>
    <row r="85" spans="1:8" ht="15.9" x14ac:dyDescent="0.45">
      <c r="A85" s="187" t="s">
        <v>216</v>
      </c>
      <c r="B85" s="240">
        <v>244000</v>
      </c>
      <c r="C85" s="240">
        <f>244000/'General Look Up Data'!B48</f>
        <v>233786.14319715701</v>
      </c>
      <c r="D85" s="284"/>
    </row>
    <row r="86" spans="1:8" ht="15.9" x14ac:dyDescent="0.45">
      <c r="A86" s="187" t="s">
        <v>217</v>
      </c>
      <c r="B86" s="240">
        <v>650000</v>
      </c>
      <c r="C86" s="240">
        <f>650000/'General Look Up Data'!B48</f>
        <v>622790.95523832808</v>
      </c>
      <c r="D86" s="284"/>
    </row>
    <row r="87" spans="1:8" ht="15.9" x14ac:dyDescent="0.45">
      <c r="A87" s="187" t="s">
        <v>218</v>
      </c>
      <c r="B87" s="240">
        <v>97600</v>
      </c>
      <c r="C87" s="240">
        <f>97600/'General Look Up Data'!B48</f>
        <v>93514.457278862799</v>
      </c>
      <c r="D87" s="284"/>
    </row>
    <row r="88" spans="1:8" ht="15.9" x14ac:dyDescent="0.45">
      <c r="A88" s="187" t="s">
        <v>219</v>
      </c>
      <c r="B88" s="240">
        <v>650000</v>
      </c>
      <c r="C88" s="240">
        <f>650000/'General Look Up Data'!B48</f>
        <v>622790.95523832808</v>
      </c>
      <c r="D88" s="284"/>
    </row>
    <row r="89" spans="1:8" ht="15.9" x14ac:dyDescent="0.4">
      <c r="A89" s="187" t="s">
        <v>220</v>
      </c>
      <c r="B89" s="240">
        <v>109800</v>
      </c>
      <c r="C89" s="240">
        <f>109800/'General Look Up Data'!B48</f>
        <v>105203.76443872065</v>
      </c>
      <c r="D89" s="285"/>
    </row>
    <row r="90" spans="1:8" ht="15.9" x14ac:dyDescent="0.4">
      <c r="A90" s="187" t="s">
        <v>221</v>
      </c>
      <c r="B90" s="240">
        <v>84000</v>
      </c>
      <c r="C90" s="240">
        <f>84000/'General Look Up Data'!B48</f>
        <v>80483.754215414709</v>
      </c>
      <c r="D90" s="285"/>
    </row>
    <row r="91" spans="1:8" ht="15.9" x14ac:dyDescent="0.45">
      <c r="A91" s="187"/>
      <c r="B91" s="240"/>
      <c r="C91" s="240"/>
      <c r="D91" s="284"/>
    </row>
    <row r="92" spans="1:8" ht="15.9" x14ac:dyDescent="0.45">
      <c r="A92" s="187" t="s">
        <v>222</v>
      </c>
      <c r="B92" s="240">
        <f>SUM(B73:B90)</f>
        <v>13612400</v>
      </c>
      <c r="C92" s="240">
        <f>SUM(C73:C90)</f>
        <v>13044593.281899655</v>
      </c>
      <c r="D92" s="284"/>
    </row>
    <row r="93" spans="1:8" ht="15.9" x14ac:dyDescent="0.45">
      <c r="A93" s="187" t="s">
        <v>223</v>
      </c>
      <c r="B93" s="240">
        <v>4083720</v>
      </c>
      <c r="C93" s="240">
        <f>4083720/'General Look Up Data'!B48</f>
        <v>3912775.199578254</v>
      </c>
      <c r="D93" s="284"/>
    </row>
    <row r="94" spans="1:8" ht="15.9" x14ac:dyDescent="0.45">
      <c r="A94" s="187" t="s">
        <v>224</v>
      </c>
      <c r="B94" s="240">
        <v>4000000</v>
      </c>
      <c r="C94" s="240">
        <f>4000000/'General Look Up Data'!B48</f>
        <v>3832559.7245435575</v>
      </c>
      <c r="D94" s="284"/>
    </row>
    <row r="95" spans="1:8" ht="16.3" thickBot="1" x14ac:dyDescent="0.5">
      <c r="A95" s="241" t="s">
        <v>225</v>
      </c>
      <c r="B95" s="242">
        <f>SUM(B73:B94)-B92</f>
        <v>21696120</v>
      </c>
      <c r="C95" s="242">
        <f>SUM(C73:C94)-C92</f>
        <v>20789928.206021473</v>
      </c>
      <c r="D95" s="286"/>
      <c r="F95" s="287"/>
    </row>
  </sheetData>
  <mergeCells count="18">
    <mergeCell ref="H19:H20"/>
    <mergeCell ref="G19:G20"/>
    <mergeCell ref="J2:L2"/>
    <mergeCell ref="F2:I2"/>
    <mergeCell ref="B76:B77"/>
    <mergeCell ref="B19:D19"/>
    <mergeCell ref="G18:L18"/>
    <mergeCell ref="B18:E18"/>
    <mergeCell ref="D76:D77"/>
    <mergeCell ref="C76:C77"/>
    <mergeCell ref="G36:L36"/>
    <mergeCell ref="L24:L25"/>
    <mergeCell ref="K24:K25"/>
    <mergeCell ref="J24:J25"/>
    <mergeCell ref="L19:L20"/>
    <mergeCell ref="K19:K20"/>
    <mergeCell ref="J19:J20"/>
    <mergeCell ref="I19:I20"/>
  </mergeCells>
  <pageMargins left="0.7" right="0.7" top="0.75" bottom="0.75" header="0.3" footer="0.3"/>
  <pageSetup paperSize="3" orientation="landscape" r:id="rId1"/>
  <ignoredErrors>
    <ignoredError sqref="C8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AD31D-37A4-499A-A7AF-B415233758D2}">
  <sheetPr>
    <tabColor theme="9" tint="0.39997558519241921"/>
  </sheetPr>
  <dimension ref="A1:AI46"/>
  <sheetViews>
    <sheetView zoomScale="75" zoomScaleNormal="75" workbookViewId="0">
      <selection activeCell="L17" sqref="L17"/>
    </sheetView>
  </sheetViews>
  <sheetFormatPr defaultColWidth="8.69140625" defaultRowHeight="14.6" x14ac:dyDescent="0.4"/>
  <cols>
    <col min="1" max="1" width="39.23046875" customWidth="1"/>
    <col min="2" max="2" width="15.53515625" customWidth="1"/>
    <col min="3" max="4" width="15.53515625" hidden="1" customWidth="1"/>
    <col min="5" max="5" width="13.53515625" customWidth="1"/>
    <col min="6" max="6" width="15" customWidth="1"/>
    <col min="7" max="32" width="12.53515625" customWidth="1"/>
    <col min="33" max="35" width="11.61328125" customWidth="1"/>
  </cols>
  <sheetData>
    <row r="1" spans="1:35" ht="20.6" x14ac:dyDescent="0.55000000000000004">
      <c r="A1" s="106" t="s">
        <v>237</v>
      </c>
    </row>
    <row r="3" spans="1:35" x14ac:dyDescent="0.4">
      <c r="A3" s="1" t="s">
        <v>11</v>
      </c>
      <c r="B3" s="40"/>
      <c r="F3">
        <v>1</v>
      </c>
      <c r="G3">
        <f t="shared" ref="G3:W4" si="0">F3+1</f>
        <v>2</v>
      </c>
      <c r="H3">
        <f t="shared" si="0"/>
        <v>3</v>
      </c>
      <c r="I3">
        <f t="shared" si="0"/>
        <v>4</v>
      </c>
      <c r="J3">
        <f t="shared" si="0"/>
        <v>5</v>
      </c>
      <c r="K3">
        <f t="shared" si="0"/>
        <v>6</v>
      </c>
      <c r="L3">
        <f t="shared" si="0"/>
        <v>7</v>
      </c>
      <c r="M3">
        <f t="shared" si="0"/>
        <v>8</v>
      </c>
      <c r="N3">
        <f t="shared" si="0"/>
        <v>9</v>
      </c>
      <c r="O3">
        <f t="shared" si="0"/>
        <v>10</v>
      </c>
      <c r="P3">
        <f t="shared" si="0"/>
        <v>11</v>
      </c>
      <c r="Q3">
        <f t="shared" si="0"/>
        <v>12</v>
      </c>
      <c r="R3">
        <f t="shared" si="0"/>
        <v>13</v>
      </c>
      <c r="S3">
        <f t="shared" si="0"/>
        <v>14</v>
      </c>
      <c r="T3">
        <f t="shared" si="0"/>
        <v>15</v>
      </c>
      <c r="U3">
        <f t="shared" si="0"/>
        <v>16</v>
      </c>
      <c r="V3">
        <f t="shared" si="0"/>
        <v>17</v>
      </c>
      <c r="W3">
        <f t="shared" si="0"/>
        <v>18</v>
      </c>
      <c r="X3">
        <f t="shared" ref="X3:X4" si="1">W3+1</f>
        <v>19</v>
      </c>
      <c r="Y3">
        <f t="shared" ref="Y3:Y4" si="2">X3+1</f>
        <v>20</v>
      </c>
      <c r="Z3">
        <f t="shared" ref="Z3:Z4" si="3">Y3+1</f>
        <v>21</v>
      </c>
      <c r="AA3">
        <f t="shared" ref="AA3:AA4" si="4">Z3+1</f>
        <v>22</v>
      </c>
      <c r="AB3">
        <f t="shared" ref="AB3:AB4" si="5">AA3+1</f>
        <v>23</v>
      </c>
      <c r="AC3">
        <f t="shared" ref="AC3:AD4" si="6">AB3+1</f>
        <v>24</v>
      </c>
      <c r="AD3">
        <f t="shared" si="6"/>
        <v>25</v>
      </c>
      <c r="AE3">
        <f t="shared" ref="AE3:AE4" si="7">AD3+1</f>
        <v>26</v>
      </c>
      <c r="AF3">
        <f t="shared" ref="AF3:AF4" si="8">AE3+1</f>
        <v>27</v>
      </c>
      <c r="AG3">
        <f t="shared" ref="AG3:AG4" si="9">AF3+1</f>
        <v>28</v>
      </c>
      <c r="AH3">
        <f t="shared" ref="AH3:AH4" si="10">AG3+1</f>
        <v>29</v>
      </c>
      <c r="AI3">
        <f t="shared" ref="AI3:AI4" si="11">AH3+1</f>
        <v>30</v>
      </c>
    </row>
    <row r="4" spans="1:35" x14ac:dyDescent="0.4">
      <c r="F4">
        <v>2032</v>
      </c>
      <c r="G4">
        <f t="shared" ref="G4:V4" si="12">F4+1</f>
        <v>2033</v>
      </c>
      <c r="H4">
        <f t="shared" si="12"/>
        <v>2034</v>
      </c>
      <c r="I4">
        <f t="shared" si="12"/>
        <v>2035</v>
      </c>
      <c r="J4">
        <f t="shared" si="12"/>
        <v>2036</v>
      </c>
      <c r="K4">
        <f t="shared" si="12"/>
        <v>2037</v>
      </c>
      <c r="L4">
        <f t="shared" si="12"/>
        <v>2038</v>
      </c>
      <c r="M4">
        <f t="shared" si="12"/>
        <v>2039</v>
      </c>
      <c r="N4">
        <f t="shared" si="12"/>
        <v>2040</v>
      </c>
      <c r="O4">
        <f t="shared" si="12"/>
        <v>2041</v>
      </c>
      <c r="P4">
        <f t="shared" si="12"/>
        <v>2042</v>
      </c>
      <c r="Q4">
        <f t="shared" si="12"/>
        <v>2043</v>
      </c>
      <c r="R4">
        <f t="shared" si="12"/>
        <v>2044</v>
      </c>
      <c r="S4">
        <f t="shared" si="12"/>
        <v>2045</v>
      </c>
      <c r="T4">
        <f t="shared" si="12"/>
        <v>2046</v>
      </c>
      <c r="U4">
        <f t="shared" si="12"/>
        <v>2047</v>
      </c>
      <c r="V4">
        <f t="shared" si="12"/>
        <v>2048</v>
      </c>
      <c r="W4">
        <f t="shared" si="0"/>
        <v>2049</v>
      </c>
      <c r="X4">
        <f t="shared" si="1"/>
        <v>2050</v>
      </c>
      <c r="Y4">
        <f t="shared" si="2"/>
        <v>2051</v>
      </c>
      <c r="Z4">
        <f t="shared" si="3"/>
        <v>2052</v>
      </c>
      <c r="AA4">
        <f t="shared" si="4"/>
        <v>2053</v>
      </c>
      <c r="AB4">
        <f t="shared" si="5"/>
        <v>2054</v>
      </c>
      <c r="AC4">
        <f t="shared" si="6"/>
        <v>2055</v>
      </c>
      <c r="AD4">
        <f t="shared" si="6"/>
        <v>2056</v>
      </c>
      <c r="AE4">
        <f t="shared" si="7"/>
        <v>2057</v>
      </c>
      <c r="AF4">
        <f t="shared" si="8"/>
        <v>2058</v>
      </c>
      <c r="AG4">
        <f t="shared" si="9"/>
        <v>2059</v>
      </c>
      <c r="AH4">
        <f t="shared" si="10"/>
        <v>2060</v>
      </c>
      <c r="AI4">
        <f t="shared" si="11"/>
        <v>2061</v>
      </c>
    </row>
    <row r="5" spans="1:35" x14ac:dyDescent="0.4">
      <c r="A5" s="12" t="s">
        <v>13</v>
      </c>
      <c r="B5" s="44"/>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row>
    <row r="6" spans="1:35" hidden="1" x14ac:dyDescent="0.4">
      <c r="A6" s="1" t="s">
        <v>14</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row>
    <row r="7" spans="1:35" x14ac:dyDescent="0.4">
      <c r="A7" s="1" t="s">
        <v>15</v>
      </c>
      <c r="C7" s="49"/>
      <c r="D7" s="49"/>
      <c r="E7" s="49"/>
      <c r="F7" s="49"/>
      <c r="G7" s="49"/>
      <c r="H7" s="49"/>
      <c r="I7" s="49"/>
      <c r="J7" s="49"/>
      <c r="K7" s="49"/>
      <c r="L7" s="49"/>
      <c r="M7" s="49"/>
      <c r="N7" s="49"/>
      <c r="O7" s="49"/>
      <c r="P7" s="49"/>
      <c r="Q7" s="49">
        <v>500000</v>
      </c>
      <c r="R7" s="49"/>
      <c r="S7" s="49"/>
      <c r="T7" s="49"/>
      <c r="U7" s="49"/>
      <c r="V7" s="49"/>
      <c r="W7" s="49"/>
      <c r="X7" s="49"/>
      <c r="Y7" s="49"/>
      <c r="Z7" s="49"/>
      <c r="AA7" s="49"/>
      <c r="AB7" s="49"/>
      <c r="AC7" s="49"/>
      <c r="AD7" s="49"/>
      <c r="AE7" s="49"/>
      <c r="AF7" s="49"/>
    </row>
    <row r="8" spans="1:35" x14ac:dyDescent="0.4">
      <c r="A8" s="1" t="s">
        <v>236</v>
      </c>
      <c r="C8" s="49"/>
      <c r="D8" s="49"/>
      <c r="E8" s="49"/>
      <c r="F8" s="49">
        <v>5000</v>
      </c>
      <c r="G8" s="49">
        <v>5000</v>
      </c>
      <c r="H8" s="49">
        <v>5000</v>
      </c>
      <c r="I8" s="49">
        <v>5000</v>
      </c>
      <c r="J8" s="49">
        <v>5000</v>
      </c>
      <c r="K8" s="49">
        <v>5000</v>
      </c>
      <c r="L8" s="49">
        <v>5000</v>
      </c>
      <c r="M8" s="49">
        <v>5000</v>
      </c>
      <c r="N8" s="49">
        <v>5000</v>
      </c>
      <c r="O8" s="49">
        <v>5000</v>
      </c>
      <c r="P8" s="49">
        <v>5000</v>
      </c>
      <c r="Q8" s="49">
        <v>5000</v>
      </c>
      <c r="R8" s="49">
        <v>5000</v>
      </c>
      <c r="S8" s="49">
        <v>5000</v>
      </c>
      <c r="T8" s="49">
        <v>5000</v>
      </c>
      <c r="U8" s="49">
        <v>5000</v>
      </c>
      <c r="V8" s="49">
        <v>5000</v>
      </c>
      <c r="W8" s="49">
        <v>5000</v>
      </c>
      <c r="X8" s="49">
        <v>5000</v>
      </c>
      <c r="Y8" s="49">
        <v>5000</v>
      </c>
      <c r="Z8" s="49">
        <v>5000</v>
      </c>
      <c r="AA8" s="49">
        <v>5000</v>
      </c>
      <c r="AB8" s="49">
        <v>5000</v>
      </c>
      <c r="AC8" s="49">
        <v>5000</v>
      </c>
      <c r="AD8" s="49">
        <v>5000</v>
      </c>
      <c r="AE8" s="49">
        <v>5000</v>
      </c>
      <c r="AF8" s="49">
        <v>5000</v>
      </c>
      <c r="AG8" s="49">
        <v>5000</v>
      </c>
      <c r="AH8" s="49">
        <v>5000</v>
      </c>
      <c r="AI8" s="49">
        <v>5000</v>
      </c>
    </row>
    <row r="9" spans="1:35" x14ac:dyDescent="0.4">
      <c r="A9" s="57" t="s">
        <v>23</v>
      </c>
      <c r="F9" s="186">
        <f>F8+F7</f>
        <v>5000</v>
      </c>
      <c r="G9" s="186">
        <f t="shared" ref="G9:AI9" si="13">G8+G7</f>
        <v>5000</v>
      </c>
      <c r="H9" s="186">
        <f t="shared" si="13"/>
        <v>5000</v>
      </c>
      <c r="I9" s="186">
        <f t="shared" si="13"/>
        <v>5000</v>
      </c>
      <c r="J9" s="186">
        <f t="shared" si="13"/>
        <v>5000</v>
      </c>
      <c r="K9" s="186">
        <f t="shared" si="13"/>
        <v>5000</v>
      </c>
      <c r="L9" s="186">
        <f t="shared" si="13"/>
        <v>5000</v>
      </c>
      <c r="M9" s="186">
        <f t="shared" si="13"/>
        <v>5000</v>
      </c>
      <c r="N9" s="186">
        <f t="shared" si="13"/>
        <v>5000</v>
      </c>
      <c r="O9" s="186">
        <f t="shared" si="13"/>
        <v>5000</v>
      </c>
      <c r="P9" s="186">
        <f t="shared" si="13"/>
        <v>5000</v>
      </c>
      <c r="Q9" s="186">
        <f t="shared" si="13"/>
        <v>505000</v>
      </c>
      <c r="R9" s="186">
        <f t="shared" si="13"/>
        <v>5000</v>
      </c>
      <c r="S9" s="186">
        <f t="shared" si="13"/>
        <v>5000</v>
      </c>
      <c r="T9" s="186">
        <f t="shared" si="13"/>
        <v>5000</v>
      </c>
      <c r="U9" s="186">
        <f t="shared" si="13"/>
        <v>5000</v>
      </c>
      <c r="V9" s="186">
        <f t="shared" si="13"/>
        <v>5000</v>
      </c>
      <c r="W9" s="186">
        <f t="shared" si="13"/>
        <v>5000</v>
      </c>
      <c r="X9" s="186">
        <f t="shared" si="13"/>
        <v>5000</v>
      </c>
      <c r="Y9" s="186">
        <f t="shared" si="13"/>
        <v>5000</v>
      </c>
      <c r="Z9" s="186">
        <f t="shared" si="13"/>
        <v>5000</v>
      </c>
      <c r="AA9" s="186">
        <f t="shared" si="13"/>
        <v>5000</v>
      </c>
      <c r="AB9" s="186">
        <f t="shared" si="13"/>
        <v>5000</v>
      </c>
      <c r="AC9" s="186">
        <f t="shared" si="13"/>
        <v>5000</v>
      </c>
      <c r="AD9" s="186">
        <f t="shared" si="13"/>
        <v>5000</v>
      </c>
      <c r="AE9" s="186">
        <f t="shared" si="13"/>
        <v>5000</v>
      </c>
      <c r="AF9" s="186">
        <f t="shared" si="13"/>
        <v>5000</v>
      </c>
      <c r="AG9" s="186">
        <f t="shared" si="13"/>
        <v>5000</v>
      </c>
      <c r="AH9" s="186">
        <f t="shared" si="13"/>
        <v>5000</v>
      </c>
      <c r="AI9" s="186">
        <f t="shared" si="13"/>
        <v>5000</v>
      </c>
    </row>
    <row r="15" spans="1:35" ht="15" thickBot="1" x14ac:dyDescent="0.45"/>
    <row r="16" spans="1:35" ht="18" thickBot="1" x14ac:dyDescent="0.45">
      <c r="B16" s="318"/>
      <c r="C16" s="65"/>
      <c r="D16" s="321" t="s">
        <v>16</v>
      </c>
      <c r="E16" s="322"/>
      <c r="F16" s="323"/>
      <c r="H16" s="318"/>
      <c r="I16" s="319"/>
      <c r="J16" s="319"/>
      <c r="K16" s="319"/>
      <c r="L16" s="319"/>
      <c r="M16" s="141"/>
      <c r="N16" s="320"/>
      <c r="O16" s="320"/>
      <c r="P16" s="320"/>
    </row>
    <row r="17" spans="2:16" ht="43.75" x14ac:dyDescent="0.4">
      <c r="B17" s="318"/>
      <c r="C17" s="68"/>
      <c r="D17" s="67"/>
      <c r="E17" s="66" t="s">
        <v>18</v>
      </c>
      <c r="F17" s="67" t="s">
        <v>17</v>
      </c>
      <c r="H17" s="318"/>
      <c r="I17" s="140"/>
      <c r="J17" s="140"/>
      <c r="K17" s="140"/>
      <c r="L17" s="142"/>
      <c r="M17" s="142"/>
      <c r="N17" s="142"/>
      <c r="O17" s="140"/>
      <c r="P17" s="142"/>
    </row>
    <row r="18" spans="2:16" hidden="1" x14ac:dyDescent="0.4">
      <c r="B18" s="143"/>
      <c r="C18" s="288"/>
      <c r="D18" s="69"/>
      <c r="E18" s="69">
        <v>0</v>
      </c>
      <c r="F18" s="70">
        <f>SUM(D18+E18)</f>
        <v>0</v>
      </c>
      <c r="H18" s="143"/>
      <c r="I18" s="144"/>
      <c r="J18" s="144"/>
      <c r="K18" s="144"/>
      <c r="L18" s="144"/>
      <c r="M18" s="144"/>
      <c r="N18" s="144"/>
      <c r="O18" s="144"/>
      <c r="P18" s="145"/>
    </row>
    <row r="19" spans="2:16" hidden="1" x14ac:dyDescent="0.4">
      <c r="B19" s="143"/>
      <c r="C19" s="288"/>
      <c r="D19" s="69"/>
      <c r="E19" s="69">
        <v>0</v>
      </c>
      <c r="F19" s="70">
        <f t="shared" ref="F19:F45" si="14">SUM(D19+E19)</f>
        <v>0</v>
      </c>
      <c r="H19" s="143"/>
      <c r="I19" s="144"/>
      <c r="J19" s="144"/>
      <c r="K19" s="144"/>
      <c r="L19" s="144"/>
      <c r="M19" s="144"/>
      <c r="N19" s="144"/>
      <c r="O19" s="144"/>
      <c r="P19" s="145"/>
    </row>
    <row r="20" spans="2:16" hidden="1" x14ac:dyDescent="0.4">
      <c r="B20" s="143"/>
      <c r="C20" s="288"/>
      <c r="D20" s="69"/>
      <c r="E20" s="69">
        <v>0</v>
      </c>
      <c r="F20" s="70">
        <f t="shared" si="14"/>
        <v>0</v>
      </c>
      <c r="H20" s="143"/>
      <c r="I20" s="144"/>
      <c r="J20" s="144"/>
      <c r="K20" s="144"/>
      <c r="L20" s="144"/>
      <c r="M20" s="144"/>
      <c r="N20" s="144"/>
      <c r="O20" s="144"/>
      <c r="P20" s="145"/>
    </row>
    <row r="21" spans="2:16" hidden="1" x14ac:dyDescent="0.4">
      <c r="B21" s="143"/>
      <c r="C21" s="288"/>
      <c r="D21" s="69"/>
      <c r="E21" s="69">
        <v>0</v>
      </c>
      <c r="F21" s="70">
        <f t="shared" si="14"/>
        <v>0</v>
      </c>
      <c r="H21" s="143"/>
      <c r="I21" s="144"/>
      <c r="J21" s="144"/>
      <c r="K21" s="144"/>
      <c r="L21" s="144"/>
      <c r="M21" s="144"/>
      <c r="N21" s="144"/>
      <c r="O21" s="144"/>
      <c r="P21" s="145"/>
    </row>
    <row r="22" spans="2:16" x14ac:dyDescent="0.4">
      <c r="B22" s="143"/>
      <c r="C22" s="288"/>
      <c r="D22" s="69"/>
      <c r="E22" s="69">
        <v>0</v>
      </c>
      <c r="F22" s="70">
        <f t="shared" si="14"/>
        <v>0</v>
      </c>
      <c r="H22" s="143"/>
      <c r="I22" s="144"/>
      <c r="J22" s="144"/>
      <c r="K22" s="144"/>
      <c r="L22" s="144"/>
      <c r="M22" s="144"/>
      <c r="N22" s="144"/>
      <c r="O22" s="144"/>
      <c r="P22" s="145"/>
    </row>
    <row r="23" spans="2:16" x14ac:dyDescent="0.4">
      <c r="B23" s="143"/>
      <c r="C23" s="288"/>
      <c r="D23" s="69"/>
      <c r="E23" s="69">
        <v>0</v>
      </c>
      <c r="F23" s="70">
        <f t="shared" si="14"/>
        <v>0</v>
      </c>
      <c r="H23" s="143"/>
      <c r="I23" s="144"/>
      <c r="J23" s="144"/>
      <c r="K23" s="144"/>
      <c r="L23" s="144"/>
      <c r="M23" s="144"/>
      <c r="N23" s="144"/>
      <c r="O23" s="144"/>
      <c r="P23" s="145"/>
    </row>
    <row r="24" spans="2:16" x14ac:dyDescent="0.4">
      <c r="B24" s="143"/>
      <c r="C24" s="288"/>
      <c r="D24" s="69"/>
      <c r="E24" s="69">
        <v>0</v>
      </c>
      <c r="F24" s="70">
        <f t="shared" si="14"/>
        <v>0</v>
      </c>
      <c r="H24" s="143"/>
      <c r="I24" s="144"/>
      <c r="J24" s="144"/>
      <c r="K24" s="144"/>
      <c r="L24" s="144"/>
      <c r="M24" s="144"/>
      <c r="N24" s="144"/>
      <c r="O24" s="144"/>
      <c r="P24" s="145"/>
    </row>
    <row r="25" spans="2:16" x14ac:dyDescent="0.4">
      <c r="B25" s="143"/>
      <c r="C25" s="288"/>
      <c r="D25" s="69"/>
      <c r="E25" s="69">
        <v>0</v>
      </c>
      <c r="F25" s="70">
        <f t="shared" si="14"/>
        <v>0</v>
      </c>
      <c r="H25" s="143"/>
      <c r="I25" s="144"/>
      <c r="J25" s="144"/>
      <c r="K25" s="144"/>
      <c r="L25" s="144"/>
      <c r="M25" s="144"/>
      <c r="N25" s="144"/>
      <c r="O25" s="144"/>
      <c r="P25" s="145"/>
    </row>
    <row r="26" spans="2:16" x14ac:dyDescent="0.4">
      <c r="B26" s="143"/>
      <c r="C26" s="288"/>
      <c r="D26" s="71"/>
      <c r="E26" s="69">
        <v>0</v>
      </c>
      <c r="F26" s="70">
        <f t="shared" si="14"/>
        <v>0</v>
      </c>
      <c r="H26" s="143"/>
      <c r="I26" s="144"/>
      <c r="J26" s="144"/>
      <c r="K26" s="144"/>
      <c r="L26" s="144"/>
      <c r="M26" s="144"/>
      <c r="N26" s="146"/>
      <c r="O26" s="144"/>
      <c r="P26" s="145"/>
    </row>
    <row r="27" spans="2:16" x14ac:dyDescent="0.4">
      <c r="B27" s="143"/>
      <c r="C27" s="288"/>
      <c r="D27" s="71"/>
      <c r="E27" s="69">
        <v>0</v>
      </c>
      <c r="F27" s="70">
        <f t="shared" si="14"/>
        <v>0</v>
      </c>
      <c r="H27" s="143"/>
      <c r="I27" s="144"/>
      <c r="J27" s="144"/>
      <c r="K27" s="147"/>
      <c r="L27" s="144"/>
      <c r="M27" s="144"/>
      <c r="N27" s="146"/>
      <c r="O27" s="144"/>
      <c r="P27" s="145"/>
    </row>
    <row r="28" spans="2:16" x14ac:dyDescent="0.4">
      <c r="B28" s="143"/>
      <c r="C28" s="288"/>
      <c r="D28" s="71"/>
      <c r="E28" s="69">
        <v>0</v>
      </c>
      <c r="F28" s="70">
        <f t="shared" si="14"/>
        <v>0</v>
      </c>
      <c r="H28" s="143"/>
      <c r="I28" s="148"/>
      <c r="J28" s="149"/>
      <c r="K28" s="147"/>
      <c r="L28" s="144"/>
      <c r="M28" s="144"/>
      <c r="N28" s="146"/>
      <c r="O28" s="144"/>
      <c r="P28" s="145"/>
    </row>
    <row r="29" spans="2:16" x14ac:dyDescent="0.4">
      <c r="B29" s="143"/>
      <c r="C29" s="288"/>
      <c r="D29" s="69"/>
      <c r="E29" s="69">
        <v>5000</v>
      </c>
      <c r="F29" s="70">
        <f t="shared" si="14"/>
        <v>5000</v>
      </c>
      <c r="H29" s="143"/>
      <c r="I29" s="144"/>
      <c r="J29" s="146"/>
      <c r="K29" s="147"/>
      <c r="L29" s="144"/>
      <c r="M29" s="144"/>
      <c r="N29" s="144"/>
      <c r="O29" s="144"/>
      <c r="P29" s="145"/>
    </row>
    <row r="30" spans="2:16" x14ac:dyDescent="0.4">
      <c r="B30" s="143"/>
      <c r="C30" s="288"/>
      <c r="D30" s="69"/>
      <c r="E30" s="69">
        <v>5000</v>
      </c>
      <c r="F30" s="70">
        <f t="shared" si="14"/>
        <v>5000</v>
      </c>
      <c r="H30" s="143"/>
      <c r="I30" s="148"/>
      <c r="J30" s="146"/>
      <c r="K30" s="147"/>
      <c r="L30" s="144"/>
      <c r="M30" s="144"/>
      <c r="N30" s="144"/>
      <c r="O30" s="144"/>
      <c r="P30" s="145"/>
    </row>
    <row r="31" spans="2:16" x14ac:dyDescent="0.4">
      <c r="B31" s="143"/>
      <c r="C31" s="288"/>
      <c r="D31" s="69"/>
      <c r="E31" s="69">
        <v>5000</v>
      </c>
      <c r="F31" s="70">
        <f t="shared" si="14"/>
        <v>5000</v>
      </c>
      <c r="H31" s="143"/>
      <c r="I31" s="148"/>
      <c r="J31" s="146"/>
      <c r="K31" s="147"/>
      <c r="L31" s="144"/>
      <c r="M31" s="144"/>
      <c r="N31" s="144"/>
      <c r="O31" s="144"/>
      <c r="P31" s="145"/>
    </row>
    <row r="32" spans="2:16" x14ac:dyDescent="0.4">
      <c r="B32" s="143"/>
      <c r="C32" s="288"/>
      <c r="D32" s="69"/>
      <c r="E32" s="69">
        <v>5000</v>
      </c>
      <c r="F32" s="70">
        <f t="shared" si="14"/>
        <v>5000</v>
      </c>
      <c r="H32" s="143"/>
      <c r="I32" s="148"/>
      <c r="J32" s="146"/>
      <c r="K32" s="147"/>
      <c r="L32" s="144"/>
      <c r="M32" s="144"/>
      <c r="N32" s="144"/>
      <c r="O32" s="144"/>
      <c r="P32" s="145"/>
    </row>
    <row r="33" spans="1:16" x14ac:dyDescent="0.4">
      <c r="B33" s="143"/>
      <c r="C33" s="288"/>
      <c r="D33" s="69"/>
      <c r="E33" s="69">
        <v>5000</v>
      </c>
      <c r="F33" s="70">
        <f t="shared" si="14"/>
        <v>5000</v>
      </c>
      <c r="H33" s="143"/>
      <c r="I33" s="148"/>
      <c r="J33" s="146"/>
      <c r="K33" s="147"/>
      <c r="L33" s="144"/>
      <c r="M33" s="144"/>
      <c r="N33" s="144"/>
      <c r="O33" s="144"/>
      <c r="P33" s="145"/>
    </row>
    <row r="34" spans="1:16" x14ac:dyDescent="0.4">
      <c r="B34" s="143"/>
      <c r="C34" s="288"/>
      <c r="D34" s="69"/>
      <c r="E34" s="69">
        <v>5000</v>
      </c>
      <c r="F34" s="70">
        <f t="shared" si="14"/>
        <v>5000</v>
      </c>
      <c r="H34" s="143"/>
      <c r="I34" s="148"/>
      <c r="J34" s="146"/>
      <c r="K34" s="147"/>
      <c r="L34" s="144"/>
      <c r="M34" s="144"/>
      <c r="N34" s="144"/>
      <c r="O34" s="144"/>
      <c r="P34" s="145"/>
    </row>
    <row r="35" spans="1:16" x14ac:dyDescent="0.4">
      <c r="B35" s="143"/>
      <c r="C35" s="288"/>
      <c r="D35" s="69"/>
      <c r="E35" s="69">
        <v>5000</v>
      </c>
      <c r="F35" s="70">
        <f t="shared" si="14"/>
        <v>5000</v>
      </c>
      <c r="H35" s="143"/>
      <c r="I35" s="148"/>
      <c r="J35" s="146"/>
      <c r="K35" s="147"/>
      <c r="L35" s="144"/>
      <c r="M35" s="144"/>
      <c r="N35" s="144"/>
      <c r="O35" s="144"/>
      <c r="P35" s="145"/>
    </row>
    <row r="36" spans="1:16" x14ac:dyDescent="0.4">
      <c r="B36" s="143"/>
      <c r="C36" s="288"/>
      <c r="D36" s="69"/>
      <c r="E36" s="69">
        <v>5000</v>
      </c>
      <c r="F36" s="70">
        <f t="shared" si="14"/>
        <v>5000</v>
      </c>
      <c r="H36" s="143"/>
      <c r="I36" s="148"/>
      <c r="J36" s="146"/>
      <c r="K36" s="147"/>
      <c r="L36" s="144"/>
      <c r="M36" s="144"/>
      <c r="N36" s="144"/>
      <c r="O36" s="144"/>
      <c r="P36" s="145"/>
    </row>
    <row r="37" spans="1:16" x14ac:dyDescent="0.4">
      <c r="B37" s="143"/>
      <c r="C37" s="288"/>
      <c r="D37" s="69"/>
      <c r="E37" s="69">
        <v>5000</v>
      </c>
      <c r="F37" s="70">
        <f t="shared" si="14"/>
        <v>5000</v>
      </c>
      <c r="H37" s="143"/>
      <c r="I37" s="148"/>
      <c r="J37" s="146"/>
      <c r="K37" s="147"/>
      <c r="L37" s="144"/>
      <c r="M37" s="144"/>
      <c r="N37" s="144"/>
      <c r="O37" s="144"/>
      <c r="P37" s="145"/>
    </row>
    <row r="38" spans="1:16" x14ac:dyDescent="0.4">
      <c r="B38" s="143"/>
      <c r="C38" s="288"/>
      <c r="D38" s="69"/>
      <c r="E38" s="69">
        <v>5000</v>
      </c>
      <c r="F38" s="70">
        <f t="shared" si="14"/>
        <v>5000</v>
      </c>
      <c r="H38" s="143"/>
      <c r="I38" s="148"/>
      <c r="J38" s="146"/>
      <c r="K38" s="147"/>
      <c r="L38" s="144"/>
      <c r="M38" s="144"/>
      <c r="N38" s="144"/>
      <c r="O38" s="144"/>
      <c r="P38" s="145"/>
    </row>
    <row r="39" spans="1:16" x14ac:dyDescent="0.4">
      <c r="B39" s="143"/>
      <c r="C39" s="288"/>
      <c r="D39" s="69"/>
      <c r="E39" s="69">
        <v>5000</v>
      </c>
      <c r="F39" s="70">
        <f t="shared" si="14"/>
        <v>5000</v>
      </c>
      <c r="H39" s="143"/>
      <c r="I39" s="148"/>
      <c r="J39" s="146"/>
      <c r="K39" s="147"/>
      <c r="L39" s="144"/>
      <c r="M39" s="144"/>
      <c r="N39" s="144"/>
      <c r="O39" s="144"/>
      <c r="P39" s="145"/>
    </row>
    <row r="40" spans="1:16" x14ac:dyDescent="0.4">
      <c r="A40" t="s">
        <v>19</v>
      </c>
      <c r="B40" s="143"/>
      <c r="C40" s="288"/>
      <c r="D40" s="69"/>
      <c r="E40" s="71">
        <v>500000</v>
      </c>
      <c r="F40" s="70">
        <f t="shared" si="14"/>
        <v>500000</v>
      </c>
      <c r="H40" s="143"/>
      <c r="I40" s="148"/>
      <c r="J40" s="146"/>
      <c r="K40" s="144"/>
      <c r="L40" s="144"/>
      <c r="M40" s="144"/>
      <c r="N40" s="144"/>
      <c r="O40" s="146"/>
      <c r="P40" s="145"/>
    </row>
    <row r="41" spans="1:16" x14ac:dyDescent="0.4">
      <c r="B41" s="143"/>
      <c r="C41" s="288"/>
      <c r="D41" s="69"/>
      <c r="E41" s="71">
        <v>5000</v>
      </c>
      <c r="F41" s="70">
        <f t="shared" si="14"/>
        <v>5000</v>
      </c>
      <c r="H41" s="143"/>
      <c r="I41" s="148"/>
      <c r="J41" s="146"/>
      <c r="K41" s="144"/>
      <c r="L41" s="144"/>
      <c r="M41" s="144"/>
      <c r="N41" s="144"/>
      <c r="O41" s="144"/>
      <c r="P41" s="145"/>
    </row>
    <row r="42" spans="1:16" x14ac:dyDescent="0.4">
      <c r="B42" s="143"/>
      <c r="C42" s="288"/>
      <c r="D42" s="69"/>
      <c r="E42" s="71">
        <v>5000</v>
      </c>
      <c r="F42" s="70">
        <f t="shared" si="14"/>
        <v>5000</v>
      </c>
      <c r="H42" s="143"/>
      <c r="I42" s="148"/>
      <c r="J42" s="146"/>
      <c r="K42" s="144"/>
      <c r="L42" s="144"/>
      <c r="M42" s="144"/>
      <c r="N42" s="144"/>
      <c r="O42" s="144"/>
      <c r="P42" s="145"/>
    </row>
    <row r="43" spans="1:16" x14ac:dyDescent="0.4">
      <c r="B43" s="143"/>
      <c r="C43" s="288"/>
      <c r="D43" s="69"/>
      <c r="E43" s="71">
        <v>5000</v>
      </c>
      <c r="F43" s="70">
        <f t="shared" si="14"/>
        <v>5000</v>
      </c>
      <c r="H43" s="143"/>
      <c r="I43" s="148"/>
      <c r="J43" s="146"/>
      <c r="K43" s="144"/>
      <c r="L43" s="144"/>
      <c r="M43" s="144"/>
      <c r="N43" s="144"/>
      <c r="O43" s="144"/>
      <c r="P43" s="145"/>
    </row>
    <row r="44" spans="1:16" x14ac:dyDescent="0.4">
      <c r="B44" s="143"/>
      <c r="C44" s="288"/>
      <c r="D44" s="69"/>
      <c r="E44" s="71">
        <v>5000</v>
      </c>
      <c r="F44" s="70">
        <f t="shared" si="14"/>
        <v>5000</v>
      </c>
      <c r="H44" s="143"/>
      <c r="I44" s="148"/>
      <c r="J44" s="146"/>
      <c r="K44" s="144"/>
      <c r="L44" s="144"/>
      <c r="M44" s="144"/>
      <c r="N44" s="144"/>
      <c r="O44" s="144"/>
      <c r="P44" s="145"/>
    </row>
    <row r="45" spans="1:16" x14ac:dyDescent="0.4">
      <c r="B45" s="143"/>
      <c r="C45" s="288"/>
      <c r="D45" s="69"/>
      <c r="E45" s="69">
        <v>5000</v>
      </c>
      <c r="F45" s="70">
        <f t="shared" si="14"/>
        <v>5000</v>
      </c>
      <c r="H45" s="143"/>
      <c r="I45" s="144"/>
      <c r="J45" s="144"/>
      <c r="K45" s="144"/>
      <c r="L45" s="144"/>
      <c r="M45" s="144"/>
      <c r="N45" s="144"/>
      <c r="O45" s="144"/>
      <c r="P45" s="145"/>
    </row>
    <row r="46" spans="1:16" ht="15.9" x14ac:dyDescent="0.4">
      <c r="B46" s="150"/>
      <c r="C46" s="289"/>
      <c r="D46" s="72"/>
      <c r="E46" s="72">
        <f t="shared" ref="E46:F46" si="15">SUM(E18:E45)</f>
        <v>580000</v>
      </c>
      <c r="F46" s="72">
        <f t="shared" si="15"/>
        <v>580000</v>
      </c>
      <c r="H46" s="150"/>
      <c r="I46" s="151"/>
      <c r="J46" s="151"/>
      <c r="K46" s="151"/>
      <c r="L46" s="151"/>
      <c r="M46" s="151"/>
      <c r="N46" s="151"/>
      <c r="O46" s="151"/>
      <c r="P46" s="151"/>
    </row>
  </sheetData>
  <mergeCells count="5">
    <mergeCell ref="H16:H17"/>
    <mergeCell ref="I16:L16"/>
    <mergeCell ref="N16:P16"/>
    <mergeCell ref="B16:B17"/>
    <mergeCell ref="D16:F16"/>
  </mergeCells>
  <pageMargins left="0.7" right="0.7" top="0.75" bottom="0.75" header="0.3" footer="0.3"/>
  <pageSetup paperSize="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3E14-5509-443A-9B35-01DEEE673D46}">
  <sheetPr>
    <tabColor theme="5" tint="-0.249977111117893"/>
  </sheetPr>
  <dimension ref="A2"/>
  <sheetViews>
    <sheetView workbookViewId="0">
      <selection activeCell="I17" sqref="I17"/>
    </sheetView>
  </sheetViews>
  <sheetFormatPr defaultColWidth="8.84375" defaultRowHeight="14.6" x14ac:dyDescent="0.4"/>
  <sheetData>
    <row r="2" spans="1:1" x14ac:dyDescent="0.4">
      <c r="A2" s="12" t="s">
        <v>21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322D-A662-44AC-9490-AB52EFDDAC5E}">
  <sheetPr>
    <tabColor theme="9" tint="0.59999389629810485"/>
  </sheetPr>
  <dimension ref="A1:U6"/>
  <sheetViews>
    <sheetView workbookViewId="0">
      <selection activeCell="Q15" sqref="Q15"/>
    </sheetView>
  </sheetViews>
  <sheetFormatPr defaultRowHeight="14.6" x14ac:dyDescent="0.4"/>
  <cols>
    <col min="2" max="2" width="9.53515625" bestFit="1" customWidth="1"/>
  </cols>
  <sheetData>
    <row r="1" spans="1:21" ht="18.45" x14ac:dyDescent="0.5">
      <c r="A1" s="4" t="s">
        <v>22</v>
      </c>
    </row>
    <row r="5" spans="1:21" x14ac:dyDescent="0.4">
      <c r="B5">
        <v>2024</v>
      </c>
      <c r="C5">
        <f>B5+1</f>
        <v>2025</v>
      </c>
      <c r="D5">
        <f t="shared" ref="D5:U5" si="0">C5+1</f>
        <v>2026</v>
      </c>
      <c r="E5">
        <f t="shared" si="0"/>
        <v>2027</v>
      </c>
      <c r="F5">
        <f t="shared" si="0"/>
        <v>2028</v>
      </c>
      <c r="G5">
        <f t="shared" si="0"/>
        <v>2029</v>
      </c>
      <c r="H5">
        <f t="shared" si="0"/>
        <v>2030</v>
      </c>
      <c r="I5">
        <f t="shared" si="0"/>
        <v>2031</v>
      </c>
      <c r="J5">
        <f t="shared" si="0"/>
        <v>2032</v>
      </c>
      <c r="K5">
        <f t="shared" si="0"/>
        <v>2033</v>
      </c>
      <c r="L5">
        <f t="shared" si="0"/>
        <v>2034</v>
      </c>
      <c r="M5">
        <f t="shared" si="0"/>
        <v>2035</v>
      </c>
      <c r="N5">
        <f t="shared" si="0"/>
        <v>2036</v>
      </c>
      <c r="O5">
        <f t="shared" si="0"/>
        <v>2037</v>
      </c>
      <c r="P5" s="23">
        <f t="shared" si="0"/>
        <v>2038</v>
      </c>
      <c r="Q5">
        <f t="shared" si="0"/>
        <v>2039</v>
      </c>
      <c r="R5">
        <f t="shared" si="0"/>
        <v>2040</v>
      </c>
      <c r="S5">
        <f t="shared" si="0"/>
        <v>2041</v>
      </c>
      <c r="T5">
        <f t="shared" si="0"/>
        <v>2042</v>
      </c>
      <c r="U5">
        <f t="shared" si="0"/>
        <v>2043</v>
      </c>
    </row>
    <row r="6" spans="1:21" x14ac:dyDescent="0.4">
      <c r="B6" s="24" t="e">
        <f>#REF!*#REF!</f>
        <v>#REF!</v>
      </c>
      <c r="C6" s="24" t="e">
        <f>B6</f>
        <v>#REF!</v>
      </c>
      <c r="D6" s="24" t="e">
        <f t="shared" ref="D6:U6" si="1">C6</f>
        <v>#REF!</v>
      </c>
      <c r="E6" s="24" t="e">
        <f t="shared" si="1"/>
        <v>#REF!</v>
      </c>
      <c r="F6" s="24" t="e">
        <f t="shared" si="1"/>
        <v>#REF!</v>
      </c>
      <c r="G6" s="24" t="e">
        <f t="shared" si="1"/>
        <v>#REF!</v>
      </c>
      <c r="H6" s="24" t="e">
        <f t="shared" si="1"/>
        <v>#REF!</v>
      </c>
      <c r="I6" s="24" t="e">
        <f t="shared" si="1"/>
        <v>#REF!</v>
      </c>
      <c r="J6" s="24" t="e">
        <f t="shared" si="1"/>
        <v>#REF!</v>
      </c>
      <c r="K6" s="24" t="e">
        <f t="shared" si="1"/>
        <v>#REF!</v>
      </c>
      <c r="L6" s="24" t="e">
        <f t="shared" si="1"/>
        <v>#REF!</v>
      </c>
      <c r="M6" s="24" t="e">
        <f t="shared" si="1"/>
        <v>#REF!</v>
      </c>
      <c r="N6" s="24" t="e">
        <f t="shared" si="1"/>
        <v>#REF!</v>
      </c>
      <c r="O6" s="24" t="e">
        <f t="shared" si="1"/>
        <v>#REF!</v>
      </c>
      <c r="P6" s="24" t="e">
        <f t="shared" si="1"/>
        <v>#REF!</v>
      </c>
      <c r="Q6" s="24" t="e">
        <f t="shared" si="1"/>
        <v>#REF!</v>
      </c>
      <c r="R6" s="24" t="e">
        <f t="shared" si="1"/>
        <v>#REF!</v>
      </c>
      <c r="S6" s="24" t="e">
        <f t="shared" si="1"/>
        <v>#REF!</v>
      </c>
      <c r="T6" s="24" t="e">
        <f t="shared" si="1"/>
        <v>#REF!</v>
      </c>
      <c r="U6" s="24" t="e">
        <f t="shared" si="1"/>
        <v>#REF!</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1545-9834-43FE-8B06-567D30170BAD}">
  <sheetPr>
    <tabColor theme="9" tint="0.39997558519241921"/>
  </sheetPr>
  <dimension ref="A1:AB44"/>
  <sheetViews>
    <sheetView zoomScale="75" zoomScaleNormal="75" workbookViewId="0">
      <selection activeCell="H28" sqref="H28"/>
    </sheetView>
  </sheetViews>
  <sheetFormatPr defaultColWidth="8.69140625" defaultRowHeight="14.6" x14ac:dyDescent="0.4"/>
  <cols>
    <col min="1" max="1" width="45.53515625" customWidth="1"/>
    <col min="2" max="2" width="10.53515625" customWidth="1"/>
    <col min="3" max="28" width="13.53515625" customWidth="1"/>
  </cols>
  <sheetData>
    <row r="1" spans="1:28" ht="18.45" x14ac:dyDescent="0.5">
      <c r="A1" s="4" t="s">
        <v>24</v>
      </c>
      <c r="B1" s="20"/>
    </row>
    <row r="2" spans="1:28" x14ac:dyDescent="0.4">
      <c r="B2" s="20"/>
    </row>
    <row r="3" spans="1:28" x14ac:dyDescent="0.4">
      <c r="A3" s="1" t="s">
        <v>11</v>
      </c>
      <c r="B3" s="1"/>
      <c r="D3">
        <v>1</v>
      </c>
      <c r="E3">
        <f t="shared" ref="E3:V4" si="0">D3+1</f>
        <v>2</v>
      </c>
      <c r="F3">
        <f t="shared" si="0"/>
        <v>3</v>
      </c>
      <c r="G3">
        <f t="shared" si="0"/>
        <v>4</v>
      </c>
      <c r="H3">
        <f t="shared" si="0"/>
        <v>5</v>
      </c>
      <c r="I3">
        <f t="shared" si="0"/>
        <v>6</v>
      </c>
      <c r="J3">
        <f t="shared" si="0"/>
        <v>7</v>
      </c>
      <c r="K3">
        <f t="shared" si="0"/>
        <v>8</v>
      </c>
      <c r="L3">
        <f t="shared" si="0"/>
        <v>9</v>
      </c>
      <c r="M3">
        <f t="shared" si="0"/>
        <v>10</v>
      </c>
      <c r="N3">
        <f t="shared" si="0"/>
        <v>11</v>
      </c>
      <c r="O3">
        <f t="shared" si="0"/>
        <v>12</v>
      </c>
      <c r="P3">
        <f t="shared" si="0"/>
        <v>13</v>
      </c>
      <c r="Q3">
        <f t="shared" si="0"/>
        <v>14</v>
      </c>
      <c r="R3">
        <f t="shared" si="0"/>
        <v>15</v>
      </c>
      <c r="S3">
        <f t="shared" si="0"/>
        <v>16</v>
      </c>
      <c r="T3">
        <f t="shared" si="0"/>
        <v>17</v>
      </c>
      <c r="U3">
        <f t="shared" si="0"/>
        <v>18</v>
      </c>
      <c r="V3">
        <f t="shared" si="0"/>
        <v>19</v>
      </c>
      <c r="W3">
        <f t="shared" ref="W3:W4" si="1">V3+1</f>
        <v>20</v>
      </c>
      <c r="X3">
        <f t="shared" ref="X3:X4" si="2">W3+1</f>
        <v>21</v>
      </c>
      <c r="Y3">
        <f t="shared" ref="Y3:Y4" si="3">X3+1</f>
        <v>22</v>
      </c>
      <c r="Z3">
        <f t="shared" ref="Z3:Z4" si="4">Y3+1</f>
        <v>23</v>
      </c>
      <c r="AA3">
        <f t="shared" ref="AA3:AA4" si="5">Z3+1</f>
        <v>24</v>
      </c>
      <c r="AB3">
        <f t="shared" ref="AB3:AB4" si="6">AA3+1</f>
        <v>25</v>
      </c>
    </row>
    <row r="4" spans="1:28" x14ac:dyDescent="0.4">
      <c r="C4">
        <v>2026</v>
      </c>
      <c r="D4">
        <f t="shared" ref="D4:U4" si="7">C4+1</f>
        <v>2027</v>
      </c>
      <c r="E4">
        <f t="shared" si="7"/>
        <v>2028</v>
      </c>
      <c r="F4">
        <f t="shared" si="7"/>
        <v>2029</v>
      </c>
      <c r="G4">
        <f t="shared" si="7"/>
        <v>2030</v>
      </c>
      <c r="H4">
        <f t="shared" si="7"/>
        <v>2031</v>
      </c>
      <c r="I4">
        <f t="shared" si="7"/>
        <v>2032</v>
      </c>
      <c r="J4">
        <f t="shared" si="7"/>
        <v>2033</v>
      </c>
      <c r="K4">
        <f t="shared" si="7"/>
        <v>2034</v>
      </c>
      <c r="L4">
        <f t="shared" si="7"/>
        <v>2035</v>
      </c>
      <c r="M4">
        <f t="shared" si="7"/>
        <v>2036</v>
      </c>
      <c r="N4">
        <f t="shared" si="7"/>
        <v>2037</v>
      </c>
      <c r="O4">
        <f t="shared" si="7"/>
        <v>2038</v>
      </c>
      <c r="P4">
        <f t="shared" si="7"/>
        <v>2039</v>
      </c>
      <c r="Q4">
        <f t="shared" si="7"/>
        <v>2040</v>
      </c>
      <c r="R4">
        <f t="shared" si="7"/>
        <v>2041</v>
      </c>
      <c r="S4">
        <f t="shared" si="7"/>
        <v>2042</v>
      </c>
      <c r="T4">
        <f t="shared" si="7"/>
        <v>2043</v>
      </c>
      <c r="U4">
        <f t="shared" si="7"/>
        <v>2044</v>
      </c>
      <c r="V4">
        <f t="shared" si="0"/>
        <v>2045</v>
      </c>
      <c r="W4">
        <f t="shared" si="1"/>
        <v>2046</v>
      </c>
      <c r="X4">
        <f t="shared" si="2"/>
        <v>2047</v>
      </c>
      <c r="Y4">
        <f t="shared" si="3"/>
        <v>2048</v>
      </c>
      <c r="Z4">
        <f t="shared" si="4"/>
        <v>2049</v>
      </c>
      <c r="AA4">
        <f t="shared" si="5"/>
        <v>2050</v>
      </c>
      <c r="AB4">
        <f t="shared" si="6"/>
        <v>2051</v>
      </c>
    </row>
    <row r="5" spans="1:28" ht="15.9" x14ac:dyDescent="0.45">
      <c r="A5" s="56"/>
      <c r="B5" s="20"/>
    </row>
    <row r="6" spans="1:28" x14ac:dyDescent="0.4">
      <c r="A6" t="s">
        <v>25</v>
      </c>
      <c r="B6">
        <v>43</v>
      </c>
    </row>
    <row r="7" spans="1:28" x14ac:dyDescent="0.4">
      <c r="A7" t="s">
        <v>26</v>
      </c>
      <c r="B7" s="14">
        <v>45</v>
      </c>
      <c r="F7" s="32"/>
      <c r="G7" s="32"/>
      <c r="H7" s="32"/>
      <c r="I7" s="32"/>
      <c r="J7" s="32"/>
      <c r="K7" s="32"/>
      <c r="L7" s="32"/>
      <c r="M7" s="32"/>
      <c r="N7" s="32"/>
      <c r="O7" s="32"/>
      <c r="P7" s="32"/>
      <c r="Q7" s="32"/>
      <c r="R7" s="32"/>
      <c r="S7" s="32"/>
      <c r="T7" s="32"/>
      <c r="U7" s="32"/>
      <c r="V7" s="32"/>
      <c r="W7" s="32"/>
      <c r="X7" s="32"/>
      <c r="Y7" s="32"/>
      <c r="Z7" s="32"/>
      <c r="AA7" s="32"/>
      <c r="AB7" s="32"/>
    </row>
    <row r="8" spans="1:28" x14ac:dyDescent="0.4">
      <c r="A8" t="s">
        <v>27</v>
      </c>
      <c r="B8" s="14">
        <v>1</v>
      </c>
      <c r="F8" s="32"/>
      <c r="G8" s="32"/>
      <c r="H8" s="32"/>
      <c r="I8" s="32"/>
      <c r="J8" s="32"/>
      <c r="K8" s="32"/>
      <c r="L8" s="32"/>
      <c r="M8" s="32"/>
      <c r="N8" s="32"/>
      <c r="O8" s="32"/>
      <c r="P8" s="32"/>
      <c r="Q8" s="32"/>
      <c r="R8" s="32"/>
      <c r="S8" s="32"/>
      <c r="T8" s="32"/>
      <c r="U8" s="32"/>
      <c r="V8" s="32"/>
      <c r="W8" s="32"/>
      <c r="X8" s="32"/>
      <c r="Y8" s="32"/>
      <c r="Z8" s="32"/>
      <c r="AA8" s="32"/>
      <c r="AB8" s="32"/>
    </row>
    <row r="9" spans="1:28" x14ac:dyDescent="0.4">
      <c r="A9" t="s">
        <v>28</v>
      </c>
      <c r="B9" s="81"/>
      <c r="C9" s="81" t="e">
        <f>SUM(#REF!)/3*#REF!</f>
        <v>#REF!</v>
      </c>
      <c r="D9" s="6" t="e">
        <f>C9*#REF!</f>
        <v>#REF!</v>
      </c>
      <c r="E9" s="6" t="e">
        <f>D9*#REF!</f>
        <v>#REF!</v>
      </c>
      <c r="F9" s="83" t="e">
        <f>E9*#REF!</f>
        <v>#REF!</v>
      </c>
      <c r="G9" s="83" t="e">
        <f>F9*#REF!</f>
        <v>#REF!</v>
      </c>
      <c r="H9" s="83" t="e">
        <f>G9*#REF!</f>
        <v>#REF!</v>
      </c>
      <c r="I9" s="83" t="e">
        <f>H9*#REF!</f>
        <v>#REF!</v>
      </c>
      <c r="J9" s="83" t="e">
        <f>I9*#REF!</f>
        <v>#REF!</v>
      </c>
      <c r="K9" s="83" t="e">
        <f>J9*#REF!</f>
        <v>#REF!</v>
      </c>
      <c r="L9" s="83" t="e">
        <f>K9*#REF!</f>
        <v>#REF!</v>
      </c>
      <c r="M9" s="83" t="e">
        <f>L9*#REF!</f>
        <v>#REF!</v>
      </c>
      <c r="N9" s="83" t="e">
        <f>M9*#REF!</f>
        <v>#REF!</v>
      </c>
      <c r="O9" s="83" t="e">
        <f>N9*#REF!</f>
        <v>#REF!</v>
      </c>
      <c r="P9" s="83" t="e">
        <f>O9*#REF!</f>
        <v>#REF!</v>
      </c>
      <c r="Q9" s="83" t="e">
        <f>P9*#REF!</f>
        <v>#REF!</v>
      </c>
      <c r="R9" s="83" t="e">
        <f>Q9*#REF!</f>
        <v>#REF!</v>
      </c>
      <c r="S9" s="83" t="e">
        <f>R9*#REF!</f>
        <v>#REF!</v>
      </c>
      <c r="T9" s="83" t="e">
        <f>S9*#REF!</f>
        <v>#REF!</v>
      </c>
      <c r="U9" s="83" t="e">
        <f>T9*#REF!</f>
        <v>#REF!</v>
      </c>
      <c r="V9" s="83" t="e">
        <f>U9*#REF!</f>
        <v>#REF!</v>
      </c>
      <c r="W9" s="83" t="e">
        <f>V9*#REF!</f>
        <v>#REF!</v>
      </c>
      <c r="X9" s="83" t="e">
        <f>W9*#REF!</f>
        <v>#REF!</v>
      </c>
      <c r="Y9" s="83" t="e">
        <f>X9*#REF!</f>
        <v>#REF!</v>
      </c>
      <c r="Z9" s="83" t="e">
        <f>Y9*#REF!</f>
        <v>#REF!</v>
      </c>
      <c r="AA9" s="83" t="e">
        <f>Z9*#REF!</f>
        <v>#REF!</v>
      </c>
      <c r="AB9" s="83" t="e">
        <f>AA9*#REF!</f>
        <v>#REF!</v>
      </c>
    </row>
    <row r="10" spans="1:28" x14ac:dyDescent="0.4">
      <c r="A10" t="s">
        <v>29</v>
      </c>
      <c r="B10" s="81"/>
      <c r="C10" s="82">
        <v>0.01</v>
      </c>
      <c r="D10" s="82">
        <f>($AB10-$C10)/25+(C10)</f>
        <v>2.5600000000000001E-2</v>
      </c>
      <c r="E10" s="82">
        <f t="shared" ref="E10:AA10" si="8">($AB10-$C10)/25+(D10)</f>
        <v>4.1200000000000001E-2</v>
      </c>
      <c r="F10" s="82">
        <f t="shared" si="8"/>
        <v>5.6800000000000003E-2</v>
      </c>
      <c r="G10" s="82">
        <f t="shared" si="8"/>
        <v>7.2400000000000006E-2</v>
      </c>
      <c r="H10" s="82">
        <f t="shared" si="8"/>
        <v>8.8000000000000009E-2</v>
      </c>
      <c r="I10" s="82">
        <f t="shared" si="8"/>
        <v>0.10360000000000001</v>
      </c>
      <c r="J10" s="82">
        <f t="shared" si="8"/>
        <v>0.11920000000000001</v>
      </c>
      <c r="K10" s="82">
        <f t="shared" si="8"/>
        <v>0.1348</v>
      </c>
      <c r="L10" s="82">
        <f t="shared" si="8"/>
        <v>0.15040000000000001</v>
      </c>
      <c r="M10" s="82">
        <f t="shared" si="8"/>
        <v>0.16600000000000001</v>
      </c>
      <c r="N10" s="82">
        <f t="shared" si="8"/>
        <v>0.18160000000000001</v>
      </c>
      <c r="O10" s="82">
        <f t="shared" si="8"/>
        <v>0.19720000000000001</v>
      </c>
      <c r="P10" s="82">
        <f t="shared" si="8"/>
        <v>0.21280000000000002</v>
      </c>
      <c r="Q10" s="82">
        <f t="shared" si="8"/>
        <v>0.22840000000000002</v>
      </c>
      <c r="R10" s="82">
        <f t="shared" si="8"/>
        <v>0.24400000000000002</v>
      </c>
      <c r="S10" s="82">
        <f t="shared" si="8"/>
        <v>0.2596</v>
      </c>
      <c r="T10" s="82">
        <f t="shared" si="8"/>
        <v>0.2752</v>
      </c>
      <c r="U10" s="82">
        <f t="shared" si="8"/>
        <v>0.2908</v>
      </c>
      <c r="V10" s="82">
        <f t="shared" si="8"/>
        <v>0.30640000000000001</v>
      </c>
      <c r="W10" s="82">
        <f t="shared" si="8"/>
        <v>0.32200000000000001</v>
      </c>
      <c r="X10" s="82">
        <f t="shared" si="8"/>
        <v>0.33760000000000001</v>
      </c>
      <c r="Y10" s="82">
        <f t="shared" si="8"/>
        <v>0.35320000000000001</v>
      </c>
      <c r="Z10" s="82">
        <f t="shared" si="8"/>
        <v>0.36880000000000002</v>
      </c>
      <c r="AA10" s="82">
        <f t="shared" si="8"/>
        <v>0.38440000000000002</v>
      </c>
      <c r="AB10" s="82">
        <v>0.4</v>
      </c>
    </row>
    <row r="11" spans="1:28" x14ac:dyDescent="0.4">
      <c r="A11" t="s">
        <v>30</v>
      </c>
      <c r="B11" s="81"/>
      <c r="C11" s="81" t="e">
        <f>C9*(1-C10)</f>
        <v>#REF!</v>
      </c>
      <c r="D11" s="81" t="e">
        <f t="shared" ref="D11:AB11" si="9">D9*(1-D10)</f>
        <v>#REF!</v>
      </c>
      <c r="E11" s="81" t="e">
        <f t="shared" si="9"/>
        <v>#REF!</v>
      </c>
      <c r="F11" s="81" t="e">
        <f t="shared" si="9"/>
        <v>#REF!</v>
      </c>
      <c r="G11" s="81" t="e">
        <f t="shared" si="9"/>
        <v>#REF!</v>
      </c>
      <c r="H11" s="81" t="e">
        <f t="shared" si="9"/>
        <v>#REF!</v>
      </c>
      <c r="I11" s="81" t="e">
        <f t="shared" si="9"/>
        <v>#REF!</v>
      </c>
      <c r="J11" s="81" t="e">
        <f t="shared" si="9"/>
        <v>#REF!</v>
      </c>
      <c r="K11" s="81" t="e">
        <f t="shared" si="9"/>
        <v>#REF!</v>
      </c>
      <c r="L11" s="81" t="e">
        <f t="shared" si="9"/>
        <v>#REF!</v>
      </c>
      <c r="M11" s="81" t="e">
        <f t="shared" si="9"/>
        <v>#REF!</v>
      </c>
      <c r="N11" s="81" t="e">
        <f t="shared" si="9"/>
        <v>#REF!</v>
      </c>
      <c r="O11" s="81" t="e">
        <f t="shared" si="9"/>
        <v>#REF!</v>
      </c>
      <c r="P11" s="81" t="e">
        <f t="shared" si="9"/>
        <v>#REF!</v>
      </c>
      <c r="Q11" s="81" t="e">
        <f t="shared" si="9"/>
        <v>#REF!</v>
      </c>
      <c r="R11" s="81" t="e">
        <f t="shared" si="9"/>
        <v>#REF!</v>
      </c>
      <c r="S11" s="81" t="e">
        <f t="shared" si="9"/>
        <v>#REF!</v>
      </c>
      <c r="T11" s="81" t="e">
        <f t="shared" si="9"/>
        <v>#REF!</v>
      </c>
      <c r="U11" s="81" t="e">
        <f t="shared" si="9"/>
        <v>#REF!</v>
      </c>
      <c r="V11" s="81" t="e">
        <f t="shared" si="9"/>
        <v>#REF!</v>
      </c>
      <c r="W11" s="81" t="e">
        <f t="shared" si="9"/>
        <v>#REF!</v>
      </c>
      <c r="X11" s="81" t="e">
        <f t="shared" si="9"/>
        <v>#REF!</v>
      </c>
      <c r="Y11" s="81" t="e">
        <f t="shared" si="9"/>
        <v>#REF!</v>
      </c>
      <c r="Z11" s="81" t="e">
        <f t="shared" si="9"/>
        <v>#REF!</v>
      </c>
      <c r="AA11" s="81" t="e">
        <f t="shared" si="9"/>
        <v>#REF!</v>
      </c>
      <c r="AB11" s="81" t="e">
        <f t="shared" si="9"/>
        <v>#REF!</v>
      </c>
    </row>
    <row r="12" spans="1:28" x14ac:dyDescent="0.4">
      <c r="A12" t="s">
        <v>31</v>
      </c>
      <c r="B12" s="81"/>
      <c r="C12" s="81" t="e">
        <f>C11*1/$B6</f>
        <v>#REF!</v>
      </c>
      <c r="D12" s="81" t="e">
        <f t="shared" ref="D12:AB12" si="10">D11*1/$B6</f>
        <v>#REF!</v>
      </c>
      <c r="E12" s="81" t="e">
        <f t="shared" si="10"/>
        <v>#REF!</v>
      </c>
      <c r="F12" s="81" t="e">
        <f t="shared" si="10"/>
        <v>#REF!</v>
      </c>
      <c r="G12" s="81" t="e">
        <f t="shared" si="10"/>
        <v>#REF!</v>
      </c>
      <c r="H12" s="81" t="e">
        <f t="shared" si="10"/>
        <v>#REF!</v>
      </c>
      <c r="I12" s="81" t="e">
        <f t="shared" si="10"/>
        <v>#REF!</v>
      </c>
      <c r="J12" s="81" t="e">
        <f t="shared" si="10"/>
        <v>#REF!</v>
      </c>
      <c r="K12" s="81" t="e">
        <f t="shared" si="10"/>
        <v>#REF!</v>
      </c>
      <c r="L12" s="81" t="e">
        <f t="shared" si="10"/>
        <v>#REF!</v>
      </c>
      <c r="M12" s="81" t="e">
        <f t="shared" si="10"/>
        <v>#REF!</v>
      </c>
      <c r="N12" s="81" t="e">
        <f t="shared" si="10"/>
        <v>#REF!</v>
      </c>
      <c r="O12" s="81" t="e">
        <f t="shared" si="10"/>
        <v>#REF!</v>
      </c>
      <c r="P12" s="81" t="e">
        <f t="shared" si="10"/>
        <v>#REF!</v>
      </c>
      <c r="Q12" s="81" t="e">
        <f t="shared" si="10"/>
        <v>#REF!</v>
      </c>
      <c r="R12" s="81" t="e">
        <f t="shared" si="10"/>
        <v>#REF!</v>
      </c>
      <c r="S12" s="81" t="e">
        <f t="shared" si="10"/>
        <v>#REF!</v>
      </c>
      <c r="T12" s="81" t="e">
        <f t="shared" si="10"/>
        <v>#REF!</v>
      </c>
      <c r="U12" s="81" t="e">
        <f t="shared" si="10"/>
        <v>#REF!</v>
      </c>
      <c r="V12" s="81" t="e">
        <f t="shared" si="10"/>
        <v>#REF!</v>
      </c>
      <c r="W12" s="81" t="e">
        <f t="shared" si="10"/>
        <v>#REF!</v>
      </c>
      <c r="X12" s="81" t="e">
        <f t="shared" si="10"/>
        <v>#REF!</v>
      </c>
      <c r="Y12" s="81" t="e">
        <f t="shared" si="10"/>
        <v>#REF!</v>
      </c>
      <c r="Z12" s="81" t="e">
        <f t="shared" si="10"/>
        <v>#REF!</v>
      </c>
      <c r="AA12" s="81" t="e">
        <f t="shared" si="10"/>
        <v>#REF!</v>
      </c>
      <c r="AB12" s="81" t="e">
        <f t="shared" si="10"/>
        <v>#REF!</v>
      </c>
    </row>
    <row r="13" spans="1:28" x14ac:dyDescent="0.4">
      <c r="A13" t="s">
        <v>32</v>
      </c>
      <c r="B13" s="81"/>
      <c r="C13" s="81" t="e">
        <f>C11*(1/$B7)</f>
        <v>#REF!</v>
      </c>
      <c r="D13" s="81" t="e">
        <f t="shared" ref="D13:AB13" si="11">D11*(1/$B7)</f>
        <v>#REF!</v>
      </c>
      <c r="E13" s="81" t="e">
        <f t="shared" si="11"/>
        <v>#REF!</v>
      </c>
      <c r="F13" s="81" t="e">
        <f t="shared" si="11"/>
        <v>#REF!</v>
      </c>
      <c r="G13" s="81" t="e">
        <f t="shared" si="11"/>
        <v>#REF!</v>
      </c>
      <c r="H13" s="81" t="e">
        <f t="shared" si="11"/>
        <v>#REF!</v>
      </c>
      <c r="I13" s="81" t="e">
        <f t="shared" si="11"/>
        <v>#REF!</v>
      </c>
      <c r="J13" s="81" t="e">
        <f t="shared" si="11"/>
        <v>#REF!</v>
      </c>
      <c r="K13" s="81" t="e">
        <f t="shared" si="11"/>
        <v>#REF!</v>
      </c>
      <c r="L13" s="81" t="e">
        <f t="shared" si="11"/>
        <v>#REF!</v>
      </c>
      <c r="M13" s="81" t="e">
        <f t="shared" si="11"/>
        <v>#REF!</v>
      </c>
      <c r="N13" s="81" t="e">
        <f t="shared" si="11"/>
        <v>#REF!</v>
      </c>
      <c r="O13" s="81" t="e">
        <f t="shared" si="11"/>
        <v>#REF!</v>
      </c>
      <c r="P13" s="81" t="e">
        <f t="shared" si="11"/>
        <v>#REF!</v>
      </c>
      <c r="Q13" s="81" t="e">
        <f t="shared" si="11"/>
        <v>#REF!</v>
      </c>
      <c r="R13" s="81" t="e">
        <f t="shared" si="11"/>
        <v>#REF!</v>
      </c>
      <c r="S13" s="81" t="e">
        <f t="shared" si="11"/>
        <v>#REF!</v>
      </c>
      <c r="T13" s="81" t="e">
        <f t="shared" si="11"/>
        <v>#REF!</v>
      </c>
      <c r="U13" s="81" t="e">
        <f t="shared" si="11"/>
        <v>#REF!</v>
      </c>
      <c r="V13" s="81" t="e">
        <f t="shared" si="11"/>
        <v>#REF!</v>
      </c>
      <c r="W13" s="81" t="e">
        <f t="shared" si="11"/>
        <v>#REF!</v>
      </c>
      <c r="X13" s="81" t="e">
        <f t="shared" si="11"/>
        <v>#REF!</v>
      </c>
      <c r="Y13" s="81" t="e">
        <f t="shared" si="11"/>
        <v>#REF!</v>
      </c>
      <c r="Z13" s="81" t="e">
        <f t="shared" si="11"/>
        <v>#REF!</v>
      </c>
      <c r="AA13" s="81" t="e">
        <f t="shared" si="11"/>
        <v>#REF!</v>
      </c>
      <c r="AB13" s="81" t="e">
        <f t="shared" si="11"/>
        <v>#REF!</v>
      </c>
    </row>
    <row r="14" spans="1:28" x14ac:dyDescent="0.4">
      <c r="A14" t="s">
        <v>33</v>
      </c>
      <c r="C14" s="81" t="e">
        <f>C12-C13</f>
        <v>#REF!</v>
      </c>
      <c r="D14" s="81" t="e">
        <f t="shared" ref="D14:AB14" si="12">D12-D13</f>
        <v>#REF!</v>
      </c>
      <c r="E14" s="81" t="e">
        <f t="shared" si="12"/>
        <v>#REF!</v>
      </c>
      <c r="F14" s="81" t="e">
        <f t="shared" si="12"/>
        <v>#REF!</v>
      </c>
      <c r="G14" s="81" t="e">
        <f t="shared" si="12"/>
        <v>#REF!</v>
      </c>
      <c r="H14" s="81" t="e">
        <f t="shared" si="12"/>
        <v>#REF!</v>
      </c>
      <c r="I14" s="81" t="e">
        <f t="shared" si="12"/>
        <v>#REF!</v>
      </c>
      <c r="J14" s="81" t="e">
        <f t="shared" si="12"/>
        <v>#REF!</v>
      </c>
      <c r="K14" s="81" t="e">
        <f t="shared" si="12"/>
        <v>#REF!</v>
      </c>
      <c r="L14" s="81" t="e">
        <f t="shared" si="12"/>
        <v>#REF!</v>
      </c>
      <c r="M14" s="81" t="e">
        <f t="shared" si="12"/>
        <v>#REF!</v>
      </c>
      <c r="N14" s="81" t="e">
        <f t="shared" si="12"/>
        <v>#REF!</v>
      </c>
      <c r="O14" s="81" t="e">
        <f t="shared" si="12"/>
        <v>#REF!</v>
      </c>
      <c r="P14" s="81" t="e">
        <f t="shared" si="12"/>
        <v>#REF!</v>
      </c>
      <c r="Q14" s="81" t="e">
        <f t="shared" si="12"/>
        <v>#REF!</v>
      </c>
      <c r="R14" s="81" t="e">
        <f t="shared" si="12"/>
        <v>#REF!</v>
      </c>
      <c r="S14" s="81" t="e">
        <f t="shared" si="12"/>
        <v>#REF!</v>
      </c>
      <c r="T14" s="81" t="e">
        <f t="shared" si="12"/>
        <v>#REF!</v>
      </c>
      <c r="U14" s="81" t="e">
        <f t="shared" si="12"/>
        <v>#REF!</v>
      </c>
      <c r="V14" s="81" t="e">
        <f t="shared" si="12"/>
        <v>#REF!</v>
      </c>
      <c r="W14" s="81" t="e">
        <f t="shared" si="12"/>
        <v>#REF!</v>
      </c>
      <c r="X14" s="81" t="e">
        <f t="shared" si="12"/>
        <v>#REF!</v>
      </c>
      <c r="Y14" s="81" t="e">
        <f t="shared" si="12"/>
        <v>#REF!</v>
      </c>
      <c r="Z14" s="81" t="e">
        <f t="shared" si="12"/>
        <v>#REF!</v>
      </c>
      <c r="AA14" s="81" t="e">
        <f t="shared" si="12"/>
        <v>#REF!</v>
      </c>
      <c r="AB14" s="81" t="e">
        <f t="shared" si="12"/>
        <v>#REF!</v>
      </c>
    </row>
    <row r="16" spans="1:28" x14ac:dyDescent="0.4">
      <c r="A16" t="s">
        <v>34</v>
      </c>
      <c r="C16" s="24" t="e">
        <f>C14*$B18*1.1</f>
        <v>#REF!</v>
      </c>
      <c r="D16" s="24" t="e">
        <f t="shared" ref="D16:AB16" si="13">D14*$B18*1.1</f>
        <v>#REF!</v>
      </c>
      <c r="E16" s="24" t="e">
        <f t="shared" si="13"/>
        <v>#REF!</v>
      </c>
      <c r="F16" s="24" t="e">
        <f t="shared" si="13"/>
        <v>#REF!</v>
      </c>
      <c r="G16" s="24" t="e">
        <f t="shared" si="13"/>
        <v>#REF!</v>
      </c>
      <c r="H16" s="24" t="e">
        <f t="shared" si="13"/>
        <v>#REF!</v>
      </c>
      <c r="I16" s="24" t="e">
        <f t="shared" si="13"/>
        <v>#REF!</v>
      </c>
      <c r="J16" s="24" t="e">
        <f t="shared" si="13"/>
        <v>#REF!</v>
      </c>
      <c r="K16" s="24" t="e">
        <f t="shared" si="13"/>
        <v>#REF!</v>
      </c>
      <c r="L16" s="24" t="e">
        <f t="shared" si="13"/>
        <v>#REF!</v>
      </c>
      <c r="M16" s="24" t="e">
        <f t="shared" si="13"/>
        <v>#REF!</v>
      </c>
      <c r="N16" s="24" t="e">
        <f t="shared" si="13"/>
        <v>#REF!</v>
      </c>
      <c r="O16" s="24" t="e">
        <f t="shared" si="13"/>
        <v>#REF!</v>
      </c>
      <c r="P16" s="24" t="e">
        <f t="shared" si="13"/>
        <v>#REF!</v>
      </c>
      <c r="Q16" s="24" t="e">
        <f t="shared" si="13"/>
        <v>#REF!</v>
      </c>
      <c r="R16" s="24" t="e">
        <f t="shared" si="13"/>
        <v>#REF!</v>
      </c>
      <c r="S16" s="24" t="e">
        <f t="shared" si="13"/>
        <v>#REF!</v>
      </c>
      <c r="T16" s="24" t="e">
        <f t="shared" si="13"/>
        <v>#REF!</v>
      </c>
      <c r="U16" s="24" t="e">
        <f t="shared" si="13"/>
        <v>#REF!</v>
      </c>
      <c r="V16" s="24" t="e">
        <f t="shared" si="13"/>
        <v>#REF!</v>
      </c>
      <c r="W16" s="24" t="e">
        <f t="shared" si="13"/>
        <v>#REF!</v>
      </c>
      <c r="X16" s="24" t="e">
        <f t="shared" si="13"/>
        <v>#REF!</v>
      </c>
      <c r="Y16" s="24" t="e">
        <f t="shared" si="13"/>
        <v>#REF!</v>
      </c>
      <c r="Z16" s="24" t="e">
        <f t="shared" si="13"/>
        <v>#REF!</v>
      </c>
      <c r="AA16" s="24" t="e">
        <f t="shared" si="13"/>
        <v>#REF!</v>
      </c>
      <c r="AB16" s="24" t="e">
        <f t="shared" si="13"/>
        <v>#REF!</v>
      </c>
    </row>
    <row r="18" spans="1:4" x14ac:dyDescent="0.4">
      <c r="A18" t="s">
        <v>35</v>
      </c>
      <c r="B18" s="8">
        <f>1.39-0.184</f>
        <v>1.206</v>
      </c>
    </row>
    <row r="23" spans="1:4" ht="15" thickBot="1" x14ac:dyDescent="0.45"/>
    <row r="24" spans="1:4" ht="15" thickBot="1" x14ac:dyDescent="0.45">
      <c r="A24" s="327" t="s">
        <v>36</v>
      </c>
      <c r="B24" s="328"/>
      <c r="C24" s="328"/>
      <c r="D24" s="329"/>
    </row>
    <row r="25" spans="1:4" ht="51" thickBot="1" x14ac:dyDescent="0.45">
      <c r="A25" s="84"/>
      <c r="B25" s="85" t="s">
        <v>37</v>
      </c>
      <c r="C25" s="86" t="s">
        <v>38</v>
      </c>
      <c r="D25" s="87" t="s">
        <v>39</v>
      </c>
    </row>
    <row r="26" spans="1:4" ht="15" thickBot="1" x14ac:dyDescent="0.45">
      <c r="A26" s="88" t="s">
        <v>40</v>
      </c>
      <c r="B26" s="330" t="s">
        <v>41</v>
      </c>
      <c r="C26" s="331"/>
      <c r="D26" s="332"/>
    </row>
    <row r="27" spans="1:4" x14ac:dyDescent="0.4">
      <c r="A27" s="89">
        <v>45</v>
      </c>
      <c r="B27" s="90">
        <v>43</v>
      </c>
      <c r="C27" s="91">
        <v>57</v>
      </c>
      <c r="D27" s="92">
        <v>55</v>
      </c>
    </row>
    <row r="28" spans="1:4" x14ac:dyDescent="0.4">
      <c r="A28" s="89">
        <v>55</v>
      </c>
      <c r="B28" s="93">
        <v>45</v>
      </c>
      <c r="C28" s="94">
        <v>55</v>
      </c>
      <c r="D28" s="95">
        <v>46</v>
      </c>
    </row>
    <row r="29" spans="1:4" x14ac:dyDescent="0.4">
      <c r="A29" s="89">
        <v>65</v>
      </c>
      <c r="B29" s="93">
        <v>38</v>
      </c>
      <c r="C29" s="94">
        <v>45</v>
      </c>
      <c r="D29" s="95">
        <v>38</v>
      </c>
    </row>
    <row r="30" spans="1:4" ht="15" thickBot="1" x14ac:dyDescent="0.45">
      <c r="A30" s="96">
        <v>75</v>
      </c>
      <c r="B30" s="97">
        <v>32</v>
      </c>
      <c r="C30" s="98">
        <v>37</v>
      </c>
      <c r="D30" s="99">
        <v>33</v>
      </c>
    </row>
    <row r="31" spans="1:4" x14ac:dyDescent="0.4">
      <c r="A31" s="333" t="s">
        <v>42</v>
      </c>
      <c r="B31" s="333"/>
      <c r="C31" s="333"/>
      <c r="D31" s="333"/>
    </row>
    <row r="32" spans="1:4" x14ac:dyDescent="0.4">
      <c r="A32" s="101"/>
      <c r="B32" s="101"/>
      <c r="C32" s="101"/>
      <c r="D32" s="101"/>
    </row>
    <row r="33" spans="1:4" x14ac:dyDescent="0.4">
      <c r="A33" s="104" t="s">
        <v>43</v>
      </c>
      <c r="B33" s="104"/>
      <c r="C33" s="104"/>
      <c r="D33" s="100"/>
    </row>
    <row r="34" spans="1:4" ht="14.5" customHeight="1" x14ac:dyDescent="0.4">
      <c r="A34" s="326" t="s">
        <v>44</v>
      </c>
      <c r="B34" s="326"/>
      <c r="C34" s="326"/>
      <c r="D34" s="326"/>
    </row>
    <row r="35" spans="1:4" x14ac:dyDescent="0.4">
      <c r="A35" s="326"/>
      <c r="B35" s="326"/>
      <c r="C35" s="326"/>
      <c r="D35" s="326"/>
    </row>
    <row r="36" spans="1:4" x14ac:dyDescent="0.4">
      <c r="A36" s="326"/>
      <c r="B36" s="326"/>
      <c r="C36" s="326"/>
      <c r="D36" s="326"/>
    </row>
    <row r="37" spans="1:4" x14ac:dyDescent="0.4">
      <c r="A37" s="326"/>
      <c r="B37" s="326"/>
      <c r="C37" s="326"/>
      <c r="D37" s="326"/>
    </row>
    <row r="38" spans="1:4" x14ac:dyDescent="0.4">
      <c r="A38" s="326"/>
      <c r="B38" s="326"/>
      <c r="C38" s="326"/>
      <c r="D38" s="326"/>
    </row>
    <row r="39" spans="1:4" x14ac:dyDescent="0.4">
      <c r="A39" s="100"/>
      <c r="B39" s="100"/>
      <c r="C39" s="100"/>
      <c r="D39" s="100"/>
    </row>
    <row r="40" spans="1:4" x14ac:dyDescent="0.4">
      <c r="A40" s="100"/>
      <c r="B40" s="100"/>
      <c r="C40" s="100"/>
      <c r="D40" s="100"/>
    </row>
    <row r="41" spans="1:4" x14ac:dyDescent="0.4">
      <c r="A41" s="100"/>
      <c r="B41" s="100"/>
      <c r="C41" s="100"/>
      <c r="D41" s="100"/>
    </row>
    <row r="42" spans="1:4" x14ac:dyDescent="0.4">
      <c r="A42" s="324"/>
      <c r="B42" s="324"/>
      <c r="C42" s="324"/>
      <c r="D42" s="324"/>
    </row>
    <row r="43" spans="1:4" x14ac:dyDescent="0.4">
      <c r="A43" s="325"/>
      <c r="B43" s="325"/>
      <c r="C43" s="325"/>
      <c r="D43" s="325"/>
    </row>
    <row r="44" spans="1:4" x14ac:dyDescent="0.4">
      <c r="A44" s="100"/>
      <c r="B44" s="100"/>
      <c r="C44" s="100"/>
      <c r="D44" s="100"/>
    </row>
  </sheetData>
  <mergeCells count="6">
    <mergeCell ref="A42:D42"/>
    <mergeCell ref="A43:D43"/>
    <mergeCell ref="A34:D38"/>
    <mergeCell ref="A24:D24"/>
    <mergeCell ref="B26:D26"/>
    <mergeCell ref="A31:D31"/>
  </mergeCells>
  <pageMargins left="0.7" right="0.7" top="0.75" bottom="0.75" header="0.3" footer="0.3"/>
  <pageSetup paperSize="3" orientation="landscape" horizontalDpi="3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00DC-CE7A-43A3-9180-8A2EC9628016}">
  <sheetPr>
    <tabColor theme="9" tint="0.39997558519241921"/>
  </sheetPr>
  <dimension ref="A1:AB19"/>
  <sheetViews>
    <sheetView zoomScale="75" zoomScaleNormal="75" workbookViewId="0">
      <selection activeCell="N21" sqref="N21"/>
    </sheetView>
  </sheetViews>
  <sheetFormatPr defaultRowHeight="14.6" x14ac:dyDescent="0.4"/>
  <cols>
    <col min="1" max="1" width="30.53515625" customWidth="1"/>
    <col min="2" max="3" width="9.69140625" customWidth="1"/>
    <col min="4" max="25" width="11.53515625" customWidth="1"/>
    <col min="26" max="28" width="13.53515625" customWidth="1"/>
  </cols>
  <sheetData>
    <row r="1" spans="1:28" ht="20.6" x14ac:dyDescent="0.55000000000000004">
      <c r="A1" s="106" t="s">
        <v>45</v>
      </c>
    </row>
    <row r="3" spans="1:28" x14ac:dyDescent="0.4">
      <c r="A3" s="1" t="s">
        <v>11</v>
      </c>
      <c r="B3" s="1"/>
      <c r="C3" s="1"/>
      <c r="D3">
        <v>1</v>
      </c>
      <c r="E3">
        <f t="shared" ref="E3:Q3" si="0">D3+1</f>
        <v>2</v>
      </c>
      <c r="F3">
        <f t="shared" si="0"/>
        <v>3</v>
      </c>
      <c r="G3">
        <f t="shared" si="0"/>
        <v>4</v>
      </c>
      <c r="H3">
        <f t="shared" si="0"/>
        <v>5</v>
      </c>
      <c r="I3">
        <f t="shared" si="0"/>
        <v>6</v>
      </c>
      <c r="J3">
        <f t="shared" si="0"/>
        <v>7</v>
      </c>
      <c r="K3">
        <f t="shared" si="0"/>
        <v>8</v>
      </c>
      <c r="L3">
        <f t="shared" si="0"/>
        <v>9</v>
      </c>
      <c r="M3">
        <f t="shared" si="0"/>
        <v>10</v>
      </c>
      <c r="N3">
        <f t="shared" si="0"/>
        <v>11</v>
      </c>
      <c r="O3">
        <f t="shared" si="0"/>
        <v>12</v>
      </c>
      <c r="P3">
        <f t="shared" si="0"/>
        <v>13</v>
      </c>
      <c r="Q3">
        <f t="shared" si="0"/>
        <v>14</v>
      </c>
      <c r="R3">
        <f t="shared" ref="R3:Y4" si="1">Q3+1</f>
        <v>15</v>
      </c>
      <c r="S3">
        <f t="shared" si="1"/>
        <v>16</v>
      </c>
      <c r="T3">
        <f t="shared" si="1"/>
        <v>17</v>
      </c>
      <c r="U3">
        <f t="shared" si="1"/>
        <v>18</v>
      </c>
      <c r="V3">
        <f t="shared" si="1"/>
        <v>19</v>
      </c>
      <c r="W3">
        <f t="shared" si="1"/>
        <v>20</v>
      </c>
      <c r="X3">
        <f t="shared" si="1"/>
        <v>21</v>
      </c>
      <c r="Y3">
        <f t="shared" si="1"/>
        <v>22</v>
      </c>
      <c r="Z3">
        <f t="shared" ref="Z3:Z4" si="2">Y3+1</f>
        <v>23</v>
      </c>
      <c r="AA3">
        <f t="shared" ref="AA3:AA4" si="3">Z3+1</f>
        <v>24</v>
      </c>
      <c r="AB3">
        <f t="shared" ref="AB3:AB4" si="4">AA3+1</f>
        <v>25</v>
      </c>
    </row>
    <row r="4" spans="1:28" x14ac:dyDescent="0.4">
      <c r="D4">
        <v>2030</v>
      </c>
      <c r="E4">
        <f t="shared" ref="E4:R4" si="5">D4+1</f>
        <v>2031</v>
      </c>
      <c r="F4">
        <f t="shared" si="5"/>
        <v>2032</v>
      </c>
      <c r="G4">
        <f t="shared" si="5"/>
        <v>2033</v>
      </c>
      <c r="H4">
        <f t="shared" si="5"/>
        <v>2034</v>
      </c>
      <c r="I4">
        <f t="shared" si="5"/>
        <v>2035</v>
      </c>
      <c r="J4">
        <f t="shared" si="5"/>
        <v>2036</v>
      </c>
      <c r="K4">
        <f t="shared" si="5"/>
        <v>2037</v>
      </c>
      <c r="L4">
        <f t="shared" si="5"/>
        <v>2038</v>
      </c>
      <c r="M4">
        <f t="shared" si="5"/>
        <v>2039</v>
      </c>
      <c r="N4">
        <f t="shared" si="5"/>
        <v>2040</v>
      </c>
      <c r="O4">
        <f t="shared" si="5"/>
        <v>2041</v>
      </c>
      <c r="P4">
        <f t="shared" si="5"/>
        <v>2042</v>
      </c>
      <c r="Q4">
        <f t="shared" si="5"/>
        <v>2043</v>
      </c>
      <c r="R4">
        <f t="shared" si="5"/>
        <v>2044</v>
      </c>
      <c r="S4">
        <f t="shared" si="1"/>
        <v>2045</v>
      </c>
      <c r="T4">
        <f t="shared" si="1"/>
        <v>2046</v>
      </c>
      <c r="U4">
        <f t="shared" si="1"/>
        <v>2047</v>
      </c>
      <c r="V4">
        <f t="shared" si="1"/>
        <v>2048</v>
      </c>
      <c r="W4">
        <f t="shared" si="1"/>
        <v>2049</v>
      </c>
      <c r="X4">
        <f t="shared" si="1"/>
        <v>2050</v>
      </c>
      <c r="Y4">
        <f t="shared" si="1"/>
        <v>2051</v>
      </c>
      <c r="Z4">
        <f t="shared" si="2"/>
        <v>2052</v>
      </c>
      <c r="AA4">
        <f t="shared" si="3"/>
        <v>2053</v>
      </c>
      <c r="AB4">
        <f t="shared" si="4"/>
        <v>2054</v>
      </c>
    </row>
    <row r="5" spans="1:28" x14ac:dyDescent="0.4">
      <c r="A5" t="s">
        <v>46</v>
      </c>
      <c r="D5" s="14" t="e">
        <f>#REF!</f>
        <v>#REF!</v>
      </c>
      <c r="E5" s="14" t="e">
        <f>#REF!</f>
        <v>#REF!</v>
      </c>
      <c r="F5" s="14" t="e">
        <f>#REF!</f>
        <v>#REF!</v>
      </c>
      <c r="G5" s="14" t="e">
        <f>#REF!</f>
        <v>#REF!</v>
      </c>
      <c r="H5" s="14" t="e">
        <f>#REF!</f>
        <v>#REF!</v>
      </c>
      <c r="I5" s="14" t="e">
        <f>#REF!</f>
        <v>#REF!</v>
      </c>
      <c r="J5" s="14" t="e">
        <f>#REF!</f>
        <v>#REF!</v>
      </c>
      <c r="K5" s="14" t="e">
        <f>#REF!</f>
        <v>#REF!</v>
      </c>
      <c r="L5" s="14" t="e">
        <f>#REF!</f>
        <v>#REF!</v>
      </c>
      <c r="M5" s="14" t="e">
        <f>#REF!</f>
        <v>#REF!</v>
      </c>
      <c r="N5" s="14" t="e">
        <f>#REF!</f>
        <v>#REF!</v>
      </c>
      <c r="O5" s="14" t="e">
        <f>#REF!</f>
        <v>#REF!</v>
      </c>
      <c r="P5" s="14" t="e">
        <f>#REF!</f>
        <v>#REF!</v>
      </c>
      <c r="Q5" s="14" t="e">
        <f>#REF!</f>
        <v>#REF!</v>
      </c>
      <c r="R5" s="14" t="e">
        <f>#REF!</f>
        <v>#REF!</v>
      </c>
      <c r="S5" s="14" t="e">
        <f>#REF!</f>
        <v>#REF!</v>
      </c>
      <c r="T5" s="14" t="e">
        <f>#REF!</f>
        <v>#REF!</v>
      </c>
      <c r="U5" s="14" t="e">
        <f>#REF!</f>
        <v>#REF!</v>
      </c>
      <c r="V5" s="14" t="e">
        <f>#REF!</f>
        <v>#REF!</v>
      </c>
      <c r="W5" s="14" t="e">
        <f>#REF!</f>
        <v>#REF!</v>
      </c>
      <c r="X5" s="14" t="e">
        <f>#REF!</f>
        <v>#REF!</v>
      </c>
      <c r="Y5" s="14" t="e">
        <f>#REF!</f>
        <v>#REF!</v>
      </c>
      <c r="Z5" s="14" t="e">
        <f>#REF!</f>
        <v>#REF!</v>
      </c>
      <c r="AA5" s="14" t="e">
        <f>#REF!</f>
        <v>#REF!</v>
      </c>
      <c r="AB5" s="14" t="e">
        <f>#REF!</f>
        <v>#REF!</v>
      </c>
    </row>
    <row r="6" spans="1:28" x14ac:dyDescent="0.4">
      <c r="A6" t="s">
        <v>47</v>
      </c>
      <c r="D6" s="49" t="e">
        <f>D5*#REF!*'Supply Chain $ Benefits'!$B$16</f>
        <v>#REF!</v>
      </c>
      <c r="E6" s="49" t="e">
        <f>E5*#REF!*'Supply Chain $ Benefits'!$B$16</f>
        <v>#REF!</v>
      </c>
      <c r="F6" s="49" t="e">
        <f>F5*#REF!*'Supply Chain $ Benefits'!$B$16</f>
        <v>#REF!</v>
      </c>
      <c r="G6" s="49" t="e">
        <f>G5*#REF!*'Supply Chain $ Benefits'!$B$16</f>
        <v>#REF!</v>
      </c>
      <c r="H6" s="49" t="e">
        <f>H5*#REF!*'Supply Chain $ Benefits'!$B$16</f>
        <v>#REF!</v>
      </c>
      <c r="I6" s="49" t="e">
        <f>I5*#REF!*'Supply Chain $ Benefits'!$B$16</f>
        <v>#REF!</v>
      </c>
      <c r="J6" s="49" t="e">
        <f>J5*#REF!*'Supply Chain $ Benefits'!$B$16</f>
        <v>#REF!</v>
      </c>
      <c r="K6" s="49" t="e">
        <f>K5*#REF!*'Supply Chain $ Benefits'!$B$16</f>
        <v>#REF!</v>
      </c>
      <c r="L6" s="49" t="e">
        <f>L5*#REF!*'Supply Chain $ Benefits'!$B$16</f>
        <v>#REF!</v>
      </c>
      <c r="M6" s="49" t="e">
        <f>M5*#REF!*'Supply Chain $ Benefits'!$B$16</f>
        <v>#REF!</v>
      </c>
      <c r="N6" s="49" t="e">
        <f>N5*#REF!*'Supply Chain $ Benefits'!$B$16</f>
        <v>#REF!</v>
      </c>
      <c r="O6" s="49" t="e">
        <f>O5*#REF!*'Supply Chain $ Benefits'!$B$16</f>
        <v>#REF!</v>
      </c>
      <c r="P6" s="49" t="e">
        <f>P5*#REF!*'Supply Chain $ Benefits'!$B$16</f>
        <v>#REF!</v>
      </c>
      <c r="Q6" s="49" t="e">
        <f>Q5*#REF!*'Supply Chain $ Benefits'!$B$16</f>
        <v>#REF!</v>
      </c>
      <c r="R6" s="49" t="e">
        <f>R5*#REF!*'Supply Chain $ Benefits'!$B$16</f>
        <v>#REF!</v>
      </c>
      <c r="S6" s="49" t="e">
        <f>S5*#REF!*'Supply Chain $ Benefits'!$B$16</f>
        <v>#REF!</v>
      </c>
      <c r="T6" s="49" t="e">
        <f>T5*#REF!*'Supply Chain $ Benefits'!$B$16</f>
        <v>#REF!</v>
      </c>
      <c r="U6" s="49" t="e">
        <f>U5*#REF!*'Supply Chain $ Benefits'!$B$16</f>
        <v>#REF!</v>
      </c>
      <c r="V6" s="49" t="e">
        <f>V5*#REF!*'Supply Chain $ Benefits'!$B$16</f>
        <v>#REF!</v>
      </c>
      <c r="W6" s="49" t="e">
        <f>W5*#REF!*'Supply Chain $ Benefits'!$B$16</f>
        <v>#REF!</v>
      </c>
      <c r="X6" s="49" t="e">
        <f>X5*#REF!*'Supply Chain $ Benefits'!$B$16</f>
        <v>#REF!</v>
      </c>
      <c r="Y6" s="49" t="e">
        <f>Y5*#REF!*'Supply Chain $ Benefits'!$B$16</f>
        <v>#REF!</v>
      </c>
      <c r="Z6" s="49" t="e">
        <f>Z5*#REF!*'Supply Chain $ Benefits'!$B$16</f>
        <v>#REF!</v>
      </c>
      <c r="AA6" s="49" t="e">
        <f>AA5*#REF!*'Supply Chain $ Benefits'!$B$16</f>
        <v>#REF!</v>
      </c>
      <c r="AB6" s="49" t="e">
        <f>AB5*#REF!*'Supply Chain $ Benefits'!$B$16</f>
        <v>#REF!</v>
      </c>
    </row>
    <row r="10" spans="1:28" ht="20.149999999999999" customHeight="1" x14ac:dyDescent="0.4">
      <c r="A10" s="73" t="s">
        <v>48</v>
      </c>
      <c r="B10" s="77" t="s">
        <v>49</v>
      </c>
      <c r="C10" s="135"/>
    </row>
    <row r="11" spans="1:28" ht="17.149999999999999" customHeight="1" x14ac:dyDescent="0.4">
      <c r="A11" s="75" t="s">
        <v>50</v>
      </c>
      <c r="B11" s="76">
        <v>1.05</v>
      </c>
      <c r="C11" s="136"/>
    </row>
    <row r="12" spans="1:28" ht="25" customHeight="1" x14ac:dyDescent="0.4">
      <c r="A12" s="75" t="s">
        <v>51</v>
      </c>
      <c r="B12" s="76">
        <v>0.92</v>
      </c>
      <c r="C12" s="136"/>
    </row>
    <row r="13" spans="1:28" ht="17.149999999999999" customHeight="1" x14ac:dyDescent="0.4">
      <c r="A13" s="75" t="s">
        <v>52</v>
      </c>
      <c r="B13" s="76">
        <v>0.74</v>
      </c>
      <c r="C13" s="136"/>
    </row>
    <row r="14" spans="1:28" ht="17.149999999999999" customHeight="1" x14ac:dyDescent="0.4">
      <c r="A14" s="75" t="s">
        <v>53</v>
      </c>
      <c r="B14" s="76">
        <v>1.19</v>
      </c>
      <c r="C14" s="136"/>
    </row>
    <row r="15" spans="1:28" ht="17.149999999999999" customHeight="1" x14ac:dyDescent="0.4">
      <c r="A15" s="75" t="s">
        <v>54</v>
      </c>
      <c r="B15" s="76">
        <f>AVERAGE(B11:B14)</f>
        <v>0.97499999999999998</v>
      </c>
      <c r="C15" s="136"/>
    </row>
    <row r="16" spans="1:28" ht="17.149999999999999" customHeight="1" x14ac:dyDescent="0.4">
      <c r="A16" s="75" t="s">
        <v>55</v>
      </c>
      <c r="B16" s="76">
        <f>B15*1.02^11</f>
        <v>1.2122899506847857</v>
      </c>
      <c r="C16" s="136"/>
    </row>
    <row r="17" spans="1:3" x14ac:dyDescent="0.4">
      <c r="A17" s="74"/>
      <c r="B17" s="74"/>
      <c r="C17" s="74"/>
    </row>
    <row r="18" spans="1:3" ht="14.5" customHeight="1" x14ac:dyDescent="0.4">
      <c r="A18" s="80" t="s">
        <v>56</v>
      </c>
      <c r="B18" s="80"/>
      <c r="C18" s="80"/>
    </row>
    <row r="19" spans="1:3" x14ac:dyDescent="0.4">
      <c r="A19" t="s">
        <v>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2BF16-1F53-4AC7-A8FC-101825D57477}">
  <sheetPr>
    <tabColor theme="9" tint="0.39997558519241921"/>
  </sheetPr>
  <dimension ref="A1:AF14"/>
  <sheetViews>
    <sheetView topLeftCell="W1" zoomScale="80" zoomScaleNormal="80" workbookViewId="0">
      <selection activeCell="C8" sqref="C8"/>
    </sheetView>
  </sheetViews>
  <sheetFormatPr defaultRowHeight="14.6" x14ac:dyDescent="0.4"/>
  <cols>
    <col min="1" max="1" width="45.53515625" customWidth="1"/>
    <col min="3" max="27" width="12.53515625" customWidth="1"/>
    <col min="28" max="32" width="11.61328125" customWidth="1"/>
  </cols>
  <sheetData>
    <row r="1" spans="1:32" ht="20.6" x14ac:dyDescent="0.55000000000000004">
      <c r="A1" s="106" t="s">
        <v>235</v>
      </c>
      <c r="B1" s="20"/>
    </row>
    <row r="2" spans="1:32" x14ac:dyDescent="0.4">
      <c r="B2" s="20"/>
    </row>
    <row r="3" spans="1:32" x14ac:dyDescent="0.4">
      <c r="A3" s="1" t="s">
        <v>11</v>
      </c>
      <c r="B3" s="1"/>
      <c r="C3">
        <v>1</v>
      </c>
      <c r="D3">
        <f t="shared" ref="D3:S4" si="0">C3+1</f>
        <v>2</v>
      </c>
      <c r="E3">
        <f t="shared" si="0"/>
        <v>3</v>
      </c>
      <c r="F3">
        <f t="shared" si="0"/>
        <v>4</v>
      </c>
      <c r="G3">
        <f t="shared" si="0"/>
        <v>5</v>
      </c>
      <c r="H3">
        <f t="shared" si="0"/>
        <v>6</v>
      </c>
      <c r="I3">
        <f t="shared" si="0"/>
        <v>7</v>
      </c>
      <c r="J3">
        <f t="shared" si="0"/>
        <v>8</v>
      </c>
      <c r="K3">
        <f t="shared" si="0"/>
        <v>9</v>
      </c>
      <c r="L3">
        <f t="shared" si="0"/>
        <v>10</v>
      </c>
      <c r="M3">
        <f t="shared" si="0"/>
        <v>11</v>
      </c>
      <c r="N3">
        <f t="shared" si="0"/>
        <v>12</v>
      </c>
      <c r="O3">
        <f t="shared" si="0"/>
        <v>13</v>
      </c>
      <c r="P3">
        <f t="shared" si="0"/>
        <v>14</v>
      </c>
      <c r="Q3">
        <f t="shared" si="0"/>
        <v>15</v>
      </c>
      <c r="R3">
        <f t="shared" si="0"/>
        <v>16</v>
      </c>
      <c r="S3">
        <f t="shared" si="0"/>
        <v>17</v>
      </c>
      <c r="T3">
        <f t="shared" ref="T3:X4" si="1">S3+1</f>
        <v>18</v>
      </c>
      <c r="U3">
        <f t="shared" si="1"/>
        <v>19</v>
      </c>
      <c r="V3">
        <f t="shared" si="1"/>
        <v>20</v>
      </c>
      <c r="W3">
        <f t="shared" si="1"/>
        <v>21</v>
      </c>
      <c r="X3">
        <f t="shared" si="1"/>
        <v>22</v>
      </c>
      <c r="Y3">
        <f>X3+1</f>
        <v>23</v>
      </c>
      <c r="Z3">
        <f t="shared" ref="Z3:AA4" si="2">Y3+1</f>
        <v>24</v>
      </c>
      <c r="AA3">
        <f t="shared" si="2"/>
        <v>25</v>
      </c>
      <c r="AB3">
        <f t="shared" ref="AB3:AB4" si="3">AA3+1</f>
        <v>26</v>
      </c>
      <c r="AC3">
        <f t="shared" ref="AC3:AC4" si="4">AB3+1</f>
        <v>27</v>
      </c>
      <c r="AD3">
        <f t="shared" ref="AD3:AD4" si="5">AC3+1</f>
        <v>28</v>
      </c>
      <c r="AE3">
        <f t="shared" ref="AE3:AF4" si="6">AD3+1</f>
        <v>29</v>
      </c>
      <c r="AF3">
        <f t="shared" si="6"/>
        <v>30</v>
      </c>
    </row>
    <row r="4" spans="1:32" x14ac:dyDescent="0.4">
      <c r="C4">
        <v>2032</v>
      </c>
      <c r="D4">
        <f t="shared" si="0"/>
        <v>2033</v>
      </c>
      <c r="E4">
        <f t="shared" si="0"/>
        <v>2034</v>
      </c>
      <c r="F4">
        <f t="shared" si="0"/>
        <v>2035</v>
      </c>
      <c r="G4">
        <f t="shared" si="0"/>
        <v>2036</v>
      </c>
      <c r="H4">
        <f t="shared" si="0"/>
        <v>2037</v>
      </c>
      <c r="I4">
        <f t="shared" si="0"/>
        <v>2038</v>
      </c>
      <c r="J4">
        <f t="shared" si="0"/>
        <v>2039</v>
      </c>
      <c r="K4">
        <f t="shared" si="0"/>
        <v>2040</v>
      </c>
      <c r="L4">
        <f t="shared" si="0"/>
        <v>2041</v>
      </c>
      <c r="M4">
        <f t="shared" si="0"/>
        <v>2042</v>
      </c>
      <c r="N4">
        <f t="shared" si="0"/>
        <v>2043</v>
      </c>
      <c r="O4">
        <f t="shared" si="0"/>
        <v>2044</v>
      </c>
      <c r="P4">
        <f t="shared" si="0"/>
        <v>2045</v>
      </c>
      <c r="Q4">
        <f t="shared" si="0"/>
        <v>2046</v>
      </c>
      <c r="R4">
        <f t="shared" si="0"/>
        <v>2047</v>
      </c>
      <c r="S4">
        <f t="shared" si="0"/>
        <v>2048</v>
      </c>
      <c r="T4">
        <f t="shared" si="1"/>
        <v>2049</v>
      </c>
      <c r="U4">
        <f t="shared" si="1"/>
        <v>2050</v>
      </c>
      <c r="V4">
        <f t="shared" si="1"/>
        <v>2051</v>
      </c>
      <c r="W4">
        <f t="shared" si="1"/>
        <v>2052</v>
      </c>
      <c r="X4">
        <f t="shared" si="1"/>
        <v>2053</v>
      </c>
      <c r="Y4">
        <f>X4+1</f>
        <v>2054</v>
      </c>
      <c r="Z4">
        <f t="shared" si="2"/>
        <v>2055</v>
      </c>
      <c r="AA4">
        <f t="shared" si="2"/>
        <v>2056</v>
      </c>
      <c r="AB4">
        <f t="shared" si="3"/>
        <v>2057</v>
      </c>
      <c r="AC4">
        <f t="shared" si="4"/>
        <v>2058</v>
      </c>
      <c r="AD4">
        <f t="shared" si="5"/>
        <v>2059</v>
      </c>
      <c r="AE4">
        <f t="shared" si="6"/>
        <v>2060</v>
      </c>
      <c r="AF4">
        <f t="shared" si="6"/>
        <v>2061</v>
      </c>
    </row>
    <row r="5" spans="1:32" ht="15.9" x14ac:dyDescent="0.45">
      <c r="A5" s="56" t="s">
        <v>274</v>
      </c>
      <c r="B5" s="20"/>
      <c r="C5" s="46">
        <f>'Active Market Parameters'!$G$29*'General Look Up Data'!$C$72</f>
        <v>77409.024000000005</v>
      </c>
      <c r="D5" s="46">
        <f>'Active Market Parameters'!$G$29*'General Look Up Data'!$C$72</f>
        <v>77409.024000000005</v>
      </c>
      <c r="E5" s="46">
        <f>'Active Market Parameters'!$G$29*'General Look Up Data'!$C$72</f>
        <v>77409.024000000005</v>
      </c>
      <c r="F5" s="46">
        <f>'Active Market Parameters'!$G$29*'General Look Up Data'!$C$72</f>
        <v>77409.024000000005</v>
      </c>
      <c r="G5" s="46">
        <f>'Active Market Parameters'!$G$29*'General Look Up Data'!$C$72</f>
        <v>77409.024000000005</v>
      </c>
      <c r="H5" s="46">
        <f>'Active Market Parameters'!$G$29*'General Look Up Data'!$C$72</f>
        <v>77409.024000000005</v>
      </c>
      <c r="I5" s="46">
        <f>'Active Market Parameters'!$G$29*'General Look Up Data'!$C$72</f>
        <v>77409.024000000005</v>
      </c>
      <c r="J5" s="46">
        <f>'Active Market Parameters'!$G$29*'General Look Up Data'!$C$72</f>
        <v>77409.024000000005</v>
      </c>
      <c r="K5" s="46">
        <f>'Active Market Parameters'!$G$29*'General Look Up Data'!$C$72</f>
        <v>77409.024000000005</v>
      </c>
      <c r="L5" s="46">
        <f>'Active Market Parameters'!$G$29*'General Look Up Data'!$C$72</f>
        <v>77409.024000000005</v>
      </c>
      <c r="M5" s="46">
        <f>'Active Market Parameters'!$G$29*'General Look Up Data'!$C$72</f>
        <v>77409.024000000005</v>
      </c>
      <c r="N5" s="46">
        <f>'Active Market Parameters'!$G$29*'General Look Up Data'!$C$72</f>
        <v>77409.024000000005</v>
      </c>
      <c r="O5" s="46">
        <f>'Active Market Parameters'!$G$29*'General Look Up Data'!$C$72</f>
        <v>77409.024000000005</v>
      </c>
      <c r="P5" s="46">
        <f>'Active Market Parameters'!$G$29*'General Look Up Data'!$C$72</f>
        <v>77409.024000000005</v>
      </c>
      <c r="Q5" s="46">
        <f>'Active Market Parameters'!$G$29*'General Look Up Data'!$C$72</f>
        <v>77409.024000000005</v>
      </c>
      <c r="R5" s="46">
        <f>'Active Market Parameters'!$G$29*'General Look Up Data'!$C$72</f>
        <v>77409.024000000005</v>
      </c>
      <c r="S5" s="46">
        <f>'Active Market Parameters'!$G$29*'General Look Up Data'!$C$72</f>
        <v>77409.024000000005</v>
      </c>
      <c r="T5" s="46">
        <f>'Active Market Parameters'!$G$29*'General Look Up Data'!$C$72</f>
        <v>77409.024000000005</v>
      </c>
      <c r="U5" s="46">
        <f>'Active Market Parameters'!$G$29*'General Look Up Data'!$C$72</f>
        <v>77409.024000000005</v>
      </c>
      <c r="V5" s="46">
        <f>'Active Market Parameters'!$G$29*'General Look Up Data'!$C$72</f>
        <v>77409.024000000005</v>
      </c>
      <c r="W5" s="46">
        <f>'Active Market Parameters'!$G$29*'General Look Up Data'!$C$72</f>
        <v>77409.024000000005</v>
      </c>
      <c r="X5" s="46">
        <f>'Active Market Parameters'!$G$29*'General Look Up Data'!$C$72</f>
        <v>77409.024000000005</v>
      </c>
      <c r="Y5" s="46">
        <f>'Active Market Parameters'!$G$29*'General Look Up Data'!$C$72</f>
        <v>77409.024000000005</v>
      </c>
      <c r="Z5" s="46">
        <f>'Active Market Parameters'!$G$29*'General Look Up Data'!$C$72</f>
        <v>77409.024000000005</v>
      </c>
      <c r="AA5" s="46">
        <f>'Active Market Parameters'!$G$29*'General Look Up Data'!$C$72</f>
        <v>77409.024000000005</v>
      </c>
      <c r="AB5" s="46">
        <f>'Active Market Parameters'!$G$29*'General Look Up Data'!$C$72</f>
        <v>77409.024000000005</v>
      </c>
      <c r="AC5" s="46">
        <f>'Active Market Parameters'!$G$29*'General Look Up Data'!$C$72</f>
        <v>77409.024000000005</v>
      </c>
      <c r="AD5" s="46">
        <f>'Active Market Parameters'!$G$29*'General Look Up Data'!$C$72</f>
        <v>77409.024000000005</v>
      </c>
      <c r="AE5" s="46">
        <f>'Active Market Parameters'!$G$29*'General Look Up Data'!$C$72</f>
        <v>77409.024000000005</v>
      </c>
      <c r="AF5" s="46">
        <f>'Active Market Parameters'!$G$29*'General Look Up Data'!$C$72</f>
        <v>77409.024000000005</v>
      </c>
    </row>
    <row r="6" spans="1:32" ht="15.9" x14ac:dyDescent="0.45">
      <c r="A6" s="56" t="s">
        <v>275</v>
      </c>
      <c r="B6" s="20"/>
      <c r="C6" s="46">
        <f>'Active Market Parameters'!$G$28*'General Look Up Data'!$C$71</f>
        <v>304437</v>
      </c>
      <c r="D6" s="46">
        <f>'Active Market Parameters'!$G$28*'General Look Up Data'!$C$71</f>
        <v>304437</v>
      </c>
      <c r="E6" s="46">
        <f>'Active Market Parameters'!$G$28*'General Look Up Data'!$C$71</f>
        <v>304437</v>
      </c>
      <c r="F6" s="46">
        <f>'Active Market Parameters'!$G$28*'General Look Up Data'!$C$71</f>
        <v>304437</v>
      </c>
      <c r="G6" s="46">
        <f>'Active Market Parameters'!$G$28*'General Look Up Data'!$C$71</f>
        <v>304437</v>
      </c>
      <c r="H6" s="46">
        <f>'Active Market Parameters'!$G$28*'General Look Up Data'!$C$71</f>
        <v>304437</v>
      </c>
      <c r="I6" s="46">
        <f>'Active Market Parameters'!$G$28*'General Look Up Data'!$C$71</f>
        <v>304437</v>
      </c>
      <c r="J6" s="46">
        <f>'Active Market Parameters'!$G$28*'General Look Up Data'!$C$71</f>
        <v>304437</v>
      </c>
      <c r="K6" s="46">
        <f>'Active Market Parameters'!$G$28*'General Look Up Data'!$C$71</f>
        <v>304437</v>
      </c>
      <c r="L6" s="46">
        <f>'Active Market Parameters'!$G$28*'General Look Up Data'!$C$71</f>
        <v>304437</v>
      </c>
      <c r="M6" s="46">
        <f>'Active Market Parameters'!$G$28*'General Look Up Data'!$C$71</f>
        <v>304437</v>
      </c>
      <c r="N6" s="46">
        <f>'Active Market Parameters'!$G$28*'General Look Up Data'!$C$71</f>
        <v>304437</v>
      </c>
      <c r="O6" s="46">
        <f>'Active Market Parameters'!$G$28*'General Look Up Data'!$C$71</f>
        <v>304437</v>
      </c>
      <c r="P6" s="46">
        <f>'Active Market Parameters'!$G$28*'General Look Up Data'!$C$71</f>
        <v>304437</v>
      </c>
      <c r="Q6" s="46">
        <f>'Active Market Parameters'!$G$28*'General Look Up Data'!$C$71</f>
        <v>304437</v>
      </c>
      <c r="R6" s="46">
        <f>'Active Market Parameters'!$G$28*'General Look Up Data'!$C$71</f>
        <v>304437</v>
      </c>
      <c r="S6" s="46">
        <f>'Active Market Parameters'!$G$28*'General Look Up Data'!$C$71</f>
        <v>304437</v>
      </c>
      <c r="T6" s="46">
        <f>'Active Market Parameters'!$G$28*'General Look Up Data'!$C$71</f>
        <v>304437</v>
      </c>
      <c r="U6" s="46">
        <f>'Active Market Parameters'!$G$28*'General Look Up Data'!$C$71</f>
        <v>304437</v>
      </c>
      <c r="V6" s="46">
        <f>'Active Market Parameters'!$G$28*'General Look Up Data'!$C$71</f>
        <v>304437</v>
      </c>
      <c r="W6" s="46">
        <f>'Active Market Parameters'!$G$28*'General Look Up Data'!$C$71</f>
        <v>304437</v>
      </c>
      <c r="X6" s="46">
        <f>'Active Market Parameters'!$G$28*'General Look Up Data'!$C$71</f>
        <v>304437</v>
      </c>
      <c r="Y6" s="46">
        <f>'Active Market Parameters'!$G$28*'General Look Up Data'!$C$71</f>
        <v>304437</v>
      </c>
      <c r="Z6" s="46">
        <f>'Active Market Parameters'!$G$28*'General Look Up Data'!$C$71</f>
        <v>304437</v>
      </c>
      <c r="AA6" s="46">
        <f>'Active Market Parameters'!$G$28*'General Look Up Data'!$C$71</f>
        <v>304437</v>
      </c>
      <c r="AB6" s="46">
        <f>'Active Market Parameters'!$G$28*'General Look Up Data'!$C$71</f>
        <v>304437</v>
      </c>
      <c r="AC6" s="46">
        <f>'Active Market Parameters'!$G$28*'General Look Up Data'!$C$71</f>
        <v>304437</v>
      </c>
      <c r="AD6" s="46">
        <f>'Active Market Parameters'!$G$28*'General Look Up Data'!$C$71</f>
        <v>304437</v>
      </c>
      <c r="AE6" s="46">
        <f>'Active Market Parameters'!$G$28*'General Look Up Data'!$C$71</f>
        <v>304437</v>
      </c>
      <c r="AF6" s="46">
        <f>'Active Market Parameters'!$G$28*'General Look Up Data'!$C$71</f>
        <v>304437</v>
      </c>
    </row>
    <row r="7" spans="1:32" ht="15.9" x14ac:dyDescent="0.45">
      <c r="A7" s="56"/>
      <c r="B7" s="20"/>
    </row>
    <row r="8" spans="1:32" ht="15.9" x14ac:dyDescent="0.45">
      <c r="A8" s="56" t="s">
        <v>238</v>
      </c>
      <c r="B8" s="20"/>
      <c r="C8" s="49">
        <f>'Active Market Parameters'!$G$19*5.5/60*'General Look Up Data'!I43</f>
        <v>20376.787199999999</v>
      </c>
      <c r="D8" s="49">
        <f>'Active Market Parameters'!$G$19*5.5/60*'General Look Up Data'!J43</f>
        <v>20376.787199999999</v>
      </c>
      <c r="E8" s="49">
        <f>'Active Market Parameters'!$G$19*5.5/60*'General Look Up Data'!K43</f>
        <v>20376.787199999999</v>
      </c>
      <c r="F8" s="49">
        <f>'Active Market Parameters'!$G$19*5.5/60*'General Look Up Data'!L43</f>
        <v>20376.787199999999</v>
      </c>
      <c r="G8" s="49">
        <f>'Active Market Parameters'!$G$19*5.5/60*'General Look Up Data'!M43</f>
        <v>20376.787199999999</v>
      </c>
      <c r="H8" s="49">
        <f>'Active Market Parameters'!$G$19*5.5/60*'General Look Up Data'!N43</f>
        <v>20376.787199999999</v>
      </c>
      <c r="I8" s="49">
        <f>'Active Market Parameters'!$G$19*5.5/60*'General Look Up Data'!O43</f>
        <v>20376.787199999999</v>
      </c>
      <c r="J8" s="49">
        <f>'Active Market Parameters'!$G$19*5.5/60*'General Look Up Data'!P43</f>
        <v>20376.787199999999</v>
      </c>
      <c r="K8" s="49">
        <f>'Active Market Parameters'!$G$19*5.5/60*'General Look Up Data'!Q43</f>
        <v>20376.787199999999</v>
      </c>
      <c r="L8" s="49">
        <f>'Active Market Parameters'!$G$19*5.5/60*'General Look Up Data'!R43</f>
        <v>20376.787199999999</v>
      </c>
      <c r="M8" s="49">
        <f>'Active Market Parameters'!$G$19*5.5/60*'General Look Up Data'!S43</f>
        <v>20376.787199999999</v>
      </c>
      <c r="N8" s="49">
        <f>'Active Market Parameters'!$G$19*5.5/60*'General Look Up Data'!T43</f>
        <v>20376.787199999999</v>
      </c>
      <c r="O8" s="49">
        <f>'Active Market Parameters'!$G$19*5.5/60*'General Look Up Data'!U43</f>
        <v>20376.787199999999</v>
      </c>
      <c r="P8" s="49">
        <f>'Active Market Parameters'!$G$19*5.5/60*'General Look Up Data'!V43</f>
        <v>20376.787199999999</v>
      </c>
      <c r="Q8" s="49">
        <f>'Active Market Parameters'!$G$19*5.5/60*'General Look Up Data'!W43</f>
        <v>20376.787199999999</v>
      </c>
      <c r="R8" s="49">
        <f>'Active Market Parameters'!$G$19*5.5/60*'General Look Up Data'!X43</f>
        <v>20376.787199999999</v>
      </c>
      <c r="S8" s="49">
        <f>'Active Market Parameters'!$G$19*5.5/60*'General Look Up Data'!Y43</f>
        <v>20376.787199999999</v>
      </c>
      <c r="T8" s="49">
        <f>'Active Market Parameters'!$G$19*5.5/60*'General Look Up Data'!Z43</f>
        <v>20376.787199999999</v>
      </c>
      <c r="U8" s="49">
        <f>'Active Market Parameters'!$G$19*5.5/60*'General Look Up Data'!AA43</f>
        <v>20376.787199999999</v>
      </c>
      <c r="V8" s="49">
        <f>'Active Market Parameters'!$G$19*5.5/60*'General Look Up Data'!AB43</f>
        <v>20376.787199999999</v>
      </c>
      <c r="W8" s="49">
        <f>'Active Market Parameters'!$G$19*5.5/60*'General Look Up Data'!AC43</f>
        <v>20376.787199999999</v>
      </c>
      <c r="X8" s="49">
        <f>'Active Market Parameters'!$G$19*5.5/60*'General Look Up Data'!AD43</f>
        <v>20376.787199999999</v>
      </c>
      <c r="Y8" s="49">
        <f>'Active Market Parameters'!$G$19*5.5/60*'General Look Up Data'!AE43</f>
        <v>20376.787199999999</v>
      </c>
      <c r="Z8" s="49">
        <f>'Active Market Parameters'!$G$19*5.5/60*'General Look Up Data'!AF43</f>
        <v>20376.787199999999</v>
      </c>
      <c r="AA8" s="49">
        <f>'Active Market Parameters'!$G$19*5.5/60*'General Look Up Data'!AG43</f>
        <v>20376.787199999999</v>
      </c>
      <c r="AB8" s="49">
        <f>'Active Market Parameters'!$G$19*5.5/60*'General Look Up Data'!AH43</f>
        <v>20376.787199999999</v>
      </c>
      <c r="AC8" s="49">
        <f>'Active Market Parameters'!$G$19*5.5/60*'General Look Up Data'!AI43</f>
        <v>20376.787199999999</v>
      </c>
      <c r="AD8" s="49">
        <f>'Active Market Parameters'!$G$19*5.5/60*'General Look Up Data'!AJ43</f>
        <v>20376.787199999999</v>
      </c>
      <c r="AE8" s="49">
        <f>'Active Market Parameters'!$G$19*5.5/60*'General Look Up Data'!AK43</f>
        <v>20376.787199999999</v>
      </c>
      <c r="AF8" s="49">
        <f>'Active Market Parameters'!$G$19*5.5/60*'General Look Up Data'!AL43</f>
        <v>20376.787199999999</v>
      </c>
    </row>
    <row r="9" spans="1:32" ht="15.9" x14ac:dyDescent="0.45">
      <c r="A9" s="56" t="s">
        <v>273</v>
      </c>
      <c r="B9" s="20"/>
      <c r="C9" s="49">
        <f>'Active Market Parameters'!$G$18*15/60*'General Look Up Data'!I43</f>
        <v>273479.06399999995</v>
      </c>
      <c r="D9" s="49">
        <f>'Active Market Parameters'!$G$18*15/60*'General Look Up Data'!J43</f>
        <v>273479.06399999995</v>
      </c>
      <c r="E9" s="49">
        <f>'Active Market Parameters'!$G$18*15/60*'General Look Up Data'!K43</f>
        <v>273479.06399999995</v>
      </c>
      <c r="F9" s="49">
        <f>'Active Market Parameters'!$G$18*15/60*'General Look Up Data'!L43</f>
        <v>273479.06399999995</v>
      </c>
      <c r="G9" s="49">
        <f>'Active Market Parameters'!$G$18*15/60*'General Look Up Data'!M43</f>
        <v>273479.06399999995</v>
      </c>
      <c r="H9" s="49">
        <f>'Active Market Parameters'!$G$18*15/60*'General Look Up Data'!N43</f>
        <v>273479.06399999995</v>
      </c>
      <c r="I9" s="49">
        <f>'Active Market Parameters'!$G$18*15/60*'General Look Up Data'!O43</f>
        <v>273479.06399999995</v>
      </c>
      <c r="J9" s="49">
        <f>'Active Market Parameters'!$G$18*15/60*'General Look Up Data'!P43</f>
        <v>273479.06399999995</v>
      </c>
      <c r="K9" s="49">
        <f>'Active Market Parameters'!$G$18*15/60*'General Look Up Data'!Q43</f>
        <v>273479.06399999995</v>
      </c>
      <c r="L9" s="49">
        <f>'Active Market Parameters'!$G$18*15/60*'General Look Up Data'!R43</f>
        <v>273479.06399999995</v>
      </c>
      <c r="M9" s="49">
        <f>'Active Market Parameters'!$G$18*15/60*'General Look Up Data'!S43</f>
        <v>273479.06399999995</v>
      </c>
      <c r="N9" s="49">
        <f>'Active Market Parameters'!$G$18*15/60*'General Look Up Data'!T43</f>
        <v>273479.06399999995</v>
      </c>
      <c r="O9" s="49">
        <f>'Active Market Parameters'!$G$18*15/60*'General Look Up Data'!U43</f>
        <v>273479.06399999995</v>
      </c>
      <c r="P9" s="49">
        <f>'Active Market Parameters'!$G$18*15/60*'General Look Up Data'!V43</f>
        <v>273479.06399999995</v>
      </c>
      <c r="Q9" s="49">
        <f>'Active Market Parameters'!$G$18*15/60*'General Look Up Data'!W43</f>
        <v>273479.06399999995</v>
      </c>
      <c r="R9" s="49">
        <f>'Active Market Parameters'!$G$18*15/60*'General Look Up Data'!X43</f>
        <v>273479.06399999995</v>
      </c>
      <c r="S9" s="49">
        <f>'Active Market Parameters'!$G$18*15/60*'General Look Up Data'!Y43</f>
        <v>273479.06399999995</v>
      </c>
      <c r="T9" s="49">
        <f>'Active Market Parameters'!$G$18*15/60*'General Look Up Data'!Z43</f>
        <v>273479.06399999995</v>
      </c>
      <c r="U9" s="49">
        <f>'Active Market Parameters'!$G$18*15/60*'General Look Up Data'!AA43</f>
        <v>273479.06399999995</v>
      </c>
      <c r="V9" s="49">
        <f>'Active Market Parameters'!$G$18*15/60*'General Look Up Data'!AB43</f>
        <v>273479.06399999995</v>
      </c>
      <c r="W9" s="49">
        <f>'Active Market Parameters'!$G$18*15/60*'General Look Up Data'!AC43</f>
        <v>273479.06399999995</v>
      </c>
      <c r="X9" s="49">
        <f>'Active Market Parameters'!$G$18*15/60*'General Look Up Data'!AD43</f>
        <v>273479.06399999995</v>
      </c>
      <c r="Y9" s="49">
        <f>'Active Market Parameters'!$G$18*15/60*'General Look Up Data'!AE43</f>
        <v>273479.06399999995</v>
      </c>
      <c r="Z9" s="49">
        <f>'Active Market Parameters'!$G$18*15/60*'General Look Up Data'!AF43</f>
        <v>273479.06399999995</v>
      </c>
      <c r="AA9" s="49">
        <f>'Active Market Parameters'!$G$18*15/60*'General Look Up Data'!AG43</f>
        <v>273479.06399999995</v>
      </c>
      <c r="AB9" s="49">
        <f>'Active Market Parameters'!$G$18*15/60*'General Look Up Data'!AH43</f>
        <v>273479.06399999995</v>
      </c>
      <c r="AC9" s="49">
        <f>'Active Market Parameters'!$G$18*15/60*'General Look Up Data'!AI43</f>
        <v>273479.06399999995</v>
      </c>
      <c r="AD9" s="49">
        <f>'Active Market Parameters'!$G$18*15/60*'General Look Up Data'!AJ43</f>
        <v>273479.06399999995</v>
      </c>
      <c r="AE9" s="49">
        <f>'Active Market Parameters'!$G$18*15/60*'General Look Up Data'!AK43</f>
        <v>273479.06399999995</v>
      </c>
      <c r="AF9" s="49">
        <f>'Active Market Parameters'!$G$18*15/60*'General Look Up Data'!AL43</f>
        <v>273479.06399999995</v>
      </c>
    </row>
    <row r="10" spans="1:32" ht="15.9" x14ac:dyDescent="0.45">
      <c r="A10" s="56"/>
      <c r="B10" s="20"/>
    </row>
    <row r="11" spans="1:32" x14ac:dyDescent="0.4">
      <c r="A11" t="s">
        <v>58</v>
      </c>
      <c r="C11" s="61">
        <f>C5+C8</f>
        <v>97785.811199999996</v>
      </c>
      <c r="D11" s="61">
        <f t="shared" ref="D11:AF11" si="7">D5+D8</f>
        <v>97785.811199999996</v>
      </c>
      <c r="E11" s="61">
        <f t="shared" si="7"/>
        <v>97785.811199999996</v>
      </c>
      <c r="F11" s="61">
        <f t="shared" si="7"/>
        <v>97785.811199999996</v>
      </c>
      <c r="G11" s="61">
        <f t="shared" si="7"/>
        <v>97785.811199999996</v>
      </c>
      <c r="H11" s="61">
        <f t="shared" si="7"/>
        <v>97785.811199999996</v>
      </c>
      <c r="I11" s="61">
        <f t="shared" si="7"/>
        <v>97785.811199999996</v>
      </c>
      <c r="J11" s="61">
        <f t="shared" si="7"/>
        <v>97785.811199999996</v>
      </c>
      <c r="K11" s="61">
        <f t="shared" si="7"/>
        <v>97785.811199999996</v>
      </c>
      <c r="L11" s="61">
        <f t="shared" si="7"/>
        <v>97785.811199999996</v>
      </c>
      <c r="M11" s="61">
        <f t="shared" si="7"/>
        <v>97785.811199999996</v>
      </c>
      <c r="N11" s="61">
        <f t="shared" si="7"/>
        <v>97785.811199999996</v>
      </c>
      <c r="O11" s="61">
        <f t="shared" si="7"/>
        <v>97785.811199999996</v>
      </c>
      <c r="P11" s="61">
        <f t="shared" si="7"/>
        <v>97785.811199999996</v>
      </c>
      <c r="Q11" s="61">
        <f t="shared" si="7"/>
        <v>97785.811199999996</v>
      </c>
      <c r="R11" s="61">
        <f t="shared" si="7"/>
        <v>97785.811199999996</v>
      </c>
      <c r="S11" s="61">
        <f t="shared" si="7"/>
        <v>97785.811199999996</v>
      </c>
      <c r="T11" s="61">
        <f t="shared" si="7"/>
        <v>97785.811199999996</v>
      </c>
      <c r="U11" s="61">
        <f t="shared" si="7"/>
        <v>97785.811199999996</v>
      </c>
      <c r="V11" s="61">
        <f t="shared" si="7"/>
        <v>97785.811199999996</v>
      </c>
      <c r="W11" s="61">
        <f t="shared" si="7"/>
        <v>97785.811199999996</v>
      </c>
      <c r="X11" s="61">
        <f t="shared" si="7"/>
        <v>97785.811199999996</v>
      </c>
      <c r="Y11" s="61">
        <f t="shared" si="7"/>
        <v>97785.811199999996</v>
      </c>
      <c r="Z11" s="61">
        <f t="shared" si="7"/>
        <v>97785.811199999996</v>
      </c>
      <c r="AA11" s="61">
        <f t="shared" si="7"/>
        <v>97785.811199999996</v>
      </c>
      <c r="AB11" s="61">
        <f t="shared" si="7"/>
        <v>97785.811199999996</v>
      </c>
      <c r="AC11" s="61">
        <f t="shared" si="7"/>
        <v>97785.811199999996</v>
      </c>
      <c r="AD11" s="61">
        <f t="shared" si="7"/>
        <v>97785.811199999996</v>
      </c>
      <c r="AE11" s="61">
        <f t="shared" si="7"/>
        <v>97785.811199999996</v>
      </c>
      <c r="AF11" s="61">
        <f t="shared" si="7"/>
        <v>97785.811199999996</v>
      </c>
    </row>
    <row r="12" spans="1:32" x14ac:dyDescent="0.4">
      <c r="A12" t="s">
        <v>276</v>
      </c>
      <c r="C12" s="61">
        <f>C6+C9</f>
        <v>577916.06400000001</v>
      </c>
      <c r="D12" s="61">
        <f t="shared" ref="D12:AF12" si="8">D6+D9</f>
        <v>577916.06400000001</v>
      </c>
      <c r="E12" s="61">
        <f t="shared" si="8"/>
        <v>577916.06400000001</v>
      </c>
      <c r="F12" s="61">
        <f t="shared" si="8"/>
        <v>577916.06400000001</v>
      </c>
      <c r="G12" s="61">
        <f t="shared" si="8"/>
        <v>577916.06400000001</v>
      </c>
      <c r="H12" s="61">
        <f t="shared" si="8"/>
        <v>577916.06400000001</v>
      </c>
      <c r="I12" s="61">
        <f t="shared" si="8"/>
        <v>577916.06400000001</v>
      </c>
      <c r="J12" s="61">
        <f t="shared" si="8"/>
        <v>577916.06400000001</v>
      </c>
      <c r="K12" s="61">
        <f t="shared" si="8"/>
        <v>577916.06400000001</v>
      </c>
      <c r="L12" s="61">
        <f t="shared" si="8"/>
        <v>577916.06400000001</v>
      </c>
      <c r="M12" s="61">
        <f t="shared" si="8"/>
        <v>577916.06400000001</v>
      </c>
      <c r="N12" s="61">
        <f t="shared" si="8"/>
        <v>577916.06400000001</v>
      </c>
      <c r="O12" s="61">
        <f t="shared" si="8"/>
        <v>577916.06400000001</v>
      </c>
      <c r="P12" s="61">
        <f t="shared" si="8"/>
        <v>577916.06400000001</v>
      </c>
      <c r="Q12" s="61">
        <f t="shared" si="8"/>
        <v>577916.06400000001</v>
      </c>
      <c r="R12" s="61">
        <f t="shared" si="8"/>
        <v>577916.06400000001</v>
      </c>
      <c r="S12" s="61">
        <f t="shared" si="8"/>
        <v>577916.06400000001</v>
      </c>
      <c r="T12" s="61">
        <f t="shared" si="8"/>
        <v>577916.06400000001</v>
      </c>
      <c r="U12" s="61">
        <f t="shared" si="8"/>
        <v>577916.06400000001</v>
      </c>
      <c r="V12" s="61">
        <f t="shared" si="8"/>
        <v>577916.06400000001</v>
      </c>
      <c r="W12" s="61">
        <f t="shared" si="8"/>
        <v>577916.06400000001</v>
      </c>
      <c r="X12" s="61">
        <f t="shared" si="8"/>
        <v>577916.06400000001</v>
      </c>
      <c r="Y12" s="61">
        <f t="shared" si="8"/>
        <v>577916.06400000001</v>
      </c>
      <c r="Z12" s="61">
        <f t="shared" si="8"/>
        <v>577916.06400000001</v>
      </c>
      <c r="AA12" s="61">
        <f t="shared" si="8"/>
        <v>577916.06400000001</v>
      </c>
      <c r="AB12" s="61">
        <f t="shared" si="8"/>
        <v>577916.06400000001</v>
      </c>
      <c r="AC12" s="61">
        <f t="shared" si="8"/>
        <v>577916.06400000001</v>
      </c>
      <c r="AD12" s="61">
        <f t="shared" si="8"/>
        <v>577916.06400000001</v>
      </c>
      <c r="AE12" s="61">
        <f t="shared" si="8"/>
        <v>577916.06400000001</v>
      </c>
      <c r="AF12" s="61">
        <f t="shared" si="8"/>
        <v>577916.06400000001</v>
      </c>
    </row>
    <row r="14" spans="1:32" x14ac:dyDescent="0.4">
      <c r="A14" t="s">
        <v>59</v>
      </c>
      <c r="C14" s="49">
        <f>C11+C12</f>
        <v>675701.87520000001</v>
      </c>
      <c r="D14" s="49">
        <f t="shared" ref="D14:AA14" si="9">D11+D12</f>
        <v>675701.87520000001</v>
      </c>
      <c r="E14" s="49">
        <f t="shared" si="9"/>
        <v>675701.87520000001</v>
      </c>
      <c r="F14" s="49">
        <f t="shared" si="9"/>
        <v>675701.87520000001</v>
      </c>
      <c r="G14" s="49">
        <f t="shared" si="9"/>
        <v>675701.87520000001</v>
      </c>
      <c r="H14" s="49">
        <f t="shared" si="9"/>
        <v>675701.87520000001</v>
      </c>
      <c r="I14" s="49">
        <f t="shared" si="9"/>
        <v>675701.87520000001</v>
      </c>
      <c r="J14" s="49">
        <f t="shared" si="9"/>
        <v>675701.87520000001</v>
      </c>
      <c r="K14" s="49">
        <f t="shared" si="9"/>
        <v>675701.87520000001</v>
      </c>
      <c r="L14" s="49">
        <f t="shared" si="9"/>
        <v>675701.87520000001</v>
      </c>
      <c r="M14" s="49">
        <f t="shared" si="9"/>
        <v>675701.87520000001</v>
      </c>
      <c r="N14" s="49">
        <f t="shared" si="9"/>
        <v>675701.87520000001</v>
      </c>
      <c r="O14" s="49">
        <f t="shared" si="9"/>
        <v>675701.87520000001</v>
      </c>
      <c r="P14" s="49">
        <f t="shared" si="9"/>
        <v>675701.87520000001</v>
      </c>
      <c r="Q14" s="49">
        <f t="shared" si="9"/>
        <v>675701.87520000001</v>
      </c>
      <c r="R14" s="49">
        <f t="shared" si="9"/>
        <v>675701.87520000001</v>
      </c>
      <c r="S14" s="49">
        <f t="shared" si="9"/>
        <v>675701.87520000001</v>
      </c>
      <c r="T14" s="49">
        <f t="shared" si="9"/>
        <v>675701.87520000001</v>
      </c>
      <c r="U14" s="49">
        <f t="shared" si="9"/>
        <v>675701.87520000001</v>
      </c>
      <c r="V14" s="49">
        <f t="shared" si="9"/>
        <v>675701.87520000001</v>
      </c>
      <c r="W14" s="49">
        <f t="shared" si="9"/>
        <v>675701.87520000001</v>
      </c>
      <c r="X14" s="49">
        <f t="shared" si="9"/>
        <v>675701.87520000001</v>
      </c>
      <c r="Y14" s="49">
        <f t="shared" si="9"/>
        <v>675701.87520000001</v>
      </c>
      <c r="Z14" s="49">
        <f t="shared" si="9"/>
        <v>675701.87520000001</v>
      </c>
      <c r="AA14" s="49">
        <f t="shared" si="9"/>
        <v>675701.87520000001</v>
      </c>
      <c r="AB14" s="49">
        <f t="shared" ref="AB14:AE14" si="10">AB11+AB12</f>
        <v>675701.87520000001</v>
      </c>
      <c r="AC14" s="49">
        <f t="shared" si="10"/>
        <v>675701.87520000001</v>
      </c>
      <c r="AD14" s="49">
        <f t="shared" si="10"/>
        <v>675701.87520000001</v>
      </c>
      <c r="AE14" s="49">
        <f t="shared" si="10"/>
        <v>675701.87520000001</v>
      </c>
      <c r="AF14" s="49">
        <f t="shared" ref="AF14" si="11">AF11+AF12</f>
        <v>675701.87520000001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2DBFF-1AD4-479B-AC8A-A8F381627D69}">
  <sheetPr>
    <tabColor theme="7"/>
  </sheetPr>
  <dimension ref="A1:AQ77"/>
  <sheetViews>
    <sheetView topLeftCell="A59" zoomScale="80" zoomScaleNormal="80" workbookViewId="0">
      <selection activeCell="G77" sqref="G77"/>
    </sheetView>
  </sheetViews>
  <sheetFormatPr defaultRowHeight="14.6" x14ac:dyDescent="0.4"/>
  <cols>
    <col min="1" max="1" width="45.53515625" customWidth="1"/>
    <col min="2" max="2" width="20.53515625" customWidth="1"/>
    <col min="3" max="3" width="41.921875" customWidth="1"/>
    <col min="4" max="5" width="20.53515625" customWidth="1"/>
    <col min="6" max="28" width="13.53515625" customWidth="1"/>
    <col min="29" max="41" width="12.53515625" customWidth="1"/>
  </cols>
  <sheetData>
    <row r="1" spans="1:42" ht="20.6" x14ac:dyDescent="0.55000000000000004">
      <c r="A1" s="106" t="s">
        <v>229</v>
      </c>
    </row>
    <row r="2" spans="1:42" ht="33.9" thickBot="1" x14ac:dyDescent="0.9">
      <c r="A2" s="112"/>
    </row>
    <row r="3" spans="1:42" ht="18.899999999999999" thickBot="1" x14ac:dyDescent="0.55000000000000004">
      <c r="A3" s="214" t="s">
        <v>60</v>
      </c>
      <c r="B3" s="21"/>
      <c r="C3" s="21"/>
      <c r="D3" s="22"/>
    </row>
    <row r="4" spans="1:42" x14ac:dyDescent="0.4">
      <c r="A4" s="133" t="s">
        <v>61</v>
      </c>
      <c r="B4" s="134" t="s">
        <v>62</v>
      </c>
      <c r="C4" s="134" t="s">
        <v>63</v>
      </c>
      <c r="D4" s="22"/>
    </row>
    <row r="5" spans="1:42" ht="18.45" x14ac:dyDescent="0.5">
      <c r="A5" s="113"/>
      <c r="D5" s="35"/>
    </row>
    <row r="6" spans="1:42" x14ac:dyDescent="0.4">
      <c r="A6" s="30" t="s">
        <v>64</v>
      </c>
      <c r="B6" s="40">
        <v>3.1E-2</v>
      </c>
      <c r="C6" s="181" t="s">
        <v>192</v>
      </c>
      <c r="D6" s="35"/>
      <c r="H6" s="193"/>
    </row>
    <row r="7" spans="1:42" x14ac:dyDescent="0.4">
      <c r="A7" s="30" t="s">
        <v>66</v>
      </c>
      <c r="B7" s="40">
        <v>0.02</v>
      </c>
      <c r="C7" s="181" t="s">
        <v>192</v>
      </c>
      <c r="D7" s="35"/>
    </row>
    <row r="8" spans="1:42" x14ac:dyDescent="0.4">
      <c r="A8" s="30" t="s">
        <v>67</v>
      </c>
      <c r="B8" s="40">
        <v>365</v>
      </c>
      <c r="C8" s="181" t="s">
        <v>68</v>
      </c>
      <c r="D8" s="35"/>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row>
    <row r="9" spans="1:42" ht="15" thickBot="1" x14ac:dyDescent="0.45">
      <c r="A9" s="33" t="s">
        <v>69</v>
      </c>
      <c r="B9" s="194">
        <v>1.67</v>
      </c>
      <c r="C9" s="195" t="s">
        <v>192</v>
      </c>
      <c r="D9" s="3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row>
    <row r="10" spans="1:42" hidden="1" x14ac:dyDescent="0.4">
      <c r="A10" s="30" t="s">
        <v>70</v>
      </c>
      <c r="B10" s="114">
        <v>0.46</v>
      </c>
      <c r="C10" s="10" t="s">
        <v>65</v>
      </c>
      <c r="F10" s="11"/>
      <c r="G10" s="11"/>
      <c r="H10" s="11"/>
      <c r="I10" s="45"/>
      <c r="J10" s="11"/>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row>
    <row r="11" spans="1:42" hidden="1" x14ac:dyDescent="0.4">
      <c r="A11" s="30" t="s">
        <v>71</v>
      </c>
      <c r="B11" s="115">
        <v>1.01</v>
      </c>
      <c r="C11" s="10" t="s">
        <v>65</v>
      </c>
      <c r="F11" s="11"/>
      <c r="G11" s="11"/>
      <c r="H11" s="11"/>
      <c r="I11" s="45"/>
      <c r="J11" s="11"/>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row>
    <row r="12" spans="1:42" hidden="1" x14ac:dyDescent="0.4">
      <c r="A12" s="30" t="s">
        <v>72</v>
      </c>
      <c r="B12" s="115">
        <f>B11/B17</f>
        <v>4.1224489795918369E-2</v>
      </c>
      <c r="C12" s="10" t="s">
        <v>73</v>
      </c>
      <c r="F12" s="11"/>
      <c r="G12" s="11"/>
      <c r="H12" s="11"/>
      <c r="I12" s="45"/>
      <c r="J12" s="11"/>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row>
    <row r="13" spans="1:42" hidden="1" x14ac:dyDescent="0.4">
      <c r="A13" s="116" t="s">
        <v>74</v>
      </c>
      <c r="B13" s="129">
        <v>7.9</v>
      </c>
      <c r="C13" s="117" t="s">
        <v>75</v>
      </c>
      <c r="F13" s="11"/>
      <c r="G13" s="11"/>
      <c r="H13" s="11"/>
      <c r="I13" s="45"/>
      <c r="J13" s="11"/>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row>
    <row r="14" spans="1:42" hidden="1" x14ac:dyDescent="0.4">
      <c r="A14" s="116" t="s">
        <v>76</v>
      </c>
      <c r="B14" s="130">
        <f>B13/1000</f>
        <v>7.9000000000000008E-3</v>
      </c>
      <c r="C14" s="117" t="s">
        <v>73</v>
      </c>
      <c r="F14" s="11"/>
      <c r="G14" s="11"/>
      <c r="H14" s="11"/>
      <c r="I14" s="45"/>
      <c r="J14" s="11"/>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row>
    <row r="15" spans="1:42" hidden="1" x14ac:dyDescent="0.4">
      <c r="A15" s="116" t="s">
        <v>77</v>
      </c>
      <c r="B15" s="131">
        <f>B14*8/5</f>
        <v>1.2640000000000002E-2</v>
      </c>
      <c r="C15" s="117"/>
      <c r="F15" s="11"/>
      <c r="G15" s="11"/>
      <c r="H15" s="11"/>
      <c r="I15" s="45"/>
      <c r="J15" s="11"/>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row>
    <row r="16" spans="1:42" hidden="1" x14ac:dyDescent="0.4">
      <c r="A16" s="116" t="s">
        <v>78</v>
      </c>
      <c r="B16" s="132">
        <f>B15/1000</f>
        <v>1.2640000000000003E-5</v>
      </c>
      <c r="C16" s="10" t="s">
        <v>73</v>
      </c>
      <c r="F16" s="11"/>
      <c r="G16" s="11"/>
      <c r="H16" s="11"/>
      <c r="I16" s="45"/>
      <c r="J16" s="11"/>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row>
    <row r="17" spans="1:42" hidden="1" x14ac:dyDescent="0.4">
      <c r="A17" s="30" t="s">
        <v>79</v>
      </c>
      <c r="B17" s="102">
        <v>24.5</v>
      </c>
      <c r="C17" s="10" t="s">
        <v>80</v>
      </c>
      <c r="D17" s="117" t="s">
        <v>81</v>
      </c>
      <c r="F17" s="11"/>
      <c r="G17" s="11"/>
      <c r="H17" s="11"/>
      <c r="I17" s="45"/>
      <c r="J17" s="11"/>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row>
    <row r="18" spans="1:42" hidden="1" x14ac:dyDescent="0.4">
      <c r="A18" s="30" t="s">
        <v>82</v>
      </c>
      <c r="B18" s="10">
        <v>5000</v>
      </c>
      <c r="C18" s="10" t="s">
        <v>83</v>
      </c>
      <c r="D18" s="117"/>
      <c r="F18" s="11"/>
      <c r="G18" s="11"/>
      <c r="H18" s="11"/>
      <c r="I18" s="45"/>
      <c r="J18" s="11"/>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row>
    <row r="19" spans="1:42" hidden="1" x14ac:dyDescent="0.4">
      <c r="A19" s="30" t="s">
        <v>84</v>
      </c>
      <c r="B19" s="10">
        <v>3000</v>
      </c>
      <c r="C19" s="10" t="s">
        <v>85</v>
      </c>
      <c r="D19" s="117"/>
      <c r="F19" s="11"/>
      <c r="G19" s="11"/>
      <c r="H19" s="11"/>
      <c r="I19" s="45"/>
      <c r="J19" s="11"/>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row>
    <row r="20" spans="1:42" hidden="1" x14ac:dyDescent="0.4">
      <c r="A20" s="30" t="s">
        <v>86</v>
      </c>
      <c r="B20" s="119">
        <v>4.3999999999999997E-2</v>
      </c>
      <c r="C20" t="s">
        <v>87</v>
      </c>
      <c r="E20" s="117" t="s">
        <v>88</v>
      </c>
      <c r="F20" s="11"/>
      <c r="G20" s="11"/>
      <c r="H20" s="11"/>
      <c r="I20" s="45"/>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row>
    <row r="21" spans="1:42" hidden="1" x14ac:dyDescent="0.4">
      <c r="A21" s="30" t="s">
        <v>89</v>
      </c>
      <c r="B21" s="119">
        <v>0.17879999999999999</v>
      </c>
      <c r="C21" t="s">
        <v>87</v>
      </c>
      <c r="E21" s="117" t="s">
        <v>88</v>
      </c>
      <c r="F21" s="11"/>
      <c r="G21" s="11"/>
      <c r="H21" s="11"/>
      <c r="I21" s="45"/>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row>
    <row r="22" spans="1:42" hidden="1" x14ac:dyDescent="0.4">
      <c r="A22" s="30" t="s">
        <v>90</v>
      </c>
      <c r="B22" s="119">
        <v>2.9399999999999999E-2</v>
      </c>
      <c r="C22" t="s">
        <v>87</v>
      </c>
      <c r="E22" s="117" t="s">
        <v>88</v>
      </c>
      <c r="F22" s="11"/>
      <c r="G22" s="11"/>
      <c r="H22" s="11"/>
      <c r="I22" s="45"/>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row>
    <row r="23" spans="1:42" hidden="1" x14ac:dyDescent="0.4">
      <c r="A23" s="120" t="s">
        <v>91</v>
      </c>
      <c r="B23" s="9">
        <v>2</v>
      </c>
      <c r="F23" s="35"/>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row>
    <row r="24" spans="1:42" hidden="1" x14ac:dyDescent="0.4">
      <c r="A24" s="30" t="s">
        <v>92</v>
      </c>
      <c r="B24" s="14">
        <f>60*60</f>
        <v>3600</v>
      </c>
      <c r="F24" s="45"/>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row>
    <row r="25" spans="1:42" hidden="1" x14ac:dyDescent="0.4">
      <c r="A25" s="30" t="s">
        <v>93</v>
      </c>
      <c r="B25" s="14">
        <v>1000000</v>
      </c>
      <c r="E25" s="121"/>
      <c r="F25" s="122"/>
      <c r="G25" s="123"/>
      <c r="H25" s="123"/>
      <c r="I25" s="123"/>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row>
    <row r="26" spans="1:42" hidden="1" x14ac:dyDescent="0.4">
      <c r="A26" s="30" t="s">
        <v>94</v>
      </c>
      <c r="B26" s="3">
        <f>1/1000</f>
        <v>1E-3</v>
      </c>
      <c r="E26" s="121"/>
      <c r="F26" s="122"/>
      <c r="G26" s="123"/>
      <c r="H26" s="123"/>
      <c r="I26" s="123"/>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row>
    <row r="27" spans="1:42" hidden="1" x14ac:dyDescent="0.4">
      <c r="A27" s="30" t="s">
        <v>95</v>
      </c>
      <c r="B27" s="64">
        <v>0.90718474000000004</v>
      </c>
      <c r="F27" s="35"/>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row>
    <row r="28" spans="1:42" hidden="1" x14ac:dyDescent="0.4">
      <c r="A28" s="118" t="s">
        <v>96</v>
      </c>
      <c r="F28" s="45"/>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row>
    <row r="29" spans="1:42" hidden="1" x14ac:dyDescent="0.4">
      <c r="A29" s="30" t="s">
        <v>97</v>
      </c>
      <c r="B29" s="2">
        <v>20.72</v>
      </c>
      <c r="C29" t="s">
        <v>98</v>
      </c>
      <c r="D29" s="117" t="s">
        <v>99</v>
      </c>
      <c r="F29" s="45"/>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row>
    <row r="30" spans="1:42" hidden="1" x14ac:dyDescent="0.4">
      <c r="A30" s="30" t="s">
        <v>100</v>
      </c>
      <c r="B30" s="2">
        <f>B29*0.90718474</f>
        <v>18.796867812799999</v>
      </c>
      <c r="C30" t="s">
        <v>73</v>
      </c>
      <c r="F30" s="45"/>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row>
    <row r="31" spans="1:42" hidden="1" x14ac:dyDescent="0.4">
      <c r="A31" s="30" t="s">
        <v>101</v>
      </c>
      <c r="B31" s="124">
        <f>B30*0.000001</f>
        <v>1.8796867812799998E-5</v>
      </c>
      <c r="C31" t="s">
        <v>73</v>
      </c>
      <c r="F31" s="45"/>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row>
    <row r="32" spans="1:42" hidden="1" x14ac:dyDescent="0.4">
      <c r="A32" s="30" t="s">
        <v>102</v>
      </c>
      <c r="B32" s="114">
        <v>4.5</v>
      </c>
      <c r="C32" t="s">
        <v>68</v>
      </c>
      <c r="F32" s="45"/>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row>
    <row r="33" spans="1:43" hidden="1" x14ac:dyDescent="0.4">
      <c r="A33" s="30" t="s">
        <v>103</v>
      </c>
      <c r="B33" s="114">
        <v>0</v>
      </c>
      <c r="C33" t="s">
        <v>68</v>
      </c>
      <c r="F33" s="45"/>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row>
    <row r="34" spans="1:43" hidden="1" x14ac:dyDescent="0.4">
      <c r="A34" s="30" t="s">
        <v>104</v>
      </c>
      <c r="B34" s="114">
        <v>25</v>
      </c>
      <c r="C34" t="s">
        <v>105</v>
      </c>
      <c r="F34" s="45"/>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row>
    <row r="35" spans="1:43" hidden="1" x14ac:dyDescent="0.4">
      <c r="A35" s="30" t="s">
        <v>106</v>
      </c>
      <c r="B35" s="114">
        <v>24</v>
      </c>
      <c r="C35" t="s">
        <v>105</v>
      </c>
      <c r="F35" s="45"/>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row>
    <row r="36" spans="1:43" hidden="1" x14ac:dyDescent="0.4">
      <c r="A36" s="30" t="s">
        <v>107</v>
      </c>
      <c r="B36" s="114">
        <v>20</v>
      </c>
      <c r="C36" t="s">
        <v>108</v>
      </c>
      <c r="F36" s="45"/>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row>
    <row r="37" spans="1:43" hidden="1" x14ac:dyDescent="0.4">
      <c r="A37" s="30" t="s">
        <v>109</v>
      </c>
      <c r="B37" s="114">
        <v>0.13</v>
      </c>
      <c r="C37" s="10" t="s">
        <v>110</v>
      </c>
      <c r="F37" s="45"/>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row>
    <row r="38" spans="1:43" hidden="1" x14ac:dyDescent="0.4">
      <c r="A38" s="340" t="s">
        <v>111</v>
      </c>
      <c r="B38" s="342">
        <v>0.13</v>
      </c>
      <c r="C38" s="344" t="s">
        <v>112</v>
      </c>
      <c r="D38" s="344"/>
      <c r="E38" s="344"/>
      <c r="F38" s="345"/>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row>
    <row r="39" spans="1:43" ht="15" hidden="1" thickBot="1" x14ac:dyDescent="0.45">
      <c r="A39" s="341"/>
      <c r="B39" s="343"/>
      <c r="C39" s="346" t="s">
        <v>113</v>
      </c>
      <c r="D39" s="346"/>
      <c r="E39" s="346"/>
      <c r="F39" s="347"/>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row>
    <row r="40" spans="1:43" ht="15" thickBot="1" x14ac:dyDescent="0.45">
      <c r="A40" s="1"/>
      <c r="B40" s="10"/>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row>
    <row r="41" spans="1:43" ht="18.899999999999999" thickBot="1" x14ac:dyDescent="0.55000000000000004">
      <c r="A41" s="356" t="s">
        <v>114</v>
      </c>
      <c r="B41" s="357"/>
      <c r="C41" s="357"/>
      <c r="D41" s="358"/>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2"/>
    </row>
    <row r="42" spans="1:43" x14ac:dyDescent="0.4">
      <c r="A42" s="126" t="s">
        <v>227</v>
      </c>
      <c r="B42" s="21"/>
      <c r="C42" s="21"/>
      <c r="D42" s="22"/>
      <c r="E42" s="21">
        <v>2021</v>
      </c>
      <c r="F42" s="21">
        <f>E42+1</f>
        <v>2022</v>
      </c>
      <c r="G42" s="21">
        <f t="shared" ref="G42:AO42" si="0">F42+1</f>
        <v>2023</v>
      </c>
      <c r="H42" s="21">
        <f t="shared" si="0"/>
        <v>2024</v>
      </c>
      <c r="I42" s="21">
        <f t="shared" si="0"/>
        <v>2025</v>
      </c>
      <c r="J42" s="21">
        <f t="shared" si="0"/>
        <v>2026</v>
      </c>
      <c r="K42" s="21">
        <f t="shared" si="0"/>
        <v>2027</v>
      </c>
      <c r="L42" s="21">
        <f t="shared" si="0"/>
        <v>2028</v>
      </c>
      <c r="M42" s="21">
        <f t="shared" si="0"/>
        <v>2029</v>
      </c>
      <c r="N42" s="21">
        <f t="shared" si="0"/>
        <v>2030</v>
      </c>
      <c r="O42" s="21">
        <f t="shared" si="0"/>
        <v>2031</v>
      </c>
      <c r="P42" s="21">
        <f t="shared" si="0"/>
        <v>2032</v>
      </c>
      <c r="Q42" s="21">
        <f t="shared" si="0"/>
        <v>2033</v>
      </c>
      <c r="R42" s="21">
        <f t="shared" si="0"/>
        <v>2034</v>
      </c>
      <c r="S42" s="21">
        <f t="shared" si="0"/>
        <v>2035</v>
      </c>
      <c r="T42" s="21">
        <f t="shared" si="0"/>
        <v>2036</v>
      </c>
      <c r="U42" s="21">
        <f t="shared" si="0"/>
        <v>2037</v>
      </c>
      <c r="V42" s="21">
        <f t="shared" si="0"/>
        <v>2038</v>
      </c>
      <c r="W42" s="21">
        <f t="shared" si="0"/>
        <v>2039</v>
      </c>
      <c r="X42" s="21">
        <f t="shared" si="0"/>
        <v>2040</v>
      </c>
      <c r="Y42" s="21">
        <f t="shared" si="0"/>
        <v>2041</v>
      </c>
      <c r="Z42" s="21">
        <f t="shared" si="0"/>
        <v>2042</v>
      </c>
      <c r="AA42" s="21">
        <f t="shared" si="0"/>
        <v>2043</v>
      </c>
      <c r="AB42" s="21">
        <f t="shared" si="0"/>
        <v>2044</v>
      </c>
      <c r="AC42" s="21">
        <f t="shared" si="0"/>
        <v>2045</v>
      </c>
      <c r="AD42" s="21">
        <f t="shared" si="0"/>
        <v>2046</v>
      </c>
      <c r="AE42" s="21">
        <f t="shared" si="0"/>
        <v>2047</v>
      </c>
      <c r="AF42" s="21">
        <f t="shared" si="0"/>
        <v>2048</v>
      </c>
      <c r="AG42" s="21">
        <f t="shared" si="0"/>
        <v>2049</v>
      </c>
      <c r="AH42" s="21">
        <f t="shared" si="0"/>
        <v>2050</v>
      </c>
      <c r="AI42" s="21">
        <f t="shared" si="0"/>
        <v>2051</v>
      </c>
      <c r="AJ42" s="21">
        <f t="shared" si="0"/>
        <v>2052</v>
      </c>
      <c r="AK42" s="21">
        <f t="shared" si="0"/>
        <v>2053</v>
      </c>
      <c r="AL42" s="21">
        <f t="shared" si="0"/>
        <v>2054</v>
      </c>
      <c r="AM42" s="21">
        <f t="shared" si="0"/>
        <v>2055</v>
      </c>
      <c r="AN42" s="21">
        <f t="shared" si="0"/>
        <v>2056</v>
      </c>
      <c r="AO42" s="22">
        <f t="shared" si="0"/>
        <v>2057</v>
      </c>
    </row>
    <row r="43" spans="1:43" ht="15" thickBot="1" x14ac:dyDescent="0.45">
      <c r="A43" s="180" t="s">
        <v>239</v>
      </c>
      <c r="B43" s="194" t="s">
        <v>234</v>
      </c>
      <c r="C43" s="354" t="s">
        <v>228</v>
      </c>
      <c r="D43" s="355"/>
      <c r="E43" s="127"/>
      <c r="F43" s="127"/>
      <c r="G43" s="127"/>
      <c r="H43" s="127"/>
      <c r="I43" s="127">
        <v>35.799999999999997</v>
      </c>
      <c r="J43" s="127">
        <f t="shared" ref="J43:V43" si="1">I43</f>
        <v>35.799999999999997</v>
      </c>
      <c r="K43" s="127">
        <f t="shared" si="1"/>
        <v>35.799999999999997</v>
      </c>
      <c r="L43" s="127">
        <f t="shared" si="1"/>
        <v>35.799999999999997</v>
      </c>
      <c r="M43" s="127">
        <f t="shared" si="1"/>
        <v>35.799999999999997</v>
      </c>
      <c r="N43" s="127">
        <f t="shared" si="1"/>
        <v>35.799999999999997</v>
      </c>
      <c r="O43" s="127">
        <f t="shared" si="1"/>
        <v>35.799999999999997</v>
      </c>
      <c r="P43" s="127">
        <f t="shared" si="1"/>
        <v>35.799999999999997</v>
      </c>
      <c r="Q43" s="127">
        <f t="shared" si="1"/>
        <v>35.799999999999997</v>
      </c>
      <c r="R43" s="127">
        <f t="shared" si="1"/>
        <v>35.799999999999997</v>
      </c>
      <c r="S43" s="127">
        <f t="shared" si="1"/>
        <v>35.799999999999997</v>
      </c>
      <c r="T43" s="127">
        <f t="shared" si="1"/>
        <v>35.799999999999997</v>
      </c>
      <c r="U43" s="127">
        <f t="shared" si="1"/>
        <v>35.799999999999997</v>
      </c>
      <c r="V43" s="127">
        <f t="shared" si="1"/>
        <v>35.799999999999997</v>
      </c>
      <c r="W43" s="127">
        <f t="shared" ref="W43:AL43" si="2">V43</f>
        <v>35.799999999999997</v>
      </c>
      <c r="X43" s="127">
        <f t="shared" si="2"/>
        <v>35.799999999999997</v>
      </c>
      <c r="Y43" s="127">
        <f t="shared" si="2"/>
        <v>35.799999999999997</v>
      </c>
      <c r="Z43" s="127">
        <f t="shared" si="2"/>
        <v>35.799999999999997</v>
      </c>
      <c r="AA43" s="127">
        <f t="shared" si="2"/>
        <v>35.799999999999997</v>
      </c>
      <c r="AB43" s="127">
        <f t="shared" si="2"/>
        <v>35.799999999999997</v>
      </c>
      <c r="AC43" s="127">
        <f t="shared" si="2"/>
        <v>35.799999999999997</v>
      </c>
      <c r="AD43" s="127">
        <f t="shared" si="2"/>
        <v>35.799999999999997</v>
      </c>
      <c r="AE43" s="127">
        <f t="shared" si="2"/>
        <v>35.799999999999997</v>
      </c>
      <c r="AF43" s="127">
        <f t="shared" si="2"/>
        <v>35.799999999999997</v>
      </c>
      <c r="AG43" s="127">
        <f t="shared" si="2"/>
        <v>35.799999999999997</v>
      </c>
      <c r="AH43" s="127">
        <f t="shared" si="2"/>
        <v>35.799999999999997</v>
      </c>
      <c r="AI43" s="127">
        <f t="shared" si="2"/>
        <v>35.799999999999997</v>
      </c>
      <c r="AJ43" s="127">
        <f t="shared" si="2"/>
        <v>35.799999999999997</v>
      </c>
      <c r="AK43" s="127">
        <f t="shared" si="2"/>
        <v>35.799999999999997</v>
      </c>
      <c r="AL43" s="127">
        <f t="shared" si="2"/>
        <v>35.799999999999997</v>
      </c>
      <c r="AM43" s="127">
        <f t="shared" ref="AM43:AO43" si="3">AL43</f>
        <v>35.799999999999997</v>
      </c>
      <c r="AN43" s="127">
        <f t="shared" si="3"/>
        <v>35.799999999999997</v>
      </c>
      <c r="AO43" s="128">
        <f t="shared" si="3"/>
        <v>35.799999999999997</v>
      </c>
      <c r="AP43" s="5"/>
      <c r="AQ43" s="5"/>
    </row>
    <row r="44" spans="1:43" x14ac:dyDescent="0.4">
      <c r="A44" s="1"/>
      <c r="B44" s="10"/>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row>
    <row r="45" spans="1:43" ht="18.899999999999999" thickBot="1" x14ac:dyDescent="0.45">
      <c r="A45" s="359" t="s">
        <v>232</v>
      </c>
      <c r="B45" s="360"/>
      <c r="C45" s="360"/>
      <c r="D45" s="360"/>
    </row>
    <row r="46" spans="1:43" x14ac:dyDescent="0.4">
      <c r="A46" s="153"/>
      <c r="B46" s="190" t="s">
        <v>62</v>
      </c>
      <c r="C46" s="348" t="s">
        <v>63</v>
      </c>
      <c r="D46" s="349"/>
    </row>
    <row r="47" spans="1:43" x14ac:dyDescent="0.4">
      <c r="A47" s="191" t="s">
        <v>233</v>
      </c>
      <c r="B47" s="192">
        <f>((122.762/115.135)^(1/6))^8</f>
        <v>1.0892864965128066</v>
      </c>
      <c r="C47" s="350" t="s">
        <v>231</v>
      </c>
      <c r="D47" s="351"/>
    </row>
    <row r="48" spans="1:43" ht="15" thickBot="1" x14ac:dyDescent="0.45">
      <c r="A48" s="188" t="s">
        <v>230</v>
      </c>
      <c r="B48" s="189">
        <f>(B47)^(4/8)</f>
        <v>1.0436888887560347</v>
      </c>
      <c r="C48" s="352" t="s">
        <v>231</v>
      </c>
      <c r="D48" s="353"/>
    </row>
    <row r="51" spans="1:2" x14ac:dyDescent="0.4">
      <c r="A51" s="196" t="s">
        <v>241</v>
      </c>
      <c r="B51" s="197"/>
    </row>
    <row r="52" spans="1:2" ht="44.6" x14ac:dyDescent="0.4">
      <c r="A52" s="201" t="s">
        <v>242</v>
      </c>
      <c r="B52" s="202" t="s">
        <v>243</v>
      </c>
    </row>
    <row r="53" spans="1:2" ht="16.3" x14ac:dyDescent="0.4">
      <c r="A53" s="204" t="s">
        <v>244</v>
      </c>
      <c r="B53" s="200">
        <v>0.11</v>
      </c>
    </row>
    <row r="54" spans="1:2" x14ac:dyDescent="0.4">
      <c r="A54" s="204" t="s">
        <v>245</v>
      </c>
      <c r="B54" s="200">
        <v>1.1100000000000001</v>
      </c>
    </row>
    <row r="55" spans="1:2" x14ac:dyDescent="0.4">
      <c r="A55" s="204" t="s">
        <v>246</v>
      </c>
      <c r="B55" s="200">
        <v>0.09</v>
      </c>
    </row>
    <row r="56" spans="1:2" ht="28.3" x14ac:dyDescent="0.4">
      <c r="A56" s="205" t="s">
        <v>247</v>
      </c>
      <c r="B56" s="206">
        <v>1E-3</v>
      </c>
    </row>
    <row r="58" spans="1:2" x14ac:dyDescent="0.4">
      <c r="A58" s="196" t="s">
        <v>248</v>
      </c>
      <c r="B58" s="197"/>
    </row>
    <row r="59" spans="1:2" ht="44.6" x14ac:dyDescent="0.4">
      <c r="A59" s="201" t="s">
        <v>249</v>
      </c>
      <c r="B59" s="202" t="s">
        <v>250</v>
      </c>
    </row>
    <row r="60" spans="1:2" x14ac:dyDescent="0.4">
      <c r="A60" s="198" t="s">
        <v>251</v>
      </c>
      <c r="B60" s="203">
        <v>1.57</v>
      </c>
    </row>
    <row r="61" spans="1:2" ht="16.3" x14ac:dyDescent="0.4">
      <c r="A61" s="198" t="s">
        <v>252</v>
      </c>
      <c r="B61" s="203">
        <v>1.97</v>
      </c>
    </row>
    <row r="62" spans="1:2" x14ac:dyDescent="0.4">
      <c r="A62" s="198" t="s">
        <v>253</v>
      </c>
      <c r="B62" s="203">
        <v>1.86</v>
      </c>
    </row>
    <row r="63" spans="1:2" x14ac:dyDescent="0.4">
      <c r="A63" s="198" t="s">
        <v>254</v>
      </c>
      <c r="B63" s="203">
        <v>0.28999999999999998</v>
      </c>
    </row>
    <row r="64" spans="1:2" x14ac:dyDescent="0.4">
      <c r="A64" s="198" t="s">
        <v>255</v>
      </c>
      <c r="B64" s="203">
        <v>1.86</v>
      </c>
    </row>
    <row r="65" spans="1:3" x14ac:dyDescent="0.4">
      <c r="A65" s="199"/>
      <c r="B65" s="207"/>
    </row>
    <row r="66" spans="1:3" x14ac:dyDescent="0.4">
      <c r="A66" s="334" t="s">
        <v>256</v>
      </c>
      <c r="B66" s="361"/>
    </row>
    <row r="67" spans="1:3" ht="65.05" customHeight="1" thickBot="1" x14ac:dyDescent="0.45">
      <c r="A67" s="362" t="s">
        <v>257</v>
      </c>
      <c r="B67" s="363"/>
    </row>
    <row r="69" spans="1:3" x14ac:dyDescent="0.4">
      <c r="A69" s="196" t="s">
        <v>258</v>
      </c>
    </row>
    <row r="70" spans="1:3" ht="16.3" x14ac:dyDescent="0.4">
      <c r="A70" s="201" t="s">
        <v>115</v>
      </c>
      <c r="B70" s="213" t="s">
        <v>259</v>
      </c>
      <c r="C70" s="213" t="s">
        <v>260</v>
      </c>
    </row>
    <row r="71" spans="1:3" ht="16.3" x14ac:dyDescent="0.4">
      <c r="A71" s="208" t="s">
        <v>261</v>
      </c>
      <c r="B71" s="210" t="s">
        <v>262</v>
      </c>
      <c r="C71" s="209">
        <v>7.63</v>
      </c>
    </row>
    <row r="72" spans="1:3" ht="16.3" x14ac:dyDescent="0.4">
      <c r="A72" s="208" t="s">
        <v>263</v>
      </c>
      <c r="B72" s="210" t="s">
        <v>264</v>
      </c>
      <c r="C72" s="209">
        <v>6.8</v>
      </c>
    </row>
    <row r="73" spans="1:3" x14ac:dyDescent="0.4">
      <c r="A73" s="211"/>
      <c r="B73" s="125"/>
      <c r="C73" s="212"/>
    </row>
    <row r="74" spans="1:3" x14ac:dyDescent="0.4">
      <c r="A74" s="334" t="s">
        <v>265</v>
      </c>
      <c r="B74" s="335"/>
      <c r="C74" s="336"/>
    </row>
    <row r="75" spans="1:3" x14ac:dyDescent="0.4">
      <c r="A75" s="334" t="s">
        <v>266</v>
      </c>
      <c r="B75" s="335"/>
      <c r="C75" s="336"/>
    </row>
    <row r="76" spans="1:3" x14ac:dyDescent="0.4">
      <c r="A76" s="334" t="s">
        <v>267</v>
      </c>
      <c r="B76" s="335"/>
      <c r="C76" s="336"/>
    </row>
    <row r="77" spans="1:3" ht="72" customHeight="1" x14ac:dyDescent="0.4">
      <c r="A77" s="337" t="s">
        <v>268</v>
      </c>
      <c r="B77" s="338"/>
      <c r="C77" s="339"/>
    </row>
  </sheetData>
  <mergeCells count="16">
    <mergeCell ref="A74:C74"/>
    <mergeCell ref="A75:C75"/>
    <mergeCell ref="A76:C76"/>
    <mergeCell ref="A77:C77"/>
    <mergeCell ref="A38:A39"/>
    <mergeCell ref="B38:B39"/>
    <mergeCell ref="C38:F38"/>
    <mergeCell ref="C39:F39"/>
    <mergeCell ref="C46:D46"/>
    <mergeCell ref="C47:D47"/>
    <mergeCell ref="C48:D48"/>
    <mergeCell ref="C43:D43"/>
    <mergeCell ref="A41:D41"/>
    <mergeCell ref="A45:D45"/>
    <mergeCell ref="A66:B66"/>
    <mergeCell ref="A67:B67"/>
  </mergeCells>
  <hyperlinks>
    <hyperlink ref="D17" r:id="rId1" xr:uid="{0E5E646A-F31F-4769-A529-36E5B1B5B328}"/>
    <hyperlink ref="C13" r:id="rId2" display="https://www.ics-shipping.org/shipping-fact/environmental-performance-environmental-performance/" xr:uid="{AD512AE6-3CA8-4185-BF7A-5093961E014F}"/>
    <hyperlink ref="D29" r:id="rId3" display="https://www.epa.gov/system/files/documents/2022-10/420b22046.pdf" xr:uid="{04028CD7-B18E-4246-8B51-4E86F876CDBC}"/>
    <hyperlink ref="E20" r:id="rId4" xr:uid="{82C8C7CA-72C7-45DF-B43C-0005B62B4D5A}"/>
    <hyperlink ref="E21" r:id="rId5" xr:uid="{DEBEF40F-05C8-4092-A761-413D4187C1F4}"/>
    <hyperlink ref="E22" r:id="rId6" xr:uid="{3D90F2E9-327F-4593-8C7C-EA5CD2E56062}"/>
    <hyperlink ref="C39" r:id="rId7" display="https://mobility.tamu.edu/umr/congestion-data/" xr:uid="{D708D386-6C65-4336-9EEA-998F5063718A}"/>
    <hyperlink ref="C48" r:id="rId8" xr:uid="{35C6B0D5-ABAD-43B7-B1A0-0B934F6F7959}"/>
  </hyperlinks>
  <pageMargins left="0.7" right="0.7" top="0.75" bottom="0.75" header="0.3" footer="0.3"/>
  <pageSetup orientation="portrait" r:id="rId9"/>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060e13-48ab-4f65-89d9-584b8a076273">
      <Terms xmlns="http://schemas.microsoft.com/office/infopath/2007/PartnerControls"/>
    </lcf76f155ced4ddcb4097134ff3c332f>
    <TaxCatchAll xmlns="10195425-0631-417d-9576-672d1304af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EC2B4E5301104E93F4699810BBBBF9" ma:contentTypeVersion="18" ma:contentTypeDescription="Create a new document." ma:contentTypeScope="" ma:versionID="6e7cb257f6e134a934f2ea4e839c0d74">
  <xsd:schema xmlns:xsd="http://www.w3.org/2001/XMLSchema" xmlns:xs="http://www.w3.org/2001/XMLSchema" xmlns:p="http://schemas.microsoft.com/office/2006/metadata/properties" xmlns:ns2="a5060e13-48ab-4f65-89d9-584b8a076273" xmlns:ns3="10195425-0631-417d-9576-672d1304af43" targetNamespace="http://schemas.microsoft.com/office/2006/metadata/properties" ma:root="true" ma:fieldsID="0dec8dadbf9a1000a911e500539c641d" ns2:_="" ns3:_="">
    <xsd:import namespace="a5060e13-48ab-4f65-89d9-584b8a076273"/>
    <xsd:import namespace="10195425-0631-417d-9576-672d1304af43"/>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60e13-48ab-4f65-89d9-584b8a076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95425-0631-417d-9576-672d1304af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0435a4b-f4c4-4eea-81a5-09f5cecfe90d}" ma:internalName="TaxCatchAll" ma:showField="CatchAllData" ma:web="10195425-0631-417d-9576-672d1304af4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71D9DE-7E29-426F-8C93-5191A37BEACC}">
  <ds:schemaRefs>
    <ds:schemaRef ds:uri="http://www.w3.org/XML/1998/namespace"/>
    <ds:schemaRef ds:uri="http://schemas.microsoft.com/office/2006/documentManagement/types"/>
    <ds:schemaRef ds:uri="http://purl.org/dc/terms/"/>
    <ds:schemaRef ds:uri="http://purl.org/dc/elements/1.1/"/>
    <ds:schemaRef ds:uri="http://purl.org/dc/dcmitype/"/>
    <ds:schemaRef ds:uri="http://schemas.microsoft.com/office/2006/metadata/properties"/>
    <ds:schemaRef ds:uri="9a903cf6-a1bb-469c-8ec6-069130e1654e"/>
    <ds:schemaRef ds:uri="http://schemas.microsoft.com/office/infopath/2007/PartnerControls"/>
    <ds:schemaRef ds:uri="http://schemas.openxmlformats.org/package/2006/metadata/core-properties"/>
    <ds:schemaRef ds:uri="7e168d4e-f650-4b76-bafd-0826542b0a5c"/>
  </ds:schemaRefs>
</ds:datastoreItem>
</file>

<file path=customXml/itemProps2.xml><?xml version="1.0" encoding="utf-8"?>
<ds:datastoreItem xmlns:ds="http://schemas.openxmlformats.org/officeDocument/2006/customXml" ds:itemID="{9A6B0179-0166-43A7-B762-1A4DACE6252E}"/>
</file>

<file path=customXml/itemProps3.xml><?xml version="1.0" encoding="utf-8"?>
<ds:datastoreItem xmlns:ds="http://schemas.openxmlformats.org/officeDocument/2006/customXml" ds:itemID="{F17A0DCE-1A1A-4DBC-AE22-18A9FA03A303}">
  <ds:schemaRefs>
    <ds:schemaRef ds:uri="http://schemas.microsoft.com/sharepoint/v3/contenttype/forms"/>
  </ds:schemaRefs>
</ds:datastoreItem>
</file>

<file path=docMetadata/LabelInfo.xml><?xml version="1.0" encoding="utf-8"?>
<clbl:labelList xmlns:clbl="http://schemas.microsoft.com/office/2020/mipLabelMetadata">
  <clbl:label id="{b2e3a768-93a5-4171-8310-d2fda9465328}" enabled="0" method="" siteId="{b2e3a768-93a5-4171-8310-d2fda946532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Results</vt:lpstr>
      <vt:lpstr>Capital Costs</vt:lpstr>
      <vt:lpstr>Maintenance Cost</vt:lpstr>
      <vt:lpstr>Land Productivity Benefits</vt:lpstr>
      <vt:lpstr>Reduced Pavement Damage</vt:lpstr>
      <vt:lpstr>Fuel Savings $ Benefits </vt:lpstr>
      <vt:lpstr>Supply Chain $ Benefits</vt:lpstr>
      <vt:lpstr>Bike and Ped User Benefits</vt:lpstr>
      <vt:lpstr>General Look Up Data</vt:lpstr>
      <vt:lpstr>Active Market Parameters</vt:lpstr>
      <vt:lpstr>Commute Characteristics</vt:lpstr>
      <vt:lpstr>Avoided Emissions Summary</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 Hirschman</dc:creator>
  <cp:keywords/>
  <dc:description/>
  <cp:lastModifiedBy>Alice Beattie</cp:lastModifiedBy>
  <cp:revision/>
  <dcterms:created xsi:type="dcterms:W3CDTF">2019-10-06T09:35:23Z</dcterms:created>
  <dcterms:modified xsi:type="dcterms:W3CDTF">2024-02-23T13:29:07Z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0x010100B4A55EE0100FBE429E57460881170318</vt:lpwstr>
  </property>
  <property fmtid="{D5CDD505-2E9C-101B-9397-08002B2CF9AE}" pid="3" name="MediaServiceImageTags">
    <vt:lpwstr/>
  </property>
  <property fmtid="{D5CDD505-2E9C-101B-9397-08002B2CF9AE}" pid="4" name="WorkbookGuid">
    <vt:lpwstr>0f40aebe-d5c9-4811-9710-7b5360a0b6d1</vt:lpwstr>
  </property>
</Properties>
</file>