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allen\Desktop\"/>
    </mc:Choice>
  </mc:AlternateContent>
  <xr:revisionPtr revIDLastSave="0" documentId="8_{F1B2BE7C-6013-450F-A600-B90005BFFA12}" xr6:coauthVersionLast="47" xr6:coauthVersionMax="47" xr10:uidLastSave="{00000000-0000-0000-0000-000000000000}"/>
  <bookViews>
    <workbookView xWindow="28680" yWindow="-120" windowWidth="29040" windowHeight="15840" tabRatio="854" xr2:uid="{00000000-000D-0000-FFFF-FFFF00000000}"/>
  </bookViews>
  <sheets>
    <sheet name="Summary" sheetId="12" r:id="rId1"/>
    <sheet name="Summary Table" sheetId="41" r:id="rId2"/>
    <sheet name="NPV" sheetId="5" r:id="rId3"/>
    <sheet name="Costs" sheetId="27" r:id="rId4"/>
    <sheet name="O&amp;M" sheetId="49" r:id="rId5"/>
    <sheet name="Flood Damage" sheetId="56" r:id="rId6"/>
    <sheet name="Flood_Safety" sheetId="61" r:id="rId7"/>
    <sheet name="Flood_Env_Prot" sheetId="62" r:id="rId8"/>
    <sheet name="Flood_Travel_Time" sheetId="57" r:id="rId9"/>
    <sheet name="Loss of Use" sheetId="54" r:id="rId10"/>
    <sheet name="LoU_Safety" sheetId="55" r:id="rId11"/>
    <sheet name="LoU_Env_Prot" sheetId="46" r:id="rId12"/>
    <sheet name="LoU_Econ" sheetId="39" r:id="rId13"/>
    <sheet name="Ton-miles" sheetId="52" r:id="rId14"/>
  </sheets>
  <externalReferences>
    <externalReference r:id="rId15"/>
    <externalReference r:id="rId16"/>
    <externalReference r:id="rId17"/>
    <externalReference r:id="rId18"/>
  </externalReferences>
  <definedNames>
    <definedName name="a">'[1]START Assumptions'!#REF!</definedName>
    <definedName name="Annual_Traffic_Growth_Rate">'[1]START Assumptions'!$B$39</definedName>
    <definedName name="Auto_Occ" localSheetId="8">'[1]START Assumptions'!#REF!</definedName>
    <definedName name="Auto_Occ">'[1]START Assumptions'!#REF!</definedName>
    <definedName name="Auto_Op_Cost">'[1]START Assumptions'!$B$37</definedName>
    <definedName name="Ave_Fatal_Cost" localSheetId="8">'[1]START Assumptions'!#REF!</definedName>
    <definedName name="Ave_Fatal_Cost">'[1]START Assumptions'!#REF!</definedName>
    <definedName name="Ave_PD_Cost" localSheetId="8">'[1]START Assumptions'!#REF!</definedName>
    <definedName name="Ave_PD_Cost">'[1]START Assumptions'!#REF!</definedName>
    <definedName name="Ave_Type_A_Cost" localSheetId="8">'[1]START Assumptions'!#REF!</definedName>
    <definedName name="Ave_Type_A_Cost">'[1]START Assumptions'!#REF!</definedName>
    <definedName name="Ave_Type_B_Cost" localSheetId="8">'[1]START Assumptions'!#REF!</definedName>
    <definedName name="Ave_Type_B_Cost">'[1]START Assumptions'!#REF!</definedName>
    <definedName name="Ave_Type_C_Cost">'[1]START Assumptions'!#REF!</definedName>
    <definedName name="Ave_Type_Fatal_Cost">'[1]START Assumptions'!#REF!</definedName>
    <definedName name="Ave_Type_PD_Cost">'[1]START Assumptions'!#REF!</definedName>
    <definedName name="Avg_Crash_Cost">'[1]START Assumptions'!#REF!</definedName>
    <definedName name="Base_Year">'[1]START Assumptions'!$B$31</definedName>
    <definedName name="Base_Year_Traffic" localSheetId="8">'[1]START Assumptions'!#REF!</definedName>
    <definedName name="Base_Year_Traffic">'[1]START Assumptions'!#REF!</definedName>
    <definedName name="Benefit_Period">'[1]START Assumptions'!$B$33</definedName>
    <definedName name="CIP" localSheetId="8">#REF!</definedName>
    <definedName name="CIP">#REF!</definedName>
    <definedName name="Const_Comp_Year">'[1]START Assumptions'!$B$32</definedName>
    <definedName name="Crash_Rate_AC" localSheetId="8">'[1]START Assumptions'!#REF!</definedName>
    <definedName name="Crash_Rate_AC">'[1]START Assumptions'!#REF!</definedName>
    <definedName name="Crash_Rate_BC" localSheetId="8">'[1]START Assumptions'!#REF!</definedName>
    <definedName name="Crash_Rate_BC">'[1]START Assumptions'!#REF!</definedName>
    <definedName name="dblStack" localSheetId="8">'[2]Tunnel Capacity'!$C$6</definedName>
    <definedName name="dblStack">'[3]Tunnel Capacity'!$C$6</definedName>
    <definedName name="Discount_Rate">'[1]START Assumptions'!$B$35</definedName>
    <definedName name="domstackRate" localSheetId="8">'[2]Tunnel Capacity'!$C$4</definedName>
    <definedName name="domstackRate">'[3]Tunnel Capacity'!$C$4</definedName>
    <definedName name="Fatal_Crash_Cost" localSheetId="8">'[1]START Assumptions'!#REF!</definedName>
    <definedName name="Fatal_Crash_Cost">'[1]START Assumptions'!#REF!</definedName>
    <definedName name="Fatal_Crash_Rate_AC" localSheetId="8">'[1]START Assumptions'!#REF!</definedName>
    <definedName name="Fatal_Crash_Rate_AC">'[1]START Assumptions'!#REF!</definedName>
    <definedName name="Fatal_Crash_Rate_BC" localSheetId="8">'[1]START Assumptions'!#REF!</definedName>
    <definedName name="Fatal_Crash_Rate_BC">'[1]START Assumptions'!#REF!</definedName>
    <definedName name="HCV_Cost_Op" localSheetId="8">'[1]START Assumptions'!#REF!</definedName>
    <definedName name="HCV_Cost_Op">'[1]START Assumptions'!#REF!</definedName>
    <definedName name="HCV_Density_AC">'[1]START Assumptions'!#REF!</definedName>
    <definedName name="HCV_Density_BC">'[1]START Assumptions'!#REF!</definedName>
    <definedName name="HCV_Occ">'[1]START Assumptions'!#REF!</definedName>
    <definedName name="HCV_Value_of_Time">'[1]START Assumptions'!#REF!</definedName>
    <definedName name="Injury_Crash_Cost">'[1]START Assumptions'!#REF!</definedName>
    <definedName name="Injury_Crash_Rate_AC">'[1]START Assumptions'!#REF!</definedName>
    <definedName name="Injury_Crash_Rate_BC">'[1]START Assumptions'!#REF!</definedName>
    <definedName name="intlstackRate" localSheetId="8">'[2]Tunnel Capacity'!$C$3</definedName>
    <definedName name="intlstackRate">'[3]Tunnel Capacity'!$C$3</definedName>
    <definedName name="Length_AC" localSheetId="8">'[1]START Assumptions'!#REF!</definedName>
    <definedName name="Length_AC">'[1]START Assumptions'!#REF!</definedName>
    <definedName name="Length_BC" localSheetId="8">'[1]START Assumptions'!#REF!</definedName>
    <definedName name="Length_BC">'[1]START Assumptions'!#REF!</definedName>
    <definedName name="List">'[4]NEW ROAD'!$A$2:$A$19</definedName>
    <definedName name="maxLength" localSheetId="8">'[2]Tunnel Capacity'!$C$2</definedName>
    <definedName name="maxLength">'[3]Tunnel Capacity'!$C$2</definedName>
    <definedName name="NEW">'[4]NEW ROAD'!$A$4:$A$5</definedName>
    <definedName name="NPV_Costs">'[1]START Costs'!$I$5</definedName>
    <definedName name="NPV_Distance" localSheetId="8">'[1]START Distance Benefit'!#REF!</definedName>
    <definedName name="NPV_Distance">'[1]START Distance Benefit'!#REF!</definedName>
    <definedName name="NPV_maint">'[1]START Costs'!$L$5</definedName>
    <definedName name="NPV_Safety" localSheetId="8">#REF!</definedName>
    <definedName name="NPV_Safety">#REF!</definedName>
    <definedName name="NPV_Time">#REF!</definedName>
    <definedName name="PD_Crash_Cost" localSheetId="8">'[1]START Assumptions'!#REF!</definedName>
    <definedName name="PD_Crash_Cost">'[1]START Assumptions'!#REF!</definedName>
    <definedName name="PD_Crash_Rate_AC" localSheetId="8">'[1]START Assumptions'!#REF!</definedName>
    <definedName name="PD_Crash_Rate_AC">'[1]START Assumptions'!#REF!</definedName>
    <definedName name="PD_Crash_Rate_BC">'[1]START Assumptions'!#REF!</definedName>
    <definedName name="_xlnm.Print_Area" localSheetId="8">Flood_Travel_Time!$A$61:$J$88,Flood_Travel_Time!$A$123:$M$126</definedName>
    <definedName name="printa" localSheetId="8">#REF!</definedName>
    <definedName name="printa">#REF!</definedName>
    <definedName name="Prop_Dam_Crash_Cost" localSheetId="8">'[1]START Assumptions'!#REF!</definedName>
    <definedName name="Prop_Dam_Crash_Cost">'[1]START Assumptions'!#REF!</definedName>
    <definedName name="singleStack" localSheetId="8">'[2]Tunnel Capacity'!$C$5</definedName>
    <definedName name="singleStack">'[3]Tunnel Capacity'!$C$5</definedName>
    <definedName name="Speed_AC" localSheetId="8">'[1]START Assumptions'!#REF!</definedName>
    <definedName name="Speed_AC">'[1]START Assumptions'!#REF!</definedName>
    <definedName name="Speed_BC" localSheetId="8">'[1]START Assumptions'!#REF!</definedName>
    <definedName name="Speed_BC">'[1]START Assumptions'!#REF!</definedName>
    <definedName name="Type_A_Crash_Rate_AC" localSheetId="8">'[1]START Assumptions'!#REF!</definedName>
    <definedName name="Type_A_Crash_Rate_AC">'[1]START Assumptions'!#REF!</definedName>
    <definedName name="Type_A_Crash_Rate_BC" localSheetId="8">'[1]START Assumptions'!#REF!</definedName>
    <definedName name="Type_A_Crash_Rate_BC">'[1]START Assumptions'!#REF!</definedName>
    <definedName name="Type_B_Crash_Rate_AC">'[1]START Assumptions'!#REF!</definedName>
    <definedName name="Type_B_Crash_Rate_BC">'[1]START Assumptions'!#REF!</definedName>
    <definedName name="Type_C_Crash_Rate_AC">'[1]START Assumptions'!#REF!</definedName>
    <definedName name="Type_C_Crash_Rate_BC">'[1]START Assumptions'!#REF!</definedName>
    <definedName name="Type_Fatal_Crash_Rate_AC">'[1]START Assumptions'!#REF!</definedName>
    <definedName name="Type_Fatal_Crash_Rate_BC">'[1]START Assumptions'!#REF!</definedName>
    <definedName name="Type_PD_Crash_Rate_AC">'[1]START Assumptions'!#REF!</definedName>
    <definedName name="Type_PD_Crash_Rate_BC">'[1]START Assumptions'!#REF!</definedName>
    <definedName name="Version2" localSheetId="8">#REF!</definedName>
    <definedName name="Version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49" l="1"/>
  <c r="F29" i="49"/>
  <c r="G29" i="49"/>
  <c r="B4" i="27"/>
  <c r="B8" i="56"/>
  <c r="C27" i="49" l="1"/>
  <c r="C29" i="49"/>
  <c r="D5" i="5"/>
  <c r="C5" i="5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6" i="39"/>
  <c r="K7" i="46"/>
  <c r="L7" i="46"/>
  <c r="K8" i="46"/>
  <c r="L8" i="46"/>
  <c r="K9" i="46"/>
  <c r="L9" i="46"/>
  <c r="K10" i="46"/>
  <c r="L10" i="46"/>
  <c r="K11" i="46"/>
  <c r="L11" i="46"/>
  <c r="K12" i="46"/>
  <c r="L12" i="46"/>
  <c r="K13" i="46"/>
  <c r="L13" i="46"/>
  <c r="K14" i="46"/>
  <c r="L14" i="46"/>
  <c r="K15" i="46"/>
  <c r="L15" i="46"/>
  <c r="K16" i="46"/>
  <c r="L16" i="46"/>
  <c r="K17" i="46"/>
  <c r="L17" i="46"/>
  <c r="K18" i="46"/>
  <c r="L18" i="46"/>
  <c r="K19" i="46"/>
  <c r="L19" i="46"/>
  <c r="K20" i="46"/>
  <c r="L20" i="46"/>
  <c r="K21" i="46"/>
  <c r="L21" i="46"/>
  <c r="K22" i="46"/>
  <c r="L22" i="46"/>
  <c r="K23" i="46"/>
  <c r="L23" i="46"/>
  <c r="K24" i="46"/>
  <c r="L24" i="46"/>
  <c r="K25" i="46"/>
  <c r="L25" i="46"/>
  <c r="L6" i="46"/>
  <c r="K6" i="46"/>
  <c r="M14" i="55"/>
  <c r="M15" i="55"/>
  <c r="M16" i="55"/>
  <c r="M17" i="55"/>
  <c r="M18" i="55"/>
  <c r="M19" i="55"/>
  <c r="M20" i="55"/>
  <c r="M21" i="55"/>
  <c r="M22" i="55"/>
  <c r="M23" i="55"/>
  <c r="M24" i="55"/>
  <c r="M25" i="55"/>
  <c r="M26" i="55"/>
  <c r="M27" i="55"/>
  <c r="M28" i="55"/>
  <c r="M29" i="55"/>
  <c r="M30" i="55"/>
  <c r="M31" i="55"/>
  <c r="M32" i="55"/>
  <c r="M13" i="55"/>
  <c r="K7" i="62"/>
  <c r="L7" i="62"/>
  <c r="K8" i="62"/>
  <c r="L8" i="62"/>
  <c r="K9" i="62"/>
  <c r="L9" i="62"/>
  <c r="K10" i="62"/>
  <c r="L10" i="62"/>
  <c r="K11" i="62"/>
  <c r="L11" i="62"/>
  <c r="K12" i="62"/>
  <c r="L12" i="62"/>
  <c r="K13" i="62"/>
  <c r="L13" i="62"/>
  <c r="K14" i="62"/>
  <c r="L14" i="62"/>
  <c r="K15" i="62"/>
  <c r="L15" i="62"/>
  <c r="K16" i="62"/>
  <c r="L16" i="62"/>
  <c r="K17" i="62"/>
  <c r="L17" i="62"/>
  <c r="K18" i="62"/>
  <c r="L18" i="62"/>
  <c r="K19" i="62"/>
  <c r="L19" i="62"/>
  <c r="K20" i="62"/>
  <c r="L20" i="62"/>
  <c r="K21" i="62"/>
  <c r="L21" i="62"/>
  <c r="K22" i="62"/>
  <c r="L22" i="62"/>
  <c r="K23" i="62"/>
  <c r="L23" i="62"/>
  <c r="K24" i="62"/>
  <c r="L24" i="62"/>
  <c r="K25" i="62"/>
  <c r="L25" i="62"/>
  <c r="L6" i="62"/>
  <c r="K6" i="62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13" i="61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7" i="49"/>
  <c r="L14" i="41"/>
  <c r="L15" i="41"/>
  <c r="L13" i="41"/>
  <c r="C9" i="49"/>
  <c r="G50" i="49" l="1"/>
  <c r="E50" i="49"/>
  <c r="D50" i="49"/>
  <c r="B55" i="49"/>
  <c r="H49" i="49"/>
  <c r="F48" i="49"/>
  <c r="I75" i="52" l="1"/>
  <c r="I76" i="52"/>
  <c r="I77" i="52"/>
  <c r="I78" i="52"/>
  <c r="I79" i="52"/>
  <c r="I80" i="52"/>
  <c r="I81" i="52"/>
  <c r="I82" i="52"/>
  <c r="I83" i="52"/>
  <c r="I84" i="52"/>
  <c r="I85" i="52"/>
  <c r="I86" i="52"/>
  <c r="I87" i="52"/>
  <c r="I88" i="52"/>
  <c r="I89" i="52"/>
  <c r="I90" i="52"/>
  <c r="I91" i="52"/>
  <c r="I92" i="52"/>
  <c r="I93" i="52"/>
  <c r="I94" i="52"/>
  <c r="I74" i="52"/>
  <c r="I53" i="52"/>
  <c r="I54" i="52"/>
  <c r="I55" i="52"/>
  <c r="I56" i="52"/>
  <c r="I57" i="52"/>
  <c r="I58" i="52"/>
  <c r="I59" i="52"/>
  <c r="I60" i="52"/>
  <c r="I61" i="52"/>
  <c r="I62" i="52"/>
  <c r="I63" i="52"/>
  <c r="I64" i="52"/>
  <c r="I65" i="52"/>
  <c r="I66" i="52"/>
  <c r="I67" i="52"/>
  <c r="I68" i="52"/>
  <c r="I69" i="52"/>
  <c r="I70" i="52"/>
  <c r="I71" i="52"/>
  <c r="I72" i="52"/>
  <c r="I52" i="52"/>
  <c r="I95" i="52" s="1"/>
  <c r="D15" i="52" l="1"/>
  <c r="D14" i="52"/>
  <c r="D13" i="52"/>
  <c r="D12" i="52"/>
  <c r="D11" i="52"/>
  <c r="D10" i="52"/>
  <c r="D9" i="52"/>
  <c r="D8" i="52"/>
  <c r="D7" i="52"/>
  <c r="D6" i="52"/>
  <c r="D5" i="52"/>
  <c r="C14" i="52"/>
  <c r="C13" i="52"/>
  <c r="C8" i="52"/>
  <c r="C7" i="52"/>
  <c r="B15" i="52"/>
  <c r="B14" i="52"/>
  <c r="B13" i="52"/>
  <c r="B9" i="52"/>
  <c r="B8" i="52"/>
  <c r="B7" i="52"/>
  <c r="B110" i="57"/>
  <c r="B104" i="57"/>
  <c r="B88" i="55"/>
  <c r="A57" i="39"/>
  <c r="B38" i="55"/>
  <c r="E24" i="49"/>
  <c r="E25" i="49"/>
  <c r="E26" i="49"/>
  <c r="E27" i="49"/>
  <c r="E28" i="49"/>
  <c r="B36" i="41"/>
  <c r="P36" i="41"/>
  <c r="C75" i="56"/>
  <c r="B38" i="56"/>
  <c r="C40" i="56" l="1"/>
  <c r="C41" i="56"/>
  <c r="C42" i="56"/>
  <c r="C43" i="56"/>
  <c r="C44" i="56"/>
  <c r="C45" i="56"/>
  <c r="C46" i="56"/>
  <c r="C47" i="56"/>
  <c r="C48" i="56"/>
  <c r="C49" i="56"/>
  <c r="C50" i="56"/>
  <c r="C51" i="56"/>
  <c r="C52" i="56"/>
  <c r="C53" i="56"/>
  <c r="C54" i="56"/>
  <c r="C55" i="56"/>
  <c r="C56" i="56"/>
  <c r="C57" i="56"/>
  <c r="C58" i="56"/>
  <c r="G58" i="56"/>
  <c r="B88" i="61"/>
  <c r="B38" i="61"/>
  <c r="D72" i="62"/>
  <c r="D69" i="62"/>
  <c r="D60" i="62"/>
  <c r="C72" i="62"/>
  <c r="C69" i="62"/>
  <c r="C60" i="62"/>
  <c r="B72" i="62"/>
  <c r="B69" i="62"/>
  <c r="B60" i="62"/>
  <c r="B70" i="57"/>
  <c r="C70" i="57" s="1"/>
  <c r="B71" i="57"/>
  <c r="C71" i="57" s="1"/>
  <c r="B72" i="57"/>
  <c r="D72" i="57" s="1"/>
  <c r="C72" i="57"/>
  <c r="C12" i="57" s="1"/>
  <c r="B73" i="57"/>
  <c r="H73" i="57" s="1"/>
  <c r="C73" i="57"/>
  <c r="C41" i="57" s="1"/>
  <c r="D73" i="57"/>
  <c r="B41" i="57" s="1"/>
  <c r="E73" i="57"/>
  <c r="F73" i="57" s="1"/>
  <c r="E13" i="57" s="1"/>
  <c r="K73" i="57"/>
  <c r="L73" i="57" s="1"/>
  <c r="G13" i="57" s="1"/>
  <c r="N73" i="57"/>
  <c r="O73" i="57" s="1"/>
  <c r="G41" i="57" s="1"/>
  <c r="B74" i="57"/>
  <c r="K74" i="57" s="1"/>
  <c r="C74" i="57"/>
  <c r="D74" i="57"/>
  <c r="B14" i="57" s="1"/>
  <c r="E74" i="57"/>
  <c r="F74" i="57" s="1"/>
  <c r="E14" i="57" s="1"/>
  <c r="H74" i="57"/>
  <c r="I74" i="57" s="1"/>
  <c r="E42" i="57" s="1"/>
  <c r="B75" i="57"/>
  <c r="H75" i="57" s="1"/>
  <c r="E75" i="57"/>
  <c r="F75" i="57" s="1"/>
  <c r="E15" i="57" s="1"/>
  <c r="B76" i="57"/>
  <c r="K76" i="57" s="1"/>
  <c r="C76" i="57"/>
  <c r="D76" i="57" s="1"/>
  <c r="E76" i="57"/>
  <c r="F76" i="57"/>
  <c r="E16" i="57" s="1"/>
  <c r="H76" i="57"/>
  <c r="I76" i="57" s="1"/>
  <c r="E44" i="57" s="1"/>
  <c r="N76" i="57"/>
  <c r="O76" i="57" s="1"/>
  <c r="G44" i="57" s="1"/>
  <c r="I44" i="57" s="1"/>
  <c r="B77" i="57"/>
  <c r="K77" i="57" s="1"/>
  <c r="H77" i="57"/>
  <c r="I77" i="57" s="1"/>
  <c r="E45" i="57" s="1"/>
  <c r="B78" i="57"/>
  <c r="C78" i="57"/>
  <c r="C46" i="57" s="1"/>
  <c r="E78" i="57"/>
  <c r="F78" i="57" s="1"/>
  <c r="E18" i="57" s="1"/>
  <c r="H78" i="57"/>
  <c r="J78" i="57" s="1"/>
  <c r="D46" i="57" s="1"/>
  <c r="I78" i="57"/>
  <c r="E46" i="57" s="1"/>
  <c r="K78" i="57"/>
  <c r="L78" i="57"/>
  <c r="G18" i="57" s="1"/>
  <c r="N78" i="57"/>
  <c r="O78" i="57" s="1"/>
  <c r="B79" i="57"/>
  <c r="N79" i="57" s="1"/>
  <c r="C79" i="57"/>
  <c r="D79" i="57"/>
  <c r="E79" i="57"/>
  <c r="F79" i="57" s="1"/>
  <c r="E19" i="57" s="1"/>
  <c r="H79" i="57"/>
  <c r="I79" i="57"/>
  <c r="J79" i="57"/>
  <c r="D47" i="57" s="1"/>
  <c r="K79" i="57"/>
  <c r="L79" i="57" s="1"/>
  <c r="B80" i="57"/>
  <c r="N80" i="57" s="1"/>
  <c r="E80" i="57"/>
  <c r="F80" i="57" s="1"/>
  <c r="E20" i="57" s="1"/>
  <c r="K80" i="57"/>
  <c r="L80" i="57" s="1"/>
  <c r="G20" i="57" s="1"/>
  <c r="B81" i="57"/>
  <c r="C81" i="57"/>
  <c r="D81" i="57" s="1"/>
  <c r="E81" i="57"/>
  <c r="F81" i="57" s="1"/>
  <c r="H81" i="57"/>
  <c r="I81" i="57" s="1"/>
  <c r="E49" i="57" s="1"/>
  <c r="K81" i="57"/>
  <c r="N81" i="57"/>
  <c r="P81" i="57" s="1"/>
  <c r="F49" i="57" s="1"/>
  <c r="O81" i="57"/>
  <c r="B82" i="57"/>
  <c r="N82" i="57" s="1"/>
  <c r="B83" i="57"/>
  <c r="C83" i="57"/>
  <c r="D83" i="57" s="1"/>
  <c r="E83" i="57"/>
  <c r="F83" i="57" s="1"/>
  <c r="E23" i="57" s="1"/>
  <c r="H83" i="57"/>
  <c r="I83" i="57" s="1"/>
  <c r="E51" i="57" s="1"/>
  <c r="K83" i="57"/>
  <c r="L83" i="57" s="1"/>
  <c r="G23" i="57" s="1"/>
  <c r="N83" i="57"/>
  <c r="O83" i="57" s="1"/>
  <c r="G51" i="57" s="1"/>
  <c r="B84" i="57"/>
  <c r="C84" i="57" s="1"/>
  <c r="K84" i="57"/>
  <c r="L84" i="57" s="1"/>
  <c r="G24" i="57" s="1"/>
  <c r="N84" i="57"/>
  <c r="B85" i="57"/>
  <c r="D85" i="57" s="1"/>
  <c r="C85" i="57"/>
  <c r="C53" i="57" s="1"/>
  <c r="E85" i="57"/>
  <c r="F85" i="57" s="1"/>
  <c r="B86" i="57"/>
  <c r="E86" i="57" s="1"/>
  <c r="C86" i="57"/>
  <c r="D86" i="57"/>
  <c r="B54" i="57" s="1"/>
  <c r="H86" i="57"/>
  <c r="I86" i="57" s="1"/>
  <c r="E54" i="57" s="1"/>
  <c r="K86" i="57"/>
  <c r="L86" i="57" s="1"/>
  <c r="G26" i="57" s="1"/>
  <c r="B87" i="57"/>
  <c r="C87" i="57" s="1"/>
  <c r="B88" i="57"/>
  <c r="D88" i="57" s="1"/>
  <c r="C88" i="57"/>
  <c r="C28" i="57" s="1"/>
  <c r="C42" i="57"/>
  <c r="C44" i="57"/>
  <c r="B47" i="57"/>
  <c r="C47" i="57"/>
  <c r="E47" i="57"/>
  <c r="C49" i="57"/>
  <c r="G49" i="57"/>
  <c r="C51" i="57"/>
  <c r="C54" i="57"/>
  <c r="C13" i="57"/>
  <c r="C14" i="57"/>
  <c r="C16" i="57"/>
  <c r="C18" i="57"/>
  <c r="B19" i="57"/>
  <c r="C19" i="57"/>
  <c r="C21" i="57"/>
  <c r="C23" i="57"/>
  <c r="C25" i="57"/>
  <c r="B26" i="57"/>
  <c r="C26" i="57"/>
  <c r="A18" i="57"/>
  <c r="A19" i="57" s="1"/>
  <c r="M78" i="57" l="1"/>
  <c r="F18" i="57" s="1"/>
  <c r="M83" i="57"/>
  <c r="F23" i="57" s="1"/>
  <c r="M81" i="57"/>
  <c r="F21" i="57" s="1"/>
  <c r="L81" i="57"/>
  <c r="G21" i="57" s="1"/>
  <c r="I20" i="57"/>
  <c r="G81" i="57"/>
  <c r="D21" i="57" s="1"/>
  <c r="E21" i="57"/>
  <c r="I21" i="57" s="1"/>
  <c r="I13" i="57"/>
  <c r="G79" i="57"/>
  <c r="D19" i="57" s="1"/>
  <c r="G76" i="57"/>
  <c r="D16" i="57" s="1"/>
  <c r="G75" i="57"/>
  <c r="D15" i="57" s="1"/>
  <c r="I51" i="57"/>
  <c r="I75" i="57"/>
  <c r="E43" i="57" s="1"/>
  <c r="J75" i="57"/>
  <c r="D43" i="57" s="1"/>
  <c r="B56" i="57"/>
  <c r="B28" i="57"/>
  <c r="B21" i="57"/>
  <c r="B49" i="57"/>
  <c r="M79" i="57"/>
  <c r="F19" i="57" s="1"/>
  <c r="G19" i="57"/>
  <c r="I19" i="57" s="1"/>
  <c r="B51" i="57"/>
  <c r="B23" i="57"/>
  <c r="L74" i="57"/>
  <c r="G14" i="57" s="1"/>
  <c r="I14" i="57" s="1"/>
  <c r="C55" i="57"/>
  <c r="C27" i="57"/>
  <c r="L77" i="57"/>
  <c r="G17" i="57" s="1"/>
  <c r="O82" i="57"/>
  <c r="G50" i="57" s="1"/>
  <c r="P82" i="57"/>
  <c r="F50" i="57" s="1"/>
  <c r="F86" i="57"/>
  <c r="E26" i="57" s="1"/>
  <c r="I26" i="57" s="1"/>
  <c r="O80" i="57"/>
  <c r="G48" i="57" s="1"/>
  <c r="I41" i="57"/>
  <c r="G85" i="57"/>
  <c r="D25" i="57" s="1"/>
  <c r="E25" i="57"/>
  <c r="H49" i="57"/>
  <c r="J49" i="57" s="1"/>
  <c r="B53" i="57"/>
  <c r="B25" i="57"/>
  <c r="I73" i="57"/>
  <c r="E41" i="57" s="1"/>
  <c r="J73" i="57"/>
  <c r="D41" i="57" s="1"/>
  <c r="O79" i="57"/>
  <c r="G47" i="57" s="1"/>
  <c r="I47" i="57" s="1"/>
  <c r="P79" i="57"/>
  <c r="F47" i="57" s="1"/>
  <c r="H47" i="57" s="1"/>
  <c r="J47" i="57" s="1"/>
  <c r="B16" i="57"/>
  <c r="B44" i="57"/>
  <c r="P78" i="57"/>
  <c r="F46" i="57" s="1"/>
  <c r="H46" i="57" s="1"/>
  <c r="G46" i="57"/>
  <c r="I46" i="57" s="1"/>
  <c r="L76" i="57"/>
  <c r="G16" i="57" s="1"/>
  <c r="I16" i="57" s="1"/>
  <c r="M76" i="57"/>
  <c r="F16" i="57" s="1"/>
  <c r="H16" i="57" s="1"/>
  <c r="J16" i="57" s="1"/>
  <c r="D46" i="56" s="1"/>
  <c r="E46" i="56" s="1"/>
  <c r="B12" i="57"/>
  <c r="B40" i="57"/>
  <c r="C24" i="57"/>
  <c r="D84" i="57"/>
  <c r="C52" i="57"/>
  <c r="C11" i="57"/>
  <c r="C39" i="57"/>
  <c r="C38" i="57"/>
  <c r="C10" i="57"/>
  <c r="C40" i="57"/>
  <c r="I49" i="57"/>
  <c r="N85" i="57"/>
  <c r="M84" i="57"/>
  <c r="F24" i="57" s="1"/>
  <c r="K82" i="57"/>
  <c r="J81" i="57"/>
  <c r="D49" i="57" s="1"/>
  <c r="G78" i="57"/>
  <c r="D18" i="57" s="1"/>
  <c r="H18" i="57" s="1"/>
  <c r="N86" i="57"/>
  <c r="H80" i="57"/>
  <c r="E77" i="57"/>
  <c r="C75" i="57"/>
  <c r="N70" i="57"/>
  <c r="N87" i="57"/>
  <c r="M86" i="57"/>
  <c r="F26" i="57" s="1"/>
  <c r="J83" i="57"/>
  <c r="D51" i="57" s="1"/>
  <c r="G80" i="57"/>
  <c r="D20" i="57" s="1"/>
  <c r="D77" i="57"/>
  <c r="P73" i="57"/>
  <c r="F41" i="57" s="1"/>
  <c r="N71" i="57"/>
  <c r="B42" i="57"/>
  <c r="N88" i="57"/>
  <c r="K85" i="57"/>
  <c r="H82" i="57"/>
  <c r="D78" i="57"/>
  <c r="C77" i="57"/>
  <c r="N72" i="57"/>
  <c r="K70" i="57"/>
  <c r="K87" i="57"/>
  <c r="J86" i="57"/>
  <c r="D54" i="57" s="1"/>
  <c r="H84" i="57"/>
  <c r="G83" i="57"/>
  <c r="D23" i="57" s="1"/>
  <c r="H23" i="57" s="1"/>
  <c r="P76" i="57"/>
  <c r="F44" i="57" s="1"/>
  <c r="N74" i="57"/>
  <c r="M73" i="57"/>
  <c r="F13" i="57" s="1"/>
  <c r="K71" i="57"/>
  <c r="K88" i="57"/>
  <c r="H85" i="57"/>
  <c r="E82" i="57"/>
  <c r="C80" i="57"/>
  <c r="N75" i="57"/>
  <c r="K72" i="57"/>
  <c r="B13" i="57"/>
  <c r="C56" i="57"/>
  <c r="H70" i="57"/>
  <c r="H87" i="57"/>
  <c r="E84" i="57"/>
  <c r="C82" i="57"/>
  <c r="N77" i="57"/>
  <c r="H71" i="57"/>
  <c r="O84" i="57"/>
  <c r="G52" i="57" s="1"/>
  <c r="H88" i="57"/>
  <c r="K75" i="57"/>
  <c r="J74" i="57"/>
  <c r="D42" i="57" s="1"/>
  <c r="H72" i="57"/>
  <c r="E70" i="57"/>
  <c r="I23" i="57"/>
  <c r="E87" i="57"/>
  <c r="J76" i="57"/>
  <c r="D44" i="57" s="1"/>
  <c r="G73" i="57"/>
  <c r="D13" i="57" s="1"/>
  <c r="E71" i="57"/>
  <c r="D70" i="57"/>
  <c r="I18" i="57"/>
  <c r="E88" i="57"/>
  <c r="D87" i="57"/>
  <c r="P83" i="57"/>
  <c r="F51" i="57" s="1"/>
  <c r="M80" i="57"/>
  <c r="F20" i="57" s="1"/>
  <c r="J77" i="57"/>
  <c r="D45" i="57" s="1"/>
  <c r="G74" i="57"/>
  <c r="D14" i="57" s="1"/>
  <c r="E72" i="57"/>
  <c r="D71" i="57"/>
  <c r="C76" i="55"/>
  <c r="D10" i="5"/>
  <c r="D72" i="46"/>
  <c r="C72" i="46"/>
  <c r="B72" i="46"/>
  <c r="D69" i="46"/>
  <c r="C69" i="46"/>
  <c r="B69" i="46"/>
  <c r="D60" i="46"/>
  <c r="C60" i="46"/>
  <c r="B60" i="46"/>
  <c r="B145" i="52"/>
  <c r="B144" i="52"/>
  <c r="A35" i="5"/>
  <c r="D35" i="5" s="1"/>
  <c r="C35" i="5"/>
  <c r="A34" i="5"/>
  <c r="C34" i="5" s="1"/>
  <c r="J75" i="52"/>
  <c r="J77" i="52"/>
  <c r="J78" i="52"/>
  <c r="J80" i="52"/>
  <c r="J82" i="52"/>
  <c r="J83" i="52"/>
  <c r="J84" i="52"/>
  <c r="J85" i="52"/>
  <c r="J88" i="52"/>
  <c r="J89" i="52"/>
  <c r="J91" i="52"/>
  <c r="J92" i="52"/>
  <c r="J94" i="52"/>
  <c r="J53" i="52"/>
  <c r="J54" i="52"/>
  <c r="J55" i="52"/>
  <c r="J56" i="52"/>
  <c r="J57" i="52"/>
  <c r="J58" i="52"/>
  <c r="J59" i="52"/>
  <c r="J62" i="52"/>
  <c r="J65" i="52"/>
  <c r="J66" i="52"/>
  <c r="J68" i="52"/>
  <c r="J71" i="52"/>
  <c r="J52" i="52"/>
  <c r="E40" i="39"/>
  <c r="J95" i="52" l="1"/>
  <c r="M74" i="57"/>
  <c r="F14" i="57" s="1"/>
  <c r="H21" i="57"/>
  <c r="J23" i="57"/>
  <c r="D53" i="56" s="1"/>
  <c r="E53" i="56" s="1"/>
  <c r="H14" i="57"/>
  <c r="J14" i="57" s="1"/>
  <c r="D44" i="56" s="1"/>
  <c r="E44" i="56" s="1"/>
  <c r="H19" i="57"/>
  <c r="J19" i="57" s="1"/>
  <c r="D49" i="56" s="1"/>
  <c r="E49" i="56" s="1"/>
  <c r="J21" i="57"/>
  <c r="D51" i="56" s="1"/>
  <c r="E51" i="56" s="1"/>
  <c r="H20" i="57"/>
  <c r="J20" i="57" s="1"/>
  <c r="D50" i="56" s="1"/>
  <c r="E50" i="56" s="1"/>
  <c r="H13" i="57"/>
  <c r="J13" i="57" s="1"/>
  <c r="D43" i="56" s="1"/>
  <c r="E43" i="56" s="1"/>
  <c r="C43" i="57"/>
  <c r="C15" i="57"/>
  <c r="F87" i="57"/>
  <c r="E27" i="57" s="1"/>
  <c r="O72" i="57"/>
  <c r="G40" i="57" s="1"/>
  <c r="O75" i="57"/>
  <c r="G43" i="57" s="1"/>
  <c r="I43" i="57" s="1"/>
  <c r="C45" i="57"/>
  <c r="C17" i="57"/>
  <c r="I80" i="57"/>
  <c r="E48" i="57" s="1"/>
  <c r="B24" i="57"/>
  <c r="B52" i="57"/>
  <c r="L70" i="57"/>
  <c r="G10" i="57" s="1"/>
  <c r="I10" i="57" s="1"/>
  <c r="L72" i="57"/>
  <c r="G12" i="57" s="1"/>
  <c r="M72" i="57"/>
  <c r="F12" i="57" s="1"/>
  <c r="F77" i="57"/>
  <c r="E17" i="57" s="1"/>
  <c r="I17" i="57" s="1"/>
  <c r="F70" i="57"/>
  <c r="E10" i="57" s="1"/>
  <c r="C48" i="57"/>
  <c r="C20" i="57"/>
  <c r="B46" i="57"/>
  <c r="B18" i="57"/>
  <c r="P86" i="57"/>
  <c r="F54" i="57" s="1"/>
  <c r="H54" i="57" s="1"/>
  <c r="J54" i="57" s="1"/>
  <c r="O86" i="57"/>
  <c r="G54" i="57" s="1"/>
  <c r="I54" i="57" s="1"/>
  <c r="I82" i="57"/>
  <c r="E50" i="57" s="1"/>
  <c r="J82" i="57"/>
  <c r="D50" i="57" s="1"/>
  <c r="F72" i="57"/>
  <c r="E12" i="57" s="1"/>
  <c r="I85" i="57"/>
  <c r="E53" i="57" s="1"/>
  <c r="J85" i="57"/>
  <c r="D53" i="57" s="1"/>
  <c r="D75" i="57"/>
  <c r="L75" i="57"/>
  <c r="G15" i="57" s="1"/>
  <c r="I15" i="57" s="1"/>
  <c r="L88" i="57"/>
  <c r="G28" i="57" s="1"/>
  <c r="O88" i="57"/>
  <c r="G56" i="57" s="1"/>
  <c r="I72" i="57"/>
  <c r="E40" i="57" s="1"/>
  <c r="J72" i="57"/>
  <c r="D40" i="57" s="1"/>
  <c r="J18" i="57"/>
  <c r="D48" i="56" s="1"/>
  <c r="E48" i="56" s="1"/>
  <c r="L85" i="57"/>
  <c r="G25" i="57" s="1"/>
  <c r="I25" i="57" s="1"/>
  <c r="I88" i="57"/>
  <c r="E56" i="57" s="1"/>
  <c r="J88" i="57"/>
  <c r="D56" i="57" s="1"/>
  <c r="L71" i="57"/>
  <c r="G11" i="57" s="1"/>
  <c r="B11" i="57"/>
  <c r="B39" i="57"/>
  <c r="O71" i="57"/>
  <c r="G39" i="57" s="1"/>
  <c r="I39" i="57" s="1"/>
  <c r="H51" i="57"/>
  <c r="J51" i="57" s="1"/>
  <c r="I71" i="57"/>
  <c r="E39" i="57" s="1"/>
  <c r="J71" i="57"/>
  <c r="D39" i="57" s="1"/>
  <c r="O74" i="57"/>
  <c r="G42" i="57" s="1"/>
  <c r="I42" i="57" s="1"/>
  <c r="H41" i="57"/>
  <c r="J41" i="57" s="1"/>
  <c r="J46" i="57"/>
  <c r="P80" i="57"/>
  <c r="F48" i="57" s="1"/>
  <c r="F82" i="57"/>
  <c r="E22" i="57" s="1"/>
  <c r="L82" i="57"/>
  <c r="G22" i="57" s="1"/>
  <c r="B27" i="57"/>
  <c r="B55" i="57"/>
  <c r="O77" i="57"/>
  <c r="G45" i="57" s="1"/>
  <c r="I45" i="57" s="1"/>
  <c r="P77" i="57"/>
  <c r="F45" i="57" s="1"/>
  <c r="H45" i="57" s="1"/>
  <c r="J45" i="57" s="1"/>
  <c r="H44" i="57"/>
  <c r="J44" i="57" s="1"/>
  <c r="B45" i="57"/>
  <c r="B17" i="57"/>
  <c r="O85" i="57"/>
  <c r="G53" i="57" s="1"/>
  <c r="I53" i="57" s="1"/>
  <c r="P85" i="57"/>
  <c r="F53" i="57" s="1"/>
  <c r="H53" i="57" s="1"/>
  <c r="J53" i="57" s="1"/>
  <c r="I48" i="57"/>
  <c r="F88" i="57"/>
  <c r="E28" i="57" s="1"/>
  <c r="C22" i="57"/>
  <c r="D82" i="57"/>
  <c r="C50" i="57"/>
  <c r="D80" i="57"/>
  <c r="G86" i="57"/>
  <c r="D26" i="57" s="1"/>
  <c r="H26" i="57" s="1"/>
  <c r="J26" i="57" s="1"/>
  <c r="D56" i="56" s="1"/>
  <c r="E56" i="56" s="1"/>
  <c r="F84" i="57"/>
  <c r="E24" i="57" s="1"/>
  <c r="I24" i="57" s="1"/>
  <c r="B38" i="57"/>
  <c r="B10" i="57"/>
  <c r="I87" i="57"/>
  <c r="E55" i="57" s="1"/>
  <c r="J87" i="57"/>
  <c r="D55" i="57" s="1"/>
  <c r="I84" i="57"/>
  <c r="E52" i="57" s="1"/>
  <c r="I52" i="57" s="1"/>
  <c r="J84" i="57"/>
  <c r="D52" i="57" s="1"/>
  <c r="H50" i="57"/>
  <c r="J50" i="57" s="1"/>
  <c r="F71" i="57"/>
  <c r="E11" i="57" s="1"/>
  <c r="I70" i="57"/>
  <c r="E38" i="57" s="1"/>
  <c r="J70" i="57"/>
  <c r="D38" i="57" s="1"/>
  <c r="O87" i="57"/>
  <c r="G55" i="57" s="1"/>
  <c r="I50" i="57"/>
  <c r="L87" i="57"/>
  <c r="G27" i="57" s="1"/>
  <c r="I27" i="57" s="1"/>
  <c r="O70" i="57"/>
  <c r="G38" i="57" s="1"/>
  <c r="I38" i="57" s="1"/>
  <c r="P84" i="57"/>
  <c r="F52" i="57" s="1"/>
  <c r="H52" i="57" s="1"/>
  <c r="M77" i="57"/>
  <c r="F17" i="57" s="1"/>
  <c r="D34" i="5"/>
  <c r="H85" i="52"/>
  <c r="D101" i="55"/>
  <c r="C101" i="55"/>
  <c r="B101" i="55"/>
  <c r="D87" i="55"/>
  <c r="D86" i="55"/>
  <c r="C87" i="55"/>
  <c r="C86" i="55"/>
  <c r="C85" i="55"/>
  <c r="F6" i="27"/>
  <c r="F5" i="27"/>
  <c r="E87" i="56"/>
  <c r="M87" i="57" l="1"/>
  <c r="F27" i="57" s="1"/>
  <c r="M82" i="57"/>
  <c r="F22" i="57" s="1"/>
  <c r="M85" i="57"/>
  <c r="F25" i="57" s="1"/>
  <c r="H25" i="57" s="1"/>
  <c r="J25" i="57" s="1"/>
  <c r="D55" i="56" s="1"/>
  <c r="E55" i="56" s="1"/>
  <c r="M70" i="57"/>
  <c r="F10" i="57" s="1"/>
  <c r="M88" i="57"/>
  <c r="F28" i="57" s="1"/>
  <c r="M71" i="57"/>
  <c r="F11" i="57" s="1"/>
  <c r="G82" i="57"/>
  <c r="D22" i="57" s="1"/>
  <c r="G87" i="57"/>
  <c r="D27" i="57" s="1"/>
  <c r="H22" i="57"/>
  <c r="G70" i="57"/>
  <c r="D10" i="57" s="1"/>
  <c r="H27" i="57"/>
  <c r="J27" i="57" s="1"/>
  <c r="D57" i="56" s="1"/>
  <c r="E57" i="56" s="1"/>
  <c r="I22" i="57"/>
  <c r="G72" i="57"/>
  <c r="D12" i="57" s="1"/>
  <c r="H10" i="57"/>
  <c r="J10" i="57" s="1"/>
  <c r="D40" i="56" s="1"/>
  <c r="E40" i="56" s="1"/>
  <c r="G88" i="57"/>
  <c r="D28" i="57" s="1"/>
  <c r="H28" i="57" s="1"/>
  <c r="J28" i="57" s="1"/>
  <c r="D58" i="56" s="1"/>
  <c r="E58" i="56" s="1"/>
  <c r="P74" i="57"/>
  <c r="F42" i="57" s="1"/>
  <c r="H42" i="57" s="1"/>
  <c r="J42" i="57" s="1"/>
  <c r="J52" i="57"/>
  <c r="J80" i="57"/>
  <c r="D48" i="57" s="1"/>
  <c r="P70" i="57"/>
  <c r="F38" i="57" s="1"/>
  <c r="H38" i="57" s="1"/>
  <c r="J38" i="57" s="1"/>
  <c r="P88" i="57"/>
  <c r="F56" i="57" s="1"/>
  <c r="H56" i="57" s="1"/>
  <c r="G84" i="57"/>
  <c r="D24" i="57" s="1"/>
  <c r="H24" i="57" s="1"/>
  <c r="J24" i="57" s="1"/>
  <c r="D54" i="56" s="1"/>
  <c r="E54" i="56" s="1"/>
  <c r="P71" i="57"/>
  <c r="F39" i="57" s="1"/>
  <c r="H39" i="57" s="1"/>
  <c r="J39" i="57" s="1"/>
  <c r="I28" i="57"/>
  <c r="P75" i="57"/>
  <c r="F43" i="57" s="1"/>
  <c r="H43" i="57" s="1"/>
  <c r="J43" i="57" s="1"/>
  <c r="P87" i="57"/>
  <c r="F55" i="57" s="1"/>
  <c r="H55" i="57" s="1"/>
  <c r="M75" i="57"/>
  <c r="F15" i="57" s="1"/>
  <c r="H15" i="57" s="1"/>
  <c r="J15" i="57" s="1"/>
  <c r="D45" i="56" s="1"/>
  <c r="E45" i="56" s="1"/>
  <c r="P72" i="57"/>
  <c r="F40" i="57" s="1"/>
  <c r="H40" i="57" s="1"/>
  <c r="J40" i="57" s="1"/>
  <c r="I56" i="57"/>
  <c r="I55" i="57"/>
  <c r="B48" i="57"/>
  <c r="B20" i="57"/>
  <c r="G77" i="57"/>
  <c r="D17" i="57" s="1"/>
  <c r="H17" i="57" s="1"/>
  <c r="J17" i="57" s="1"/>
  <c r="D47" i="56" s="1"/>
  <c r="E47" i="56" s="1"/>
  <c r="I40" i="57"/>
  <c r="B43" i="57"/>
  <c r="B15" i="57"/>
  <c r="B50" i="57"/>
  <c r="B22" i="57"/>
  <c r="H12" i="57"/>
  <c r="G71" i="57"/>
  <c r="D11" i="57" s="1"/>
  <c r="H11" i="57" s="1"/>
  <c r="I11" i="57"/>
  <c r="I12" i="57"/>
  <c r="H48" i="57"/>
  <c r="J48" i="57" s="1"/>
  <c r="E9" i="49"/>
  <c r="E10" i="49"/>
  <c r="E11" i="49"/>
  <c r="E12" i="49"/>
  <c r="E13" i="49"/>
  <c r="E14" i="49"/>
  <c r="E15" i="49"/>
  <c r="I27" i="52"/>
  <c r="D51" i="39"/>
  <c r="B51" i="39"/>
  <c r="E50" i="39"/>
  <c r="E49" i="39"/>
  <c r="E48" i="39"/>
  <c r="E47" i="39"/>
  <c r="E46" i="39"/>
  <c r="E45" i="39"/>
  <c r="E44" i="39"/>
  <c r="E43" i="39"/>
  <c r="E42" i="39"/>
  <c r="E41" i="39"/>
  <c r="A9" i="54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J22" i="57" l="1"/>
  <c r="D52" i="56" s="1"/>
  <c r="E52" i="56" s="1"/>
  <c r="J11" i="57"/>
  <c r="D41" i="56" s="1"/>
  <c r="E41" i="56" s="1"/>
  <c r="J55" i="57"/>
  <c r="J56" i="57"/>
  <c r="J12" i="57"/>
  <c r="D42" i="56" s="1"/>
  <c r="E42" i="56" s="1"/>
  <c r="K13" i="41"/>
  <c r="F27" i="27"/>
  <c r="E7" i="27" l="1"/>
  <c r="E28" i="27" s="1"/>
  <c r="O13" i="41" l="1"/>
  <c r="H6" i="52"/>
  <c r="G7" i="52" l="1"/>
  <c r="F7" i="52"/>
  <c r="G8" i="52"/>
  <c r="G13" i="52"/>
  <c r="G14" i="52"/>
  <c r="F8" i="52"/>
  <c r="F9" i="52"/>
  <c r="F13" i="52"/>
  <c r="F14" i="52"/>
  <c r="F15" i="52"/>
  <c r="H15" i="52"/>
  <c r="H14" i="52"/>
  <c r="H13" i="52"/>
  <c r="H12" i="52"/>
  <c r="H11" i="52"/>
  <c r="H10" i="52"/>
  <c r="H9" i="52"/>
  <c r="H8" i="52"/>
  <c r="H5" i="52"/>
  <c r="H7" i="52"/>
  <c r="I14" i="52" l="1"/>
  <c r="I13" i="52"/>
  <c r="I8" i="52"/>
  <c r="I7" i="52"/>
  <c r="B34" i="54"/>
  <c r="C34" i="54" s="1"/>
  <c r="D16" i="52"/>
  <c r="E7" i="52"/>
  <c r="D66" i="62"/>
  <c r="C66" i="62"/>
  <c r="B66" i="62"/>
  <c r="D63" i="62"/>
  <c r="C63" i="62"/>
  <c r="B63" i="62"/>
  <c r="A7" i="62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D101" i="61"/>
  <c r="C101" i="61"/>
  <c r="B101" i="61"/>
  <c r="D76" i="61"/>
  <c r="C76" i="61"/>
  <c r="B76" i="61"/>
  <c r="A12" i="6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7" i="61"/>
  <c r="A27" i="61" l="1"/>
  <c r="A28" i="61" s="1"/>
  <c r="F76" i="61"/>
  <c r="E101" i="61"/>
  <c r="F101" i="61"/>
  <c r="E76" i="61"/>
  <c r="C88" i="61"/>
  <c r="E88" i="61" s="1"/>
  <c r="D88" i="61"/>
  <c r="F88" i="61" s="1"/>
  <c r="A8" i="61"/>
  <c r="A9" i="61" s="1"/>
  <c r="A10" i="61" s="1"/>
  <c r="A29" i="61" l="1"/>
  <c r="A30" i="61" s="1"/>
  <c r="A31" i="61" s="1"/>
  <c r="A32" i="61" s="1"/>
  <c r="B92" i="57"/>
  <c r="A64" i="57"/>
  <c r="A65" i="57" s="1"/>
  <c r="A66" i="57" s="1"/>
  <c r="A67" i="57" s="1"/>
  <c r="A68" i="57" s="1"/>
  <c r="A69" i="57" s="1"/>
  <c r="A70" i="57" s="1"/>
  <c r="A71" i="57" s="1"/>
  <c r="A72" i="57" s="1"/>
  <c r="B63" i="57"/>
  <c r="A37" i="57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9" i="57"/>
  <c r="A10" i="57" s="1"/>
  <c r="A11" i="57" s="1"/>
  <c r="A12" i="57" s="1"/>
  <c r="A13" i="57" s="1"/>
  <c r="A14" i="57" s="1"/>
  <c r="A15" i="57" s="1"/>
  <c r="A16" i="57" s="1"/>
  <c r="A17" i="57" s="1"/>
  <c r="A20" i="57" s="1"/>
  <c r="A21" i="57" s="1"/>
  <c r="A22" i="57" s="1"/>
  <c r="A23" i="57" s="1"/>
  <c r="A24" i="57" s="1"/>
  <c r="A25" i="57" s="1"/>
  <c r="A26" i="57" s="1"/>
  <c r="A27" i="57" s="1"/>
  <c r="A28" i="57" s="1"/>
  <c r="E88" i="56"/>
  <c r="D87" i="56"/>
  <c r="C87" i="56"/>
  <c r="B87" i="56"/>
  <c r="F87" i="56"/>
  <c r="F88" i="56" s="1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A34" i="56"/>
  <c r="A35" i="56" s="1"/>
  <c r="A36" i="56" s="1"/>
  <c r="A37" i="56" s="1"/>
  <c r="A10" i="56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B65" i="56" l="1"/>
  <c r="B6" i="61" s="1"/>
  <c r="B7" i="61" s="1"/>
  <c r="B8" i="61" s="1"/>
  <c r="B9" i="61" s="1"/>
  <c r="B10" i="61" s="1"/>
  <c r="B11" i="61" s="1"/>
  <c r="B12" i="61" s="1"/>
  <c r="B13" i="61" s="1"/>
  <c r="B14" i="61" s="1"/>
  <c r="B15" i="61" s="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I58" i="56"/>
  <c r="B88" i="56"/>
  <c r="B75" i="56" s="1"/>
  <c r="H33" i="56" s="1"/>
  <c r="A48" i="57"/>
  <c r="A49" i="57" s="1"/>
  <c r="A50" i="57" s="1"/>
  <c r="A51" i="57" s="1"/>
  <c r="A52" i="57" s="1"/>
  <c r="A53" i="57" s="1"/>
  <c r="A54" i="57" s="1"/>
  <c r="A55" i="57" s="1"/>
  <c r="A56" i="57" s="1"/>
  <c r="I57" i="56"/>
  <c r="I43" i="56"/>
  <c r="B69" i="57"/>
  <c r="K69" i="57" s="1"/>
  <c r="L69" i="57" s="1"/>
  <c r="G9" i="57" s="1"/>
  <c r="B66" i="57"/>
  <c r="C63" i="57"/>
  <c r="D63" i="57" s="1"/>
  <c r="A38" i="56"/>
  <c r="A39" i="56" s="1"/>
  <c r="I50" i="56"/>
  <c r="I44" i="56"/>
  <c r="I45" i="56"/>
  <c r="I46" i="56"/>
  <c r="I55" i="56"/>
  <c r="I51" i="56"/>
  <c r="I39" i="56"/>
  <c r="I40" i="56"/>
  <c r="I41" i="56"/>
  <c r="I47" i="56"/>
  <c r="I42" i="56"/>
  <c r="I48" i="56"/>
  <c r="A73" i="57"/>
  <c r="A74" i="57" s="1"/>
  <c r="A75" i="57" s="1"/>
  <c r="H69" i="57"/>
  <c r="C66" i="57"/>
  <c r="D66" i="57" s="1"/>
  <c r="I49" i="56"/>
  <c r="I52" i="56"/>
  <c r="I53" i="56"/>
  <c r="I54" i="56"/>
  <c r="I56" i="56"/>
  <c r="B68" i="57"/>
  <c r="B65" i="57"/>
  <c r="B67" i="57"/>
  <c r="B64" i="57"/>
  <c r="N69" i="57"/>
  <c r="A40" i="56" l="1"/>
  <c r="B39" i="56"/>
  <c r="H39" i="56"/>
  <c r="H40" i="56"/>
  <c r="H37" i="56"/>
  <c r="H38" i="56"/>
  <c r="H35" i="56"/>
  <c r="H34" i="56"/>
  <c r="H36" i="56"/>
  <c r="C69" i="57"/>
  <c r="E69" i="57"/>
  <c r="F69" i="57" s="1"/>
  <c r="E9" i="57" s="1"/>
  <c r="I9" i="57" s="1"/>
  <c r="C68" i="57"/>
  <c r="C9" i="57"/>
  <c r="C37" i="57"/>
  <c r="C64" i="57"/>
  <c r="D64" i="57" s="1"/>
  <c r="C67" i="57"/>
  <c r="D67" i="57" s="1"/>
  <c r="A41" i="56"/>
  <c r="H41" i="56" s="1"/>
  <c r="O69" i="57"/>
  <c r="G37" i="57" s="1"/>
  <c r="I69" i="57"/>
  <c r="E37" i="57" s="1"/>
  <c r="A76" i="57"/>
  <c r="M69" i="57"/>
  <c r="F9" i="57" s="1"/>
  <c r="D69" i="57"/>
  <c r="B40" i="56"/>
  <c r="F40" i="56" s="1"/>
  <c r="C65" i="57"/>
  <c r="D65" i="57" s="1"/>
  <c r="P69" i="57" l="1"/>
  <c r="F37" i="57" s="1"/>
  <c r="G69" i="57"/>
  <c r="D9" i="57" s="1"/>
  <c r="H9" i="57" s="1"/>
  <c r="J9" i="57" s="1"/>
  <c r="D39" i="56" s="1"/>
  <c r="A77" i="57"/>
  <c r="C8" i="57"/>
  <c r="C36" i="57"/>
  <c r="D68" i="57"/>
  <c r="I37" i="57"/>
  <c r="J69" i="57"/>
  <c r="D37" i="57" s="1"/>
  <c r="H37" i="57" s="1"/>
  <c r="B37" i="57"/>
  <c r="B9" i="57"/>
  <c r="A42" i="56"/>
  <c r="H42" i="56" s="1"/>
  <c r="B41" i="56"/>
  <c r="F41" i="56" s="1"/>
  <c r="J37" i="57" l="1"/>
  <c r="C39" i="56" s="1"/>
  <c r="E39" i="56" s="1"/>
  <c r="F39" i="56" s="1"/>
  <c r="A78" i="57"/>
  <c r="B8" i="57"/>
  <c r="B36" i="57"/>
  <c r="A43" i="56"/>
  <c r="H43" i="56" s="1"/>
  <c r="B42" i="56"/>
  <c r="F42" i="56" s="1"/>
  <c r="J36" i="57" l="1"/>
  <c r="J8" i="57"/>
  <c r="A44" i="56"/>
  <c r="H44" i="56" s="1"/>
  <c r="B43" i="56"/>
  <c r="F43" i="56" s="1"/>
  <c r="A79" i="57"/>
  <c r="A80" i="57" s="1"/>
  <c r="A81" i="57" l="1"/>
  <c r="A45" i="56"/>
  <c r="H45" i="56" s="1"/>
  <c r="B44" i="56"/>
  <c r="F44" i="56" s="1"/>
  <c r="A82" i="57" l="1"/>
  <c r="A46" i="56"/>
  <c r="H46" i="56" s="1"/>
  <c r="B45" i="56"/>
  <c r="F45" i="56" s="1"/>
  <c r="A83" i="57" l="1"/>
  <c r="A47" i="56"/>
  <c r="H47" i="56" s="1"/>
  <c r="B46" i="56"/>
  <c r="F46" i="56" s="1"/>
  <c r="A48" i="56" l="1"/>
  <c r="H48" i="56" s="1"/>
  <c r="B47" i="56"/>
  <c r="F47" i="56" s="1"/>
  <c r="A84" i="57"/>
  <c r="A85" i="57" l="1"/>
  <c r="A49" i="56"/>
  <c r="H49" i="56" s="1"/>
  <c r="B48" i="56"/>
  <c r="F48" i="56" s="1"/>
  <c r="A86" i="57" l="1"/>
  <c r="A50" i="56"/>
  <c r="H50" i="56" s="1"/>
  <c r="B49" i="56"/>
  <c r="F49" i="56" s="1"/>
  <c r="A51" i="56" l="1"/>
  <c r="H51" i="56" s="1"/>
  <c r="B50" i="56"/>
  <c r="F50" i="56" s="1"/>
  <c r="A87" i="57"/>
  <c r="A52" i="56" l="1"/>
  <c r="H52" i="56" s="1"/>
  <c r="B51" i="56"/>
  <c r="F51" i="56" s="1"/>
  <c r="A88" i="57"/>
  <c r="A53" i="56" l="1"/>
  <c r="H53" i="56" s="1"/>
  <c r="B52" i="56"/>
  <c r="F52" i="56" s="1"/>
  <c r="A54" i="56" l="1"/>
  <c r="H54" i="56" s="1"/>
  <c r="B53" i="56"/>
  <c r="F53" i="56" s="1"/>
  <c r="A55" i="56" l="1"/>
  <c r="H55" i="56" s="1"/>
  <c r="B54" i="56"/>
  <c r="F54" i="56" s="1"/>
  <c r="A56" i="56" l="1"/>
  <c r="H56" i="56" s="1"/>
  <c r="B55" i="56"/>
  <c r="F55" i="56" s="1"/>
  <c r="J29" i="57" l="1"/>
  <c r="J57" i="57"/>
  <c r="A57" i="56"/>
  <c r="B56" i="56"/>
  <c r="F56" i="56" s="1"/>
  <c r="A58" i="56" l="1"/>
  <c r="H57" i="56"/>
  <c r="B57" i="56"/>
  <c r="F57" i="56" s="1"/>
  <c r="B58" i="56" l="1"/>
  <c r="F58" i="56" s="1"/>
  <c r="H58" i="56"/>
  <c r="A7" i="55"/>
  <c r="A8" i="55" s="1"/>
  <c r="A9" i="55" s="1"/>
  <c r="A10" i="55" s="1"/>
  <c r="D85" i="55"/>
  <c r="D84" i="55"/>
  <c r="C84" i="55"/>
  <c r="D83" i="55"/>
  <c r="C83" i="55"/>
  <c r="D82" i="55"/>
  <c r="C82" i="55"/>
  <c r="C88" i="55" s="1"/>
  <c r="E88" i="55" s="1"/>
  <c r="D88" i="55"/>
  <c r="D76" i="55"/>
  <c r="B76" i="55"/>
  <c r="E76" i="55" s="1"/>
  <c r="A12" i="55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H135" i="52"/>
  <c r="F135" i="52"/>
  <c r="C135" i="52"/>
  <c r="H134" i="52"/>
  <c r="F134" i="52"/>
  <c r="D134" i="52"/>
  <c r="H133" i="52"/>
  <c r="F133" i="52"/>
  <c r="D133" i="52"/>
  <c r="H132" i="52"/>
  <c r="F132" i="52"/>
  <c r="D132" i="52"/>
  <c r="H131" i="52"/>
  <c r="F131" i="52"/>
  <c r="D131" i="52"/>
  <c r="H130" i="52"/>
  <c r="F130" i="52"/>
  <c r="D130" i="52"/>
  <c r="H129" i="52"/>
  <c r="F129" i="52"/>
  <c r="D129" i="52"/>
  <c r="H128" i="52"/>
  <c r="F128" i="52"/>
  <c r="D128" i="52"/>
  <c r="H127" i="52"/>
  <c r="F127" i="52"/>
  <c r="D127" i="52"/>
  <c r="H126" i="52"/>
  <c r="F126" i="52"/>
  <c r="D126" i="52"/>
  <c r="H125" i="52"/>
  <c r="F125" i="52"/>
  <c r="D125" i="52"/>
  <c r="H124" i="52"/>
  <c r="F124" i="52"/>
  <c r="D124" i="52"/>
  <c r="H122" i="52"/>
  <c r="F122" i="52"/>
  <c r="C122" i="52"/>
  <c r="H121" i="52"/>
  <c r="F121" i="52"/>
  <c r="C121" i="52"/>
  <c r="H120" i="52"/>
  <c r="F120" i="52"/>
  <c r="C120" i="52"/>
  <c r="H119" i="52"/>
  <c r="F119" i="52"/>
  <c r="C119" i="52"/>
  <c r="H118" i="52"/>
  <c r="F118" i="52"/>
  <c r="D118" i="52"/>
  <c r="H117" i="52"/>
  <c r="F117" i="52"/>
  <c r="D117" i="52"/>
  <c r="H116" i="52"/>
  <c r="E116" i="52"/>
  <c r="F116" i="52" s="1"/>
  <c r="C116" i="52"/>
  <c r="H115" i="52"/>
  <c r="F115" i="52"/>
  <c r="C115" i="52"/>
  <c r="H114" i="52"/>
  <c r="F114" i="52"/>
  <c r="C114" i="52"/>
  <c r="H113" i="52"/>
  <c r="F113" i="52"/>
  <c r="C113" i="52"/>
  <c r="H112" i="52"/>
  <c r="F112" i="52"/>
  <c r="C112" i="52"/>
  <c r="H111" i="52"/>
  <c r="F111" i="52"/>
  <c r="C111" i="52"/>
  <c r="H110" i="52"/>
  <c r="F110" i="52"/>
  <c r="C110" i="52"/>
  <c r="H109" i="52"/>
  <c r="F109" i="52"/>
  <c r="C109" i="52"/>
  <c r="H108" i="52"/>
  <c r="F108" i="52"/>
  <c r="D108" i="52"/>
  <c r="H107" i="52"/>
  <c r="F107" i="52"/>
  <c r="C107" i="52"/>
  <c r="G106" i="52"/>
  <c r="E106" i="52"/>
  <c r="F106" i="52" s="1"/>
  <c r="C106" i="52"/>
  <c r="G105" i="52"/>
  <c r="E105" i="52"/>
  <c r="C105" i="52"/>
  <c r="H104" i="52"/>
  <c r="F104" i="52"/>
  <c r="C104" i="52"/>
  <c r="H103" i="52"/>
  <c r="F103" i="52"/>
  <c r="D103" i="52"/>
  <c r="G95" i="52"/>
  <c r="E95" i="52"/>
  <c r="C95" i="52"/>
  <c r="D94" i="52"/>
  <c r="F92" i="52"/>
  <c r="D92" i="52"/>
  <c r="H91" i="52"/>
  <c r="H89" i="52"/>
  <c r="F89" i="52"/>
  <c r="D89" i="52"/>
  <c r="H88" i="52"/>
  <c r="F88" i="52"/>
  <c r="D88" i="52"/>
  <c r="F85" i="52"/>
  <c r="D85" i="52"/>
  <c r="F84" i="52"/>
  <c r="F83" i="52"/>
  <c r="D83" i="52"/>
  <c r="H82" i="52"/>
  <c r="F82" i="52"/>
  <c r="D82" i="52"/>
  <c r="H80" i="52"/>
  <c r="F80" i="52"/>
  <c r="D80" i="52"/>
  <c r="H78" i="52"/>
  <c r="F78" i="52"/>
  <c r="F77" i="52"/>
  <c r="D77" i="52"/>
  <c r="H75" i="52"/>
  <c r="D71" i="52"/>
  <c r="H68" i="52"/>
  <c r="F68" i="52"/>
  <c r="D68" i="52"/>
  <c r="H66" i="52"/>
  <c r="D66" i="52"/>
  <c r="H65" i="52"/>
  <c r="F65" i="52"/>
  <c r="D65" i="52"/>
  <c r="H62" i="52"/>
  <c r="F62" i="52"/>
  <c r="D62" i="52"/>
  <c r="H59" i="52"/>
  <c r="F59" i="52"/>
  <c r="D59" i="52"/>
  <c r="H58" i="52"/>
  <c r="F58" i="52"/>
  <c r="D58" i="52"/>
  <c r="D57" i="52"/>
  <c r="H56" i="52"/>
  <c r="F56" i="52"/>
  <c r="F55" i="52"/>
  <c r="D55" i="52"/>
  <c r="H54" i="52"/>
  <c r="D53" i="52"/>
  <c r="H52" i="52"/>
  <c r="F52" i="52"/>
  <c r="J43" i="52"/>
  <c r="G43" i="52"/>
  <c r="H43" i="52" s="1"/>
  <c r="D43" i="52"/>
  <c r="J42" i="52"/>
  <c r="G42" i="52"/>
  <c r="H42" i="52" s="1"/>
  <c r="D42" i="52"/>
  <c r="J41" i="52"/>
  <c r="H41" i="52"/>
  <c r="E41" i="52"/>
  <c r="J40" i="52"/>
  <c r="H40" i="52"/>
  <c r="E40" i="52"/>
  <c r="G39" i="52"/>
  <c r="I38" i="52"/>
  <c r="J38" i="52" s="1"/>
  <c r="G38" i="52"/>
  <c r="H38" i="52" s="1"/>
  <c r="D38" i="52"/>
  <c r="I37" i="52"/>
  <c r="J37" i="52" s="1"/>
  <c r="G37" i="52"/>
  <c r="H37" i="52" s="1"/>
  <c r="D37" i="52"/>
  <c r="J36" i="52"/>
  <c r="G36" i="52"/>
  <c r="H36" i="52" s="1"/>
  <c r="D36" i="52"/>
  <c r="J35" i="52"/>
  <c r="H35" i="52"/>
  <c r="I34" i="52"/>
  <c r="K34" i="52" s="1"/>
  <c r="L34" i="52" s="1"/>
  <c r="H34" i="52"/>
  <c r="I33" i="52"/>
  <c r="G33" i="52"/>
  <c r="H33" i="52" s="1"/>
  <c r="D33" i="52"/>
  <c r="I32" i="52"/>
  <c r="G32" i="52"/>
  <c r="H32" i="52" s="1"/>
  <c r="D32" i="52"/>
  <c r="D31" i="52"/>
  <c r="I30" i="52"/>
  <c r="G30" i="52"/>
  <c r="H30" i="52" s="1"/>
  <c r="D30" i="52"/>
  <c r="J29" i="52"/>
  <c r="G29" i="52"/>
  <c r="H29" i="52" s="1"/>
  <c r="D29" i="52"/>
  <c r="J28" i="52"/>
  <c r="H28" i="52"/>
  <c r="E28" i="52"/>
  <c r="G27" i="52"/>
  <c r="H27" i="52" s="1"/>
  <c r="D27" i="52"/>
  <c r="J26" i="52"/>
  <c r="H26" i="52"/>
  <c r="E26" i="52"/>
  <c r="J25" i="52"/>
  <c r="G25" i="52"/>
  <c r="H25" i="52" s="1"/>
  <c r="D25" i="52"/>
  <c r="G24" i="52"/>
  <c r="J23" i="52"/>
  <c r="G23" i="52"/>
  <c r="H23" i="52" s="1"/>
  <c r="D23" i="52"/>
  <c r="J22" i="52"/>
  <c r="H22" i="52"/>
  <c r="D21" i="52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D66" i="46"/>
  <c r="C66" i="46"/>
  <c r="B66" i="46"/>
  <c r="D63" i="46"/>
  <c r="C63" i="46"/>
  <c r="B63" i="46"/>
  <c r="A7" i="46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F49" i="49"/>
  <c r="H48" i="49"/>
  <c r="H47" i="49"/>
  <c r="H50" i="49" s="1"/>
  <c r="F47" i="49"/>
  <c r="E23" i="49"/>
  <c r="E22" i="49"/>
  <c r="E21" i="49"/>
  <c r="E20" i="49"/>
  <c r="E19" i="49"/>
  <c r="E18" i="49"/>
  <c r="E17" i="49"/>
  <c r="E16" i="49"/>
  <c r="F26" i="27"/>
  <c r="O34" i="41" s="1"/>
  <c r="F25" i="27"/>
  <c r="F24" i="27"/>
  <c r="O32" i="41" s="1"/>
  <c r="F23" i="27"/>
  <c r="O31" i="41" s="1"/>
  <c r="F22" i="27"/>
  <c r="O30" i="41" s="1"/>
  <c r="F21" i="27"/>
  <c r="F20" i="27"/>
  <c r="O28" i="41" s="1"/>
  <c r="F19" i="27"/>
  <c r="O27" i="41" s="1"/>
  <c r="F18" i="27"/>
  <c r="O26" i="41" s="1"/>
  <c r="F17" i="27"/>
  <c r="O25" i="41" s="1"/>
  <c r="F16" i="27"/>
  <c r="O24" i="41" s="1"/>
  <c r="F15" i="27"/>
  <c r="O23" i="41" s="1"/>
  <c r="F14" i="27"/>
  <c r="F13" i="27"/>
  <c r="O21" i="41" s="1"/>
  <c r="F12" i="27"/>
  <c r="O20" i="41" s="1"/>
  <c r="F11" i="27"/>
  <c r="O19" i="41" s="1"/>
  <c r="F10" i="27"/>
  <c r="O18" i="41" s="1"/>
  <c r="F9" i="27"/>
  <c r="O17" i="41" s="1"/>
  <c r="F8" i="27"/>
  <c r="O16" i="41" s="1"/>
  <c r="F7" i="27"/>
  <c r="O15" i="41" s="1"/>
  <c r="D7" i="27"/>
  <c r="D8" i="27" s="1"/>
  <c r="D9" i="27" s="1"/>
  <c r="D10" i="27" s="1"/>
  <c r="D11" i="27" s="1"/>
  <c r="D12" i="27" s="1"/>
  <c r="D13" i="27" s="1"/>
  <c r="D14" i="27" s="1"/>
  <c r="D15" i="27" s="1"/>
  <c r="D16" i="27" s="1"/>
  <c r="D17" i="27" s="1"/>
  <c r="D18" i="27" s="1"/>
  <c r="D19" i="27" s="1"/>
  <c r="D20" i="27" s="1"/>
  <c r="D21" i="27" s="1"/>
  <c r="D22" i="27" s="1"/>
  <c r="D23" i="27" s="1"/>
  <c r="D24" i="27" s="1"/>
  <c r="D25" i="27" s="1"/>
  <c r="D26" i="27" s="1"/>
  <c r="D27" i="27" s="1"/>
  <c r="C45" i="5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G15" i="4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N15" i="4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K14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D3" i="12"/>
  <c r="B3" i="12"/>
  <c r="B34" i="5" l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D113" i="52"/>
  <c r="D114" i="52"/>
  <c r="K36" i="52"/>
  <c r="L36" i="52" s="1"/>
  <c r="K22" i="52"/>
  <c r="K40" i="52"/>
  <c r="L40" i="52" s="1"/>
  <c r="K35" i="52"/>
  <c r="L35" i="52" s="1"/>
  <c r="K41" i="52"/>
  <c r="L41" i="52" s="1"/>
  <c r="K26" i="52"/>
  <c r="L26" i="52" s="1"/>
  <c r="K28" i="52"/>
  <c r="L28" i="52" s="1"/>
  <c r="K21" i="52"/>
  <c r="E29" i="52"/>
  <c r="K29" i="52"/>
  <c r="L29" i="52" s="1"/>
  <c r="D115" i="52"/>
  <c r="E37" i="52"/>
  <c r="K37" i="52"/>
  <c r="L37" i="52" s="1"/>
  <c r="E43" i="52"/>
  <c r="K43" i="52"/>
  <c r="L43" i="52" s="1"/>
  <c r="D110" i="52"/>
  <c r="D105" i="52"/>
  <c r="I105" i="52"/>
  <c r="J105" i="52" s="1"/>
  <c r="I121" i="52"/>
  <c r="E23" i="52"/>
  <c r="K23" i="52"/>
  <c r="L23" i="52" s="1"/>
  <c r="E31" i="52"/>
  <c r="K31" i="52"/>
  <c r="L31" i="52" s="1"/>
  <c r="D116" i="52"/>
  <c r="K32" i="52"/>
  <c r="E38" i="52"/>
  <c r="K38" i="52"/>
  <c r="L38" i="52" s="1"/>
  <c r="D106" i="52"/>
  <c r="D122" i="52"/>
  <c r="K30" i="52"/>
  <c r="E33" i="52"/>
  <c r="K33" i="52"/>
  <c r="L33" i="52" s="1"/>
  <c r="H39" i="52"/>
  <c r="H44" i="52" s="1"/>
  <c r="K39" i="52"/>
  <c r="L39" i="52" s="1"/>
  <c r="D112" i="52"/>
  <c r="H24" i="52"/>
  <c r="K24" i="52"/>
  <c r="E27" i="52"/>
  <c r="K27" i="52"/>
  <c r="L27" i="52" s="1"/>
  <c r="E42" i="52"/>
  <c r="K42" i="52"/>
  <c r="L42" i="52" s="1"/>
  <c r="K25" i="52"/>
  <c r="L25" i="52" s="1"/>
  <c r="D135" i="52"/>
  <c r="I135" i="52"/>
  <c r="J135" i="52" s="1"/>
  <c r="F50" i="49"/>
  <c r="C7" i="49"/>
  <c r="C28" i="49"/>
  <c r="F28" i="49" s="1"/>
  <c r="F27" i="49"/>
  <c r="C24" i="49"/>
  <c r="F24" i="49" s="1"/>
  <c r="C25" i="49"/>
  <c r="F25" i="49" s="1"/>
  <c r="C26" i="49"/>
  <c r="F26" i="49" s="1"/>
  <c r="A26" i="55"/>
  <c r="A19" i="46"/>
  <c r="A20" i="46" s="1"/>
  <c r="A21" i="46" s="1"/>
  <c r="A22" i="46" s="1"/>
  <c r="A23" i="46" s="1"/>
  <c r="A24" i="46" s="1"/>
  <c r="A25" i="46" s="1"/>
  <c r="H105" i="52"/>
  <c r="J32" i="52"/>
  <c r="J33" i="52"/>
  <c r="J34" i="52"/>
  <c r="A5" i="5"/>
  <c r="C15" i="49"/>
  <c r="F15" i="49" s="1"/>
  <c r="H22" i="41" s="1"/>
  <c r="F9" i="49"/>
  <c r="H16" i="41" s="1"/>
  <c r="C16" i="49"/>
  <c r="F16" i="49" s="1"/>
  <c r="H23" i="41" s="1"/>
  <c r="F51" i="49"/>
  <c r="C17" i="49"/>
  <c r="F17" i="49" s="1"/>
  <c r="H24" i="41" s="1"/>
  <c r="O14" i="41"/>
  <c r="F28" i="27"/>
  <c r="J30" i="52"/>
  <c r="I44" i="52"/>
  <c r="E21" i="52"/>
  <c r="D107" i="52"/>
  <c r="E36" i="52"/>
  <c r="D119" i="52"/>
  <c r="E30" i="52"/>
  <c r="E25" i="52"/>
  <c r="D109" i="52"/>
  <c r="D120" i="52"/>
  <c r="E32" i="52"/>
  <c r="C45" i="39"/>
  <c r="C46" i="39"/>
  <c r="C42" i="39"/>
  <c r="C48" i="39"/>
  <c r="C40" i="39"/>
  <c r="C41" i="39"/>
  <c r="C43" i="39"/>
  <c r="C47" i="39"/>
  <c r="C50" i="39"/>
  <c r="C44" i="39"/>
  <c r="C49" i="39"/>
  <c r="D111" i="52"/>
  <c r="E136" i="52"/>
  <c r="A6" i="5"/>
  <c r="C6" i="5" s="1"/>
  <c r="B36" i="54"/>
  <c r="F105" i="52"/>
  <c r="F136" i="52" s="1"/>
  <c r="J27" i="52"/>
  <c r="F95" i="52"/>
  <c r="C136" i="52"/>
  <c r="I119" i="52" s="1"/>
  <c r="J119" i="52" s="1"/>
  <c r="G136" i="52"/>
  <c r="I104" i="52" s="1"/>
  <c r="H95" i="52"/>
  <c r="D104" i="52"/>
  <c r="H106" i="52"/>
  <c r="H136" i="52" s="1"/>
  <c r="D95" i="52"/>
  <c r="E101" i="55"/>
  <c r="F101" i="55"/>
  <c r="F76" i="55"/>
  <c r="F88" i="55"/>
  <c r="C19" i="49"/>
  <c r="F19" i="49" s="1"/>
  <c r="H26" i="41" s="1"/>
  <c r="C22" i="49"/>
  <c r="F22" i="49" s="1"/>
  <c r="H29" i="41" s="1"/>
  <c r="C12" i="49"/>
  <c r="F12" i="49" s="1"/>
  <c r="H19" i="41" s="1"/>
  <c r="H32" i="41"/>
  <c r="H31" i="41"/>
  <c r="C11" i="49"/>
  <c r="F11" i="49" s="1"/>
  <c r="H18" i="41" s="1"/>
  <c r="C8" i="49"/>
  <c r="H34" i="41"/>
  <c r="C23" i="49"/>
  <c r="F23" i="49" s="1"/>
  <c r="H30" i="41" s="1"/>
  <c r="C14" i="49"/>
  <c r="F14" i="49" s="1"/>
  <c r="H21" i="41" s="1"/>
  <c r="C10" i="49"/>
  <c r="F10" i="49" s="1"/>
  <c r="H17" i="41" s="1"/>
  <c r="C18" i="49"/>
  <c r="F18" i="49" s="1"/>
  <c r="H25" i="41" s="1"/>
  <c r="C21" i="49"/>
  <c r="F21" i="49" s="1"/>
  <c r="H28" i="41" s="1"/>
  <c r="C20" i="49"/>
  <c r="F20" i="49" s="1"/>
  <c r="H27" i="41" s="1"/>
  <c r="H33" i="41"/>
  <c r="C13" i="49"/>
  <c r="F13" i="49" s="1"/>
  <c r="H20" i="41" s="1"/>
  <c r="O22" i="41"/>
  <c r="O33" i="41"/>
  <c r="O35" i="41"/>
  <c r="O29" i="41"/>
  <c r="H51" i="49"/>
  <c r="E13" i="52"/>
  <c r="D121" i="52"/>
  <c r="E8" i="52"/>
  <c r="E14" i="52"/>
  <c r="J104" i="52" l="1"/>
  <c r="I120" i="52"/>
  <c r="K44" i="52"/>
  <c r="L21" i="52"/>
  <c r="B11" i="52"/>
  <c r="F11" i="52" s="1"/>
  <c r="J121" i="52"/>
  <c r="I122" i="52"/>
  <c r="J122" i="52" s="1"/>
  <c r="I110" i="52"/>
  <c r="J110" i="52" s="1"/>
  <c r="I106" i="52"/>
  <c r="J106" i="52" s="1"/>
  <c r="L22" i="52"/>
  <c r="B10" i="52"/>
  <c r="F10" i="52" s="1"/>
  <c r="I107" i="52"/>
  <c r="I111" i="52"/>
  <c r="I109" i="52"/>
  <c r="I114" i="52"/>
  <c r="J114" i="52" s="1"/>
  <c r="B5" i="52"/>
  <c r="F5" i="52" s="1"/>
  <c r="L24" i="52"/>
  <c r="B12" i="52"/>
  <c r="F12" i="52" s="1"/>
  <c r="L32" i="52"/>
  <c r="I115" i="52"/>
  <c r="J115" i="52" s="1"/>
  <c r="B6" i="52"/>
  <c r="F6" i="52" s="1"/>
  <c r="L30" i="52"/>
  <c r="I116" i="52"/>
  <c r="J116" i="52" s="1"/>
  <c r="I118" i="52"/>
  <c r="J118" i="52" s="1"/>
  <c r="I126" i="52"/>
  <c r="J126" i="52" s="1"/>
  <c r="I133" i="52"/>
  <c r="J133" i="52" s="1"/>
  <c r="I117" i="52"/>
  <c r="J117" i="52" s="1"/>
  <c r="I134" i="52"/>
  <c r="J134" i="52" s="1"/>
  <c r="I108" i="52"/>
  <c r="J108" i="52" s="1"/>
  <c r="I127" i="52"/>
  <c r="J127" i="52" s="1"/>
  <c r="I130" i="52"/>
  <c r="J130" i="52" s="1"/>
  <c r="I124" i="52"/>
  <c r="J124" i="52" s="1"/>
  <c r="I125" i="52"/>
  <c r="J125" i="52" s="1"/>
  <c r="I128" i="52"/>
  <c r="J128" i="52" s="1"/>
  <c r="I129" i="52"/>
  <c r="J129" i="52" s="1"/>
  <c r="I131" i="52"/>
  <c r="J131" i="52" s="1"/>
  <c r="I132" i="52"/>
  <c r="J132" i="52" s="1"/>
  <c r="I103" i="52"/>
  <c r="I112" i="52"/>
  <c r="J112" i="52" s="1"/>
  <c r="I113" i="52"/>
  <c r="J113" i="52" s="1"/>
  <c r="J44" i="52"/>
  <c r="A27" i="55"/>
  <c r="C13" i="41"/>
  <c r="D13" i="41" s="1"/>
  <c r="E13" i="41" s="1"/>
  <c r="G5" i="27"/>
  <c r="P13" i="41"/>
  <c r="B13" i="41" s="1"/>
  <c r="A7" i="5"/>
  <c r="D6" i="5"/>
  <c r="E44" i="52"/>
  <c r="C51" i="39"/>
  <c r="D136" i="52"/>
  <c r="D34" i="54"/>
  <c r="D36" i="54" s="1"/>
  <c r="H16" i="52"/>
  <c r="E6" i="61"/>
  <c r="B6" i="55"/>
  <c r="C36" i="54"/>
  <c r="C5" i="52" l="1"/>
  <c r="J109" i="52"/>
  <c r="C9" i="52"/>
  <c r="J111" i="52"/>
  <c r="C12" i="52"/>
  <c r="J107" i="52"/>
  <c r="B16" i="52"/>
  <c r="E35" i="54" s="1"/>
  <c r="F35" i="54" s="1"/>
  <c r="F36" i="54" s="1"/>
  <c r="F16" i="52"/>
  <c r="G35" i="54" s="1"/>
  <c r="G36" i="54" s="1"/>
  <c r="J103" i="52"/>
  <c r="J136" i="52" s="1"/>
  <c r="C11" i="52"/>
  <c r="G11" i="52" s="1"/>
  <c r="I11" i="52" s="1"/>
  <c r="I136" i="52"/>
  <c r="C6" i="52"/>
  <c r="G6" i="52" s="1"/>
  <c r="I6" i="52" s="1"/>
  <c r="L44" i="52"/>
  <c r="C15" i="52"/>
  <c r="J120" i="52"/>
  <c r="C10" i="52"/>
  <c r="G10" i="52" s="1"/>
  <c r="I10" i="52" s="1"/>
  <c r="C2" i="49"/>
  <c r="H35" i="41"/>
  <c r="A28" i="55"/>
  <c r="A29" i="55" s="1"/>
  <c r="A30" i="55" s="1"/>
  <c r="A31" i="55" s="1"/>
  <c r="A32" i="55" s="1"/>
  <c r="A8" i="5"/>
  <c r="D7" i="5"/>
  <c r="C7" i="5"/>
  <c r="D6" i="61"/>
  <c r="E7" i="61"/>
  <c r="B7" i="55"/>
  <c r="D6" i="55"/>
  <c r="G12" i="52" l="1"/>
  <c r="I12" i="52" s="1"/>
  <c r="E12" i="52"/>
  <c r="G5" i="52"/>
  <c r="C16" i="52"/>
  <c r="C6" i="61" s="1"/>
  <c r="E5" i="52"/>
  <c r="G9" i="52"/>
  <c r="I9" i="52" s="1"/>
  <c r="E9" i="52"/>
  <c r="E10" i="52"/>
  <c r="E6" i="52"/>
  <c r="C6" i="55"/>
  <c r="C13" i="55" s="1"/>
  <c r="E13" i="55" s="1"/>
  <c r="E11" i="52"/>
  <c r="E15" i="52"/>
  <c r="G15" i="52"/>
  <c r="I15" i="52" s="1"/>
  <c r="E36" i="54"/>
  <c r="E6" i="55"/>
  <c r="H6" i="55" s="1"/>
  <c r="D27" i="61"/>
  <c r="G27" i="61" s="1"/>
  <c r="D28" i="61"/>
  <c r="G28" i="61" s="1"/>
  <c r="D8" i="5"/>
  <c r="C8" i="5"/>
  <c r="A9" i="5"/>
  <c r="E8" i="61"/>
  <c r="C7" i="55"/>
  <c r="E7" i="55" s="1"/>
  <c r="C8" i="55"/>
  <c r="E8" i="55" s="1"/>
  <c r="C30" i="55"/>
  <c r="E30" i="55" s="1"/>
  <c r="C32" i="55"/>
  <c r="E32" i="55" s="1"/>
  <c r="C17" i="55"/>
  <c r="E17" i="55" s="1"/>
  <c r="C29" i="55"/>
  <c r="E29" i="55" s="1"/>
  <c r="C12" i="55"/>
  <c r="E12" i="55" s="1"/>
  <c r="C22" i="55"/>
  <c r="E22" i="55" s="1"/>
  <c r="C15" i="55"/>
  <c r="E15" i="55" s="1"/>
  <c r="C14" i="55"/>
  <c r="E14" i="55" s="1"/>
  <c r="I6" i="61"/>
  <c r="D9" i="61"/>
  <c r="D20" i="61"/>
  <c r="D21" i="61"/>
  <c r="D24" i="61"/>
  <c r="G6" i="61"/>
  <c r="D22" i="61"/>
  <c r="D12" i="61"/>
  <c r="D31" i="61"/>
  <c r="D15" i="61"/>
  <c r="D11" i="61"/>
  <c r="D23" i="61"/>
  <c r="D18" i="61"/>
  <c r="D10" i="61"/>
  <c r="D32" i="61"/>
  <c r="D29" i="61"/>
  <c r="D7" i="61"/>
  <c r="D26" i="61"/>
  <c r="D8" i="61"/>
  <c r="D14" i="61"/>
  <c r="D25" i="61"/>
  <c r="D19" i="61"/>
  <c r="D13" i="61"/>
  <c r="D17" i="61"/>
  <c r="D30" i="61"/>
  <c r="D16" i="61"/>
  <c r="D7" i="55"/>
  <c r="B8" i="55"/>
  <c r="I6" i="55" l="1"/>
  <c r="C24" i="55"/>
  <c r="E24" i="55" s="1"/>
  <c r="C31" i="55"/>
  <c r="E31" i="55" s="1"/>
  <c r="C11" i="55"/>
  <c r="E11" i="55" s="1"/>
  <c r="C23" i="55"/>
  <c r="E23" i="55" s="1"/>
  <c r="C18" i="55"/>
  <c r="E18" i="55" s="1"/>
  <c r="E16" i="52"/>
  <c r="F6" i="61"/>
  <c r="K6" i="61" s="1"/>
  <c r="C7" i="61"/>
  <c r="C16" i="55"/>
  <c r="E16" i="55" s="1"/>
  <c r="C9" i="55"/>
  <c r="E9" i="55" s="1"/>
  <c r="G6" i="55"/>
  <c r="J6" i="55" s="1"/>
  <c r="G16" i="52"/>
  <c r="I5" i="52"/>
  <c r="I16" i="52" s="1"/>
  <c r="J6" i="61"/>
  <c r="C20" i="55"/>
  <c r="E20" i="55" s="1"/>
  <c r="C28" i="55"/>
  <c r="E28" i="55" s="1"/>
  <c r="C21" i="55"/>
  <c r="E21" i="55" s="1"/>
  <c r="C27" i="55"/>
  <c r="E27" i="55" s="1"/>
  <c r="F6" i="55"/>
  <c r="K6" i="55" s="1"/>
  <c r="C26" i="55"/>
  <c r="E26" i="55" s="1"/>
  <c r="C25" i="55"/>
  <c r="E25" i="55" s="1"/>
  <c r="C19" i="55"/>
  <c r="E19" i="55" s="1"/>
  <c r="C10" i="55"/>
  <c r="E10" i="55" s="1"/>
  <c r="H6" i="61"/>
  <c r="M6" i="61" s="1"/>
  <c r="D9" i="5"/>
  <c r="C9" i="5"/>
  <c r="A10" i="5"/>
  <c r="E9" i="61"/>
  <c r="H7" i="55"/>
  <c r="G8" i="55"/>
  <c r="F8" i="55"/>
  <c r="G7" i="55"/>
  <c r="F7" i="55"/>
  <c r="G25" i="61"/>
  <c r="G31" i="61"/>
  <c r="G14" i="61"/>
  <c r="G12" i="61"/>
  <c r="G8" i="61"/>
  <c r="G22" i="61"/>
  <c r="G15" i="61"/>
  <c r="G26" i="61"/>
  <c r="G19" i="61"/>
  <c r="G7" i="61"/>
  <c r="G29" i="61"/>
  <c r="G24" i="61"/>
  <c r="G32" i="61"/>
  <c r="G21" i="61"/>
  <c r="G16" i="61"/>
  <c r="G10" i="61"/>
  <c r="G20" i="61"/>
  <c r="G30" i="61"/>
  <c r="G18" i="61"/>
  <c r="G9" i="61"/>
  <c r="G17" i="61"/>
  <c r="G23" i="61"/>
  <c r="G13" i="61"/>
  <c r="G11" i="61"/>
  <c r="D8" i="55"/>
  <c r="I8" i="55" s="1"/>
  <c r="B9" i="55"/>
  <c r="I7" i="55"/>
  <c r="F7" i="61" l="1"/>
  <c r="C8" i="61"/>
  <c r="L6" i="61"/>
  <c r="I7" i="61"/>
  <c r="J7" i="61"/>
  <c r="H7" i="61"/>
  <c r="L7" i="61" s="1"/>
  <c r="C10" i="5"/>
  <c r="A11" i="5"/>
  <c r="H8" i="55"/>
  <c r="J8" i="55"/>
  <c r="E10" i="61"/>
  <c r="K8" i="55"/>
  <c r="K7" i="55"/>
  <c r="J7" i="55"/>
  <c r="K7" i="61"/>
  <c r="F9" i="55"/>
  <c r="G9" i="55"/>
  <c r="B10" i="55"/>
  <c r="D9" i="55"/>
  <c r="M7" i="61" l="1"/>
  <c r="C9" i="61"/>
  <c r="F8" i="61"/>
  <c r="I8" i="61"/>
  <c r="H8" i="61"/>
  <c r="D11" i="5"/>
  <c r="C11" i="5"/>
  <c r="A12" i="5"/>
  <c r="E11" i="61"/>
  <c r="H9" i="55"/>
  <c r="I9" i="55"/>
  <c r="G10" i="55"/>
  <c r="B11" i="55"/>
  <c r="D10" i="55"/>
  <c r="F10" i="55"/>
  <c r="K9" i="55"/>
  <c r="J9" i="55"/>
  <c r="M8" i="61" l="1"/>
  <c r="L8" i="61"/>
  <c r="K8" i="61"/>
  <c r="J8" i="61"/>
  <c r="I9" i="61"/>
  <c r="F9" i="61"/>
  <c r="C10" i="61"/>
  <c r="H9" i="61"/>
  <c r="D12" i="5"/>
  <c r="C12" i="5"/>
  <c r="A13" i="5"/>
  <c r="E12" i="61"/>
  <c r="H10" i="55"/>
  <c r="I10" i="55"/>
  <c r="K10" i="55"/>
  <c r="J10" i="55"/>
  <c r="D11" i="55"/>
  <c r="G11" i="55"/>
  <c r="B12" i="55"/>
  <c r="B13" i="55" s="1"/>
  <c r="F11" i="55"/>
  <c r="J9" i="61" l="1"/>
  <c r="K9" i="61"/>
  <c r="I10" i="61"/>
  <c r="F10" i="61"/>
  <c r="H10" i="61"/>
  <c r="C11" i="61"/>
  <c r="M9" i="61"/>
  <c r="L9" i="61"/>
  <c r="F13" i="55"/>
  <c r="D13" i="55"/>
  <c r="D13" i="5"/>
  <c r="C13" i="5"/>
  <c r="A14" i="5"/>
  <c r="E13" i="61"/>
  <c r="F12" i="55"/>
  <c r="D12" i="55"/>
  <c r="G12" i="55"/>
  <c r="J11" i="55"/>
  <c r="K11" i="55"/>
  <c r="H11" i="55"/>
  <c r="I11" i="55"/>
  <c r="C12" i="61" l="1"/>
  <c r="F11" i="61"/>
  <c r="I11" i="61"/>
  <c r="H11" i="61"/>
  <c r="M10" i="61"/>
  <c r="L10" i="61"/>
  <c r="K10" i="61"/>
  <c r="J10" i="61"/>
  <c r="I13" i="55"/>
  <c r="H13" i="55"/>
  <c r="K12" i="55"/>
  <c r="D14" i="5"/>
  <c r="C14" i="5"/>
  <c r="A15" i="5"/>
  <c r="E14" i="61"/>
  <c r="I12" i="55"/>
  <c r="H12" i="55"/>
  <c r="B14" i="55"/>
  <c r="B6" i="39"/>
  <c r="C6" i="39"/>
  <c r="G13" i="55"/>
  <c r="J12" i="55"/>
  <c r="L11" i="61" l="1"/>
  <c r="M11" i="61"/>
  <c r="K11" i="61"/>
  <c r="J11" i="61"/>
  <c r="C13" i="61"/>
  <c r="F12" i="61"/>
  <c r="H12" i="61"/>
  <c r="I12" i="61"/>
  <c r="D6" i="39"/>
  <c r="J13" i="55"/>
  <c r="E6" i="39"/>
  <c r="D15" i="5"/>
  <c r="C15" i="5"/>
  <c r="A16" i="5"/>
  <c r="E15" i="61"/>
  <c r="B6" i="46"/>
  <c r="D6" i="46"/>
  <c r="F14" i="55"/>
  <c r="C7" i="39" s="1"/>
  <c r="G14" i="55"/>
  <c r="D7" i="39" s="1"/>
  <c r="D14" i="55"/>
  <c r="B7" i="39" s="1"/>
  <c r="B15" i="55"/>
  <c r="C6" i="46"/>
  <c r="K13" i="55"/>
  <c r="M12" i="61" l="1"/>
  <c r="L12" i="61"/>
  <c r="L13" i="55"/>
  <c r="B8" i="54" s="1"/>
  <c r="K12" i="61"/>
  <c r="J12" i="61"/>
  <c r="C14" i="61"/>
  <c r="I13" i="61"/>
  <c r="D6" i="62" s="1"/>
  <c r="H13" i="61"/>
  <c r="F13" i="61"/>
  <c r="F6" i="39"/>
  <c r="G6" i="39" s="1"/>
  <c r="G6" i="46"/>
  <c r="H6" i="46"/>
  <c r="F6" i="46"/>
  <c r="E6" i="46"/>
  <c r="D16" i="5"/>
  <c r="C16" i="5"/>
  <c r="A17" i="5"/>
  <c r="E16" i="61"/>
  <c r="K15" i="41"/>
  <c r="E7" i="39"/>
  <c r="B16" i="55"/>
  <c r="D15" i="55"/>
  <c r="B8" i="39" s="1"/>
  <c r="F15" i="55"/>
  <c r="C8" i="39" s="1"/>
  <c r="G15" i="55"/>
  <c r="D8" i="39" s="1"/>
  <c r="B7" i="46"/>
  <c r="I14" i="55"/>
  <c r="H14" i="55"/>
  <c r="D7" i="46"/>
  <c r="K14" i="55"/>
  <c r="J14" i="55"/>
  <c r="C7" i="46"/>
  <c r="B6" i="62" l="1"/>
  <c r="K13" i="61"/>
  <c r="J13" i="61"/>
  <c r="F14" i="61"/>
  <c r="C15" i="61"/>
  <c r="H14" i="61"/>
  <c r="I14" i="61"/>
  <c r="D7" i="62" s="1"/>
  <c r="C6" i="62"/>
  <c r="M13" i="61"/>
  <c r="L13" i="61"/>
  <c r="N13" i="61" s="1"/>
  <c r="J39" i="56" s="1"/>
  <c r="D8" i="54"/>
  <c r="F7" i="39"/>
  <c r="G7" i="39" s="1"/>
  <c r="J6" i="46"/>
  <c r="I6" i="46"/>
  <c r="D17" i="5"/>
  <c r="C17" i="5"/>
  <c r="A18" i="5"/>
  <c r="E17" i="61"/>
  <c r="E8" i="39"/>
  <c r="H7" i="46"/>
  <c r="E7" i="46"/>
  <c r="J7" i="46" s="1"/>
  <c r="F7" i="46"/>
  <c r="G7" i="46"/>
  <c r="L14" i="55"/>
  <c r="B9" i="54" s="1"/>
  <c r="D8" i="46"/>
  <c r="J15" i="55"/>
  <c r="K15" i="55"/>
  <c r="C8" i="46"/>
  <c r="B8" i="46"/>
  <c r="I15" i="55"/>
  <c r="H15" i="55"/>
  <c r="D16" i="55"/>
  <c r="B9" i="39" s="1"/>
  <c r="F16" i="55"/>
  <c r="C9" i="39" s="1"/>
  <c r="B17" i="55"/>
  <c r="G16" i="55"/>
  <c r="D9" i="39" s="1"/>
  <c r="G6" i="62" l="1"/>
  <c r="H6" i="62"/>
  <c r="E6" i="62"/>
  <c r="J6" i="62" s="1"/>
  <c r="F6" i="62"/>
  <c r="I6" i="62" s="1"/>
  <c r="C7" i="62"/>
  <c r="M14" i="61"/>
  <c r="L14" i="61"/>
  <c r="F15" i="61"/>
  <c r="H15" i="61"/>
  <c r="C16" i="61"/>
  <c r="I15" i="61"/>
  <c r="D8" i="62" s="1"/>
  <c r="B7" i="62"/>
  <c r="K14" i="61"/>
  <c r="J14" i="61"/>
  <c r="D9" i="54"/>
  <c r="F8" i="39"/>
  <c r="G8" i="39" s="1"/>
  <c r="C8" i="54"/>
  <c r="E8" i="54" s="1"/>
  <c r="F8" i="54" s="1"/>
  <c r="D18" i="5"/>
  <c r="C18" i="5"/>
  <c r="A19" i="5"/>
  <c r="E18" i="61"/>
  <c r="E9" i="39"/>
  <c r="I7" i="46"/>
  <c r="C9" i="46"/>
  <c r="K16" i="55"/>
  <c r="J16" i="55"/>
  <c r="B9" i="46"/>
  <c r="H16" i="55"/>
  <c r="I16" i="55"/>
  <c r="H8" i="46"/>
  <c r="F8" i="46"/>
  <c r="G8" i="46"/>
  <c r="E8" i="46"/>
  <c r="J8" i="46" s="1"/>
  <c r="G17" i="55"/>
  <c r="D10" i="39" s="1"/>
  <c r="B18" i="55"/>
  <c r="F17" i="55"/>
  <c r="C10" i="39" s="1"/>
  <c r="D17" i="55"/>
  <c r="B10" i="39" s="1"/>
  <c r="L15" i="55"/>
  <c r="B10" i="54" s="1"/>
  <c r="D9" i="46"/>
  <c r="N14" i="61" l="1"/>
  <c r="G7" i="62"/>
  <c r="H7" i="62"/>
  <c r="E7" i="62"/>
  <c r="J7" i="62" s="1"/>
  <c r="F7" i="62"/>
  <c r="I7" i="62" s="1"/>
  <c r="K39" i="56"/>
  <c r="L39" i="56" s="1"/>
  <c r="C8" i="62"/>
  <c r="L15" i="61"/>
  <c r="M15" i="61"/>
  <c r="C17" i="61"/>
  <c r="F16" i="61"/>
  <c r="H16" i="61"/>
  <c r="I16" i="61"/>
  <c r="D9" i="62" s="1"/>
  <c r="B8" i="62"/>
  <c r="K15" i="61"/>
  <c r="J15" i="61"/>
  <c r="D10" i="54"/>
  <c r="F9" i="39"/>
  <c r="G9" i="39" s="1"/>
  <c r="J16" i="41"/>
  <c r="D19" i="5"/>
  <c r="C19" i="5"/>
  <c r="A20" i="5"/>
  <c r="E19" i="61"/>
  <c r="E10" i="39"/>
  <c r="L16" i="55"/>
  <c r="B11" i="54" s="1"/>
  <c r="I8" i="46"/>
  <c r="B10" i="46"/>
  <c r="H17" i="55"/>
  <c r="I17" i="55"/>
  <c r="C10" i="46"/>
  <c r="K17" i="55"/>
  <c r="J17" i="55"/>
  <c r="B19" i="55"/>
  <c r="D18" i="55"/>
  <c r="B11" i="39" s="1"/>
  <c r="F18" i="55"/>
  <c r="C11" i="39" s="1"/>
  <c r="G18" i="55"/>
  <c r="D11" i="39" s="1"/>
  <c r="G9" i="46"/>
  <c r="E9" i="46"/>
  <c r="J9" i="46" s="1"/>
  <c r="H9" i="46"/>
  <c r="F9" i="46"/>
  <c r="D10" i="46"/>
  <c r="C9" i="62" l="1"/>
  <c r="L16" i="61"/>
  <c r="M16" i="61"/>
  <c r="F8" i="62"/>
  <c r="H8" i="62"/>
  <c r="G8" i="62"/>
  <c r="E8" i="62"/>
  <c r="J8" i="62" s="1"/>
  <c r="C8" i="56"/>
  <c r="K40" i="56"/>
  <c r="L40" i="56" s="1"/>
  <c r="B9" i="62"/>
  <c r="J16" i="61"/>
  <c r="K16" i="61"/>
  <c r="N15" i="61"/>
  <c r="F17" i="61"/>
  <c r="I17" i="61"/>
  <c r="D10" i="62" s="1"/>
  <c r="C18" i="61"/>
  <c r="H17" i="61"/>
  <c r="J40" i="56"/>
  <c r="D11" i="54"/>
  <c r="F10" i="39"/>
  <c r="G10" i="39" s="1"/>
  <c r="D20" i="5"/>
  <c r="C20" i="5"/>
  <c r="A21" i="5"/>
  <c r="E20" i="61"/>
  <c r="E11" i="39"/>
  <c r="I9" i="46"/>
  <c r="L17" i="55"/>
  <c r="B12" i="54" s="1"/>
  <c r="D19" i="55"/>
  <c r="B12" i="39" s="1"/>
  <c r="F19" i="55"/>
  <c r="C12" i="39" s="1"/>
  <c r="G19" i="55"/>
  <c r="D12" i="39" s="1"/>
  <c r="B20" i="55"/>
  <c r="B11" i="46"/>
  <c r="H18" i="55"/>
  <c r="I18" i="55"/>
  <c r="H10" i="46"/>
  <c r="F10" i="46"/>
  <c r="G10" i="46"/>
  <c r="E10" i="46"/>
  <c r="J10" i="46" s="1"/>
  <c r="D11" i="46"/>
  <c r="J18" i="55"/>
  <c r="K18" i="55"/>
  <c r="C11" i="46"/>
  <c r="J41" i="56" l="1"/>
  <c r="D8" i="56"/>
  <c r="E8" i="56" s="1"/>
  <c r="B10" i="62"/>
  <c r="J17" i="61"/>
  <c r="K17" i="61"/>
  <c r="I8" i="62"/>
  <c r="B9" i="56"/>
  <c r="C9" i="56"/>
  <c r="H18" i="61"/>
  <c r="C19" i="61"/>
  <c r="F18" i="61"/>
  <c r="I18" i="61"/>
  <c r="D11" i="62" s="1"/>
  <c r="N16" i="61"/>
  <c r="C10" i="62"/>
  <c r="M17" i="61"/>
  <c r="L17" i="61"/>
  <c r="E9" i="62"/>
  <c r="J9" i="62" s="1"/>
  <c r="F9" i="62"/>
  <c r="G9" i="62"/>
  <c r="H9" i="62"/>
  <c r="D12" i="54"/>
  <c r="F11" i="39"/>
  <c r="G11" i="39" s="1"/>
  <c r="D21" i="5"/>
  <c r="C21" i="5"/>
  <c r="A22" i="5"/>
  <c r="E21" i="61"/>
  <c r="E12" i="39"/>
  <c r="I10" i="46"/>
  <c r="L18" i="55"/>
  <c r="B13" i="54" s="1"/>
  <c r="K19" i="55"/>
  <c r="J19" i="55"/>
  <c r="C12" i="46"/>
  <c r="G11" i="46"/>
  <c r="E11" i="46"/>
  <c r="J11" i="46" s="1"/>
  <c r="F11" i="46"/>
  <c r="H11" i="46"/>
  <c r="D20" i="55"/>
  <c r="B13" i="39" s="1"/>
  <c r="B21" i="55"/>
  <c r="G20" i="55"/>
  <c r="D13" i="39" s="1"/>
  <c r="F20" i="55"/>
  <c r="C13" i="39" s="1"/>
  <c r="D12" i="46"/>
  <c r="B12" i="46"/>
  <c r="I19" i="55"/>
  <c r="H19" i="55"/>
  <c r="I19" i="61" l="1"/>
  <c r="D12" i="62" s="1"/>
  <c r="H19" i="61"/>
  <c r="F19" i="61"/>
  <c r="C20" i="61"/>
  <c r="D9" i="56"/>
  <c r="E9" i="56" s="1"/>
  <c r="K41" i="56"/>
  <c r="L41" i="56" s="1"/>
  <c r="B11" i="62"/>
  <c r="J18" i="61"/>
  <c r="K18" i="61"/>
  <c r="H10" i="62"/>
  <c r="G10" i="62"/>
  <c r="F10" i="62"/>
  <c r="I10" i="62" s="1"/>
  <c r="E10" i="62"/>
  <c r="J10" i="62" s="1"/>
  <c r="C11" i="62"/>
  <c r="M18" i="61"/>
  <c r="L18" i="61"/>
  <c r="I9" i="62"/>
  <c r="I16" i="41"/>
  <c r="K16" i="41" s="1"/>
  <c r="L16" i="41" s="1"/>
  <c r="J42" i="56"/>
  <c r="N17" i="61"/>
  <c r="D13" i="54"/>
  <c r="F12" i="39"/>
  <c r="G12" i="39" s="1"/>
  <c r="C16" i="41"/>
  <c r="D22" i="5"/>
  <c r="C22" i="5"/>
  <c r="A23" i="5"/>
  <c r="E22" i="61"/>
  <c r="E13" i="39"/>
  <c r="H12" i="46"/>
  <c r="E12" i="46"/>
  <c r="J12" i="46" s="1"/>
  <c r="G12" i="46"/>
  <c r="F12" i="46"/>
  <c r="B13" i="46"/>
  <c r="H20" i="55"/>
  <c r="I20" i="55"/>
  <c r="L19" i="55"/>
  <c r="B14" i="54" s="1"/>
  <c r="C13" i="46"/>
  <c r="J20" i="55"/>
  <c r="K20" i="55"/>
  <c r="I11" i="46"/>
  <c r="D13" i="46"/>
  <c r="G21" i="55"/>
  <c r="D14" i="39" s="1"/>
  <c r="F21" i="55"/>
  <c r="C14" i="39" s="1"/>
  <c r="B22" i="55"/>
  <c r="D21" i="55"/>
  <c r="B14" i="39" s="1"/>
  <c r="H11" i="62" l="1"/>
  <c r="E11" i="62"/>
  <c r="J11" i="62" s="1"/>
  <c r="G11" i="62"/>
  <c r="F11" i="62"/>
  <c r="I11" i="62" s="1"/>
  <c r="K43" i="56"/>
  <c r="J43" i="56"/>
  <c r="C10" i="56"/>
  <c r="B10" i="56"/>
  <c r="D10" i="56" s="1"/>
  <c r="E10" i="56" s="1"/>
  <c r="I17" i="41"/>
  <c r="F20" i="61"/>
  <c r="H20" i="61"/>
  <c r="I20" i="61"/>
  <c r="D13" i="62" s="1"/>
  <c r="C21" i="61"/>
  <c r="B12" i="62"/>
  <c r="K19" i="61"/>
  <c r="J19" i="61"/>
  <c r="K42" i="56"/>
  <c r="L42" i="56" s="1"/>
  <c r="C12" i="62"/>
  <c r="M19" i="61"/>
  <c r="L19" i="61"/>
  <c r="N19" i="61" s="1"/>
  <c r="N18" i="61"/>
  <c r="D14" i="54"/>
  <c r="F13" i="39"/>
  <c r="G13" i="39" s="1"/>
  <c r="J45" i="56"/>
  <c r="D23" i="5"/>
  <c r="C23" i="5"/>
  <c r="A24" i="5"/>
  <c r="E23" i="61"/>
  <c r="E14" i="39"/>
  <c r="I12" i="46"/>
  <c r="J21" i="55"/>
  <c r="C14" i="46"/>
  <c r="K21" i="55"/>
  <c r="B23" i="55"/>
  <c r="F22" i="55"/>
  <c r="C15" i="39" s="1"/>
  <c r="G22" i="55"/>
  <c r="D15" i="39" s="1"/>
  <c r="D22" i="55"/>
  <c r="B15" i="39" s="1"/>
  <c r="F13" i="46"/>
  <c r="G13" i="46"/>
  <c r="E13" i="46"/>
  <c r="J13" i="46" s="1"/>
  <c r="H13" i="46"/>
  <c r="B14" i="46"/>
  <c r="H21" i="55"/>
  <c r="I21" i="55"/>
  <c r="D14" i="46"/>
  <c r="L20" i="55"/>
  <c r="B15" i="54" s="1"/>
  <c r="B13" i="62" l="1"/>
  <c r="K20" i="61"/>
  <c r="J20" i="61"/>
  <c r="I18" i="41"/>
  <c r="H12" i="62"/>
  <c r="F12" i="62"/>
  <c r="G12" i="62"/>
  <c r="E12" i="62"/>
  <c r="J12" i="62" s="1"/>
  <c r="L43" i="56"/>
  <c r="B11" i="56"/>
  <c r="C11" i="56"/>
  <c r="C22" i="61"/>
  <c r="F21" i="61"/>
  <c r="I21" i="61"/>
  <c r="D14" i="62" s="1"/>
  <c r="H21" i="61"/>
  <c r="J44" i="56"/>
  <c r="K44" i="56"/>
  <c r="C13" i="62"/>
  <c r="M20" i="61"/>
  <c r="L20" i="61"/>
  <c r="N20" i="61" s="1"/>
  <c r="J46" i="56" s="1"/>
  <c r="D15" i="54"/>
  <c r="F14" i="39"/>
  <c r="G14" i="39" s="1"/>
  <c r="D24" i="5"/>
  <c r="C24" i="5"/>
  <c r="A25" i="5"/>
  <c r="E24" i="61"/>
  <c r="E15" i="39"/>
  <c r="D23" i="55"/>
  <c r="B16" i="39" s="1"/>
  <c r="G23" i="55"/>
  <c r="D16" i="39" s="1"/>
  <c r="F23" i="55"/>
  <c r="C16" i="39" s="1"/>
  <c r="B24" i="55"/>
  <c r="B15" i="46"/>
  <c r="H22" i="55"/>
  <c r="I22" i="55"/>
  <c r="I13" i="46"/>
  <c r="H14" i="46"/>
  <c r="F14" i="46"/>
  <c r="E14" i="46"/>
  <c r="J14" i="46" s="1"/>
  <c r="G14" i="46"/>
  <c r="C15" i="46"/>
  <c r="K22" i="55"/>
  <c r="J22" i="55"/>
  <c r="D15" i="46"/>
  <c r="L21" i="55"/>
  <c r="B16" i="54" s="1"/>
  <c r="I12" i="62" l="1"/>
  <c r="C14" i="62"/>
  <c r="L21" i="61"/>
  <c r="M21" i="61"/>
  <c r="B14" i="62"/>
  <c r="K21" i="61"/>
  <c r="J21" i="61"/>
  <c r="B12" i="56"/>
  <c r="C12" i="56"/>
  <c r="H13" i="62"/>
  <c r="G13" i="62"/>
  <c r="E13" i="62"/>
  <c r="J13" i="62" s="1"/>
  <c r="F13" i="62"/>
  <c r="I13" i="62" s="1"/>
  <c r="D11" i="56"/>
  <c r="E11" i="56" s="1"/>
  <c r="C23" i="61"/>
  <c r="H22" i="61"/>
  <c r="F22" i="61"/>
  <c r="I22" i="61"/>
  <c r="D15" i="62" s="1"/>
  <c r="L44" i="56"/>
  <c r="D16" i="54"/>
  <c r="F15" i="39"/>
  <c r="G15" i="39" s="1"/>
  <c r="D25" i="5"/>
  <c r="C25" i="5"/>
  <c r="A26" i="5"/>
  <c r="E25" i="61"/>
  <c r="E16" i="39"/>
  <c r="I14" i="46"/>
  <c r="G15" i="46"/>
  <c r="E15" i="46"/>
  <c r="J15" i="46" s="1"/>
  <c r="H15" i="46"/>
  <c r="F15" i="46"/>
  <c r="L22" i="55"/>
  <c r="B17" i="54" s="1"/>
  <c r="F24" i="55"/>
  <c r="C17" i="39" s="1"/>
  <c r="B25" i="55"/>
  <c r="B26" i="55" s="1"/>
  <c r="D24" i="55"/>
  <c r="B17" i="39" s="1"/>
  <c r="G24" i="55"/>
  <c r="D17" i="39" s="1"/>
  <c r="D16" i="46"/>
  <c r="K23" i="55"/>
  <c r="J23" i="55"/>
  <c r="C16" i="46"/>
  <c r="B16" i="46"/>
  <c r="H23" i="55"/>
  <c r="I23" i="55"/>
  <c r="K46" i="56" l="1"/>
  <c r="L46" i="56" s="1"/>
  <c r="I19" i="41"/>
  <c r="D12" i="56"/>
  <c r="E12" i="56" s="1"/>
  <c r="C24" i="61"/>
  <c r="F23" i="61"/>
  <c r="I23" i="61"/>
  <c r="D16" i="62" s="1"/>
  <c r="H23" i="61"/>
  <c r="C15" i="62"/>
  <c r="M22" i="61"/>
  <c r="L22" i="61"/>
  <c r="N22" i="61" s="1"/>
  <c r="J48" i="56" s="1"/>
  <c r="B13" i="56"/>
  <c r="C13" i="56"/>
  <c r="D13" i="56" s="1"/>
  <c r="E13" i="56" s="1"/>
  <c r="N21" i="61"/>
  <c r="F14" i="62"/>
  <c r="I14" i="62" s="1"/>
  <c r="H14" i="62"/>
  <c r="G14" i="62"/>
  <c r="E14" i="62"/>
  <c r="J14" i="62" s="1"/>
  <c r="B15" i="62"/>
  <c r="K22" i="61"/>
  <c r="J22" i="61"/>
  <c r="K45" i="56"/>
  <c r="L45" i="56" s="1"/>
  <c r="D17" i="54"/>
  <c r="F16" i="39"/>
  <c r="G16" i="39" s="1"/>
  <c r="E27" i="61"/>
  <c r="D26" i="55"/>
  <c r="B27" i="55"/>
  <c r="F26" i="55"/>
  <c r="G26" i="55"/>
  <c r="D26" i="5"/>
  <c r="C26" i="5"/>
  <c r="A27" i="5"/>
  <c r="E26" i="61"/>
  <c r="E17" i="39"/>
  <c r="I15" i="46"/>
  <c r="K24" i="55"/>
  <c r="C17" i="46"/>
  <c r="J24" i="55"/>
  <c r="D17" i="46"/>
  <c r="D25" i="55"/>
  <c r="B18" i="39" s="1"/>
  <c r="F25" i="55"/>
  <c r="C18" i="39" s="1"/>
  <c r="G25" i="55"/>
  <c r="D18" i="39" s="1"/>
  <c r="H16" i="46"/>
  <c r="G16" i="46"/>
  <c r="F16" i="46"/>
  <c r="E16" i="46"/>
  <c r="J16" i="46" s="1"/>
  <c r="L23" i="55"/>
  <c r="B18" i="54" s="1"/>
  <c r="B17" i="46"/>
  <c r="H24" i="55"/>
  <c r="I24" i="55"/>
  <c r="K47" i="56" l="1"/>
  <c r="C16" i="62"/>
  <c r="L23" i="61"/>
  <c r="M23" i="61"/>
  <c r="J47" i="56"/>
  <c r="L47" i="56" s="1"/>
  <c r="B16" i="62"/>
  <c r="K23" i="61"/>
  <c r="J23" i="61"/>
  <c r="B14" i="56"/>
  <c r="C14" i="56"/>
  <c r="H24" i="61"/>
  <c r="C25" i="61"/>
  <c r="F24" i="61"/>
  <c r="I24" i="61"/>
  <c r="D17" i="62" s="1"/>
  <c r="I21" i="41"/>
  <c r="F15" i="62"/>
  <c r="E15" i="62"/>
  <c r="J15" i="62" s="1"/>
  <c r="H15" i="62"/>
  <c r="G15" i="62"/>
  <c r="I20" i="41"/>
  <c r="B15" i="56"/>
  <c r="C15" i="56"/>
  <c r="D18" i="54"/>
  <c r="F17" i="39"/>
  <c r="G17" i="39" s="1"/>
  <c r="E28" i="61"/>
  <c r="D19" i="39"/>
  <c r="D19" i="46"/>
  <c r="C19" i="39"/>
  <c r="C19" i="46"/>
  <c r="K26" i="55"/>
  <c r="J26" i="55"/>
  <c r="F27" i="55"/>
  <c r="D27" i="55"/>
  <c r="G27" i="55"/>
  <c r="B19" i="39"/>
  <c r="B19" i="46"/>
  <c r="I26" i="55"/>
  <c r="H26" i="55"/>
  <c r="D27" i="5"/>
  <c r="C27" i="5"/>
  <c r="A28" i="5"/>
  <c r="E18" i="39"/>
  <c r="D18" i="46"/>
  <c r="B18" i="46"/>
  <c r="I25" i="55"/>
  <c r="H25" i="55"/>
  <c r="C18" i="46"/>
  <c r="K25" i="55"/>
  <c r="J25" i="55"/>
  <c r="H17" i="46"/>
  <c r="E17" i="46"/>
  <c r="J17" i="46" s="1"/>
  <c r="G17" i="46"/>
  <c r="F17" i="46"/>
  <c r="I16" i="46"/>
  <c r="B28" i="55"/>
  <c r="L24" i="55"/>
  <c r="B19" i="54" s="1"/>
  <c r="B17" i="62" l="1"/>
  <c r="J24" i="61"/>
  <c r="K24" i="61"/>
  <c r="D14" i="56"/>
  <c r="E14" i="56" s="1"/>
  <c r="D15" i="56"/>
  <c r="E15" i="56" s="1"/>
  <c r="C17" i="62"/>
  <c r="L24" i="61"/>
  <c r="M24" i="61"/>
  <c r="C16" i="56"/>
  <c r="B16" i="56"/>
  <c r="D16" i="56" s="1"/>
  <c r="E16" i="56" s="1"/>
  <c r="F25" i="61"/>
  <c r="C26" i="61"/>
  <c r="I25" i="61"/>
  <c r="D18" i="62" s="1"/>
  <c r="H25" i="61"/>
  <c r="N23" i="61"/>
  <c r="I15" i="62"/>
  <c r="E16" i="62"/>
  <c r="J16" i="62" s="1"/>
  <c r="F16" i="62"/>
  <c r="H16" i="62"/>
  <c r="G16" i="62"/>
  <c r="D19" i="54"/>
  <c r="F18" i="39"/>
  <c r="G18" i="39" s="1"/>
  <c r="D20" i="39"/>
  <c r="D20" i="46"/>
  <c r="C20" i="46"/>
  <c r="C20" i="39"/>
  <c r="J27" i="55"/>
  <c r="K27" i="55"/>
  <c r="B20" i="39"/>
  <c r="B20" i="46"/>
  <c r="H27" i="55"/>
  <c r="I27" i="55"/>
  <c r="L26" i="55"/>
  <c r="E19" i="46"/>
  <c r="J19" i="46" s="1"/>
  <c r="G19" i="46"/>
  <c r="H19" i="46"/>
  <c r="F19" i="46"/>
  <c r="D28" i="5"/>
  <c r="C28" i="5"/>
  <c r="A29" i="5"/>
  <c r="I24" i="41"/>
  <c r="E29" i="61"/>
  <c r="E19" i="39"/>
  <c r="L25" i="55"/>
  <c r="B20" i="54" s="1"/>
  <c r="F28" i="55"/>
  <c r="C21" i="39" s="1"/>
  <c r="B29" i="55"/>
  <c r="D28" i="55"/>
  <c r="B21" i="39" s="1"/>
  <c r="G28" i="55"/>
  <c r="D21" i="39" s="1"/>
  <c r="H18" i="46"/>
  <c r="E18" i="46"/>
  <c r="J18" i="46" s="1"/>
  <c r="G18" i="46"/>
  <c r="F18" i="46"/>
  <c r="I17" i="46"/>
  <c r="N24" i="61" l="1"/>
  <c r="C27" i="61"/>
  <c r="I26" i="61"/>
  <c r="D19" i="62" s="1"/>
  <c r="F26" i="61"/>
  <c r="H26" i="61"/>
  <c r="G17" i="62"/>
  <c r="F17" i="62"/>
  <c r="E17" i="62"/>
  <c r="J17" i="62" s="1"/>
  <c r="H17" i="62"/>
  <c r="I23" i="41"/>
  <c r="I22" i="41"/>
  <c r="K48" i="56"/>
  <c r="L48" i="56" s="1"/>
  <c r="B18" i="62"/>
  <c r="K25" i="61"/>
  <c r="J25" i="61"/>
  <c r="J49" i="56"/>
  <c r="I16" i="62"/>
  <c r="C18" i="62"/>
  <c r="M25" i="61"/>
  <c r="L25" i="61"/>
  <c r="I19" i="46"/>
  <c r="C21" i="54" s="1"/>
  <c r="D20" i="54"/>
  <c r="F19" i="39"/>
  <c r="G19" i="39" s="1"/>
  <c r="B21" i="54"/>
  <c r="L27" i="55"/>
  <c r="G20" i="46"/>
  <c r="E20" i="46"/>
  <c r="J20" i="46" s="1"/>
  <c r="H20" i="46"/>
  <c r="F20" i="46"/>
  <c r="I20" i="46" s="1"/>
  <c r="C22" i="54" s="1"/>
  <c r="D29" i="5"/>
  <c r="C29" i="5"/>
  <c r="A30" i="5"/>
  <c r="E30" i="61"/>
  <c r="E20" i="39"/>
  <c r="I18" i="46"/>
  <c r="D29" i="55"/>
  <c r="B22" i="39" s="1"/>
  <c r="F29" i="55"/>
  <c r="C22" i="39" s="1"/>
  <c r="G29" i="55"/>
  <c r="D22" i="39" s="1"/>
  <c r="B30" i="55"/>
  <c r="C21" i="46"/>
  <c r="K28" i="55"/>
  <c r="J28" i="55"/>
  <c r="D21" i="46"/>
  <c r="B21" i="46"/>
  <c r="I28" i="55"/>
  <c r="H28" i="55"/>
  <c r="N25" i="61" l="1"/>
  <c r="J51" i="56" s="1"/>
  <c r="I17" i="62"/>
  <c r="E18" i="62"/>
  <c r="J18" i="62" s="1"/>
  <c r="F18" i="62"/>
  <c r="G18" i="62"/>
  <c r="H18" i="62"/>
  <c r="B17" i="56"/>
  <c r="C17" i="56"/>
  <c r="C19" i="62"/>
  <c r="L26" i="61"/>
  <c r="M26" i="61"/>
  <c r="B19" i="62"/>
  <c r="K26" i="61"/>
  <c r="J26" i="61"/>
  <c r="K49" i="56"/>
  <c r="L49" i="56" s="1"/>
  <c r="H27" i="61"/>
  <c r="F27" i="61"/>
  <c r="I27" i="61"/>
  <c r="D20" i="62" s="1"/>
  <c r="C28" i="61"/>
  <c r="J50" i="56"/>
  <c r="D21" i="54"/>
  <c r="F20" i="39"/>
  <c r="G20" i="39" s="1"/>
  <c r="B22" i="54"/>
  <c r="D30" i="5"/>
  <c r="C30" i="5"/>
  <c r="A31" i="5"/>
  <c r="E32" i="61"/>
  <c r="E31" i="61"/>
  <c r="E21" i="39"/>
  <c r="L28" i="55"/>
  <c r="B23" i="54" s="1"/>
  <c r="G21" i="46"/>
  <c r="H21" i="46"/>
  <c r="E21" i="46"/>
  <c r="J21" i="46" s="1"/>
  <c r="F21" i="46"/>
  <c r="G30" i="55"/>
  <c r="D23" i="39" s="1"/>
  <c r="B31" i="55"/>
  <c r="D30" i="55"/>
  <c r="B23" i="39" s="1"/>
  <c r="F30" i="55"/>
  <c r="C23" i="39" s="1"/>
  <c r="D22" i="46"/>
  <c r="J29" i="55"/>
  <c r="K29" i="55"/>
  <c r="C22" i="46"/>
  <c r="B22" i="46"/>
  <c r="I29" i="55"/>
  <c r="H29" i="55"/>
  <c r="N26" i="61" l="1"/>
  <c r="H19" i="62"/>
  <c r="G19" i="62"/>
  <c r="F19" i="62"/>
  <c r="I19" i="62" s="1"/>
  <c r="E19" i="62"/>
  <c r="J19" i="62" s="1"/>
  <c r="D17" i="56"/>
  <c r="E17" i="56" s="1"/>
  <c r="L50" i="56"/>
  <c r="F28" i="61"/>
  <c r="I28" i="61"/>
  <c r="D21" i="62" s="1"/>
  <c r="C29" i="61"/>
  <c r="H28" i="61"/>
  <c r="C18" i="56"/>
  <c r="B18" i="56"/>
  <c r="D18" i="56" s="1"/>
  <c r="E18" i="56" s="1"/>
  <c r="I18" i="62"/>
  <c r="B20" i="62"/>
  <c r="J27" i="61"/>
  <c r="K27" i="61"/>
  <c r="C20" i="62"/>
  <c r="M27" i="61"/>
  <c r="L27" i="61"/>
  <c r="K50" i="56"/>
  <c r="D22" i="54"/>
  <c r="F21" i="39"/>
  <c r="G21" i="39" s="1"/>
  <c r="D31" i="5"/>
  <c r="C31" i="5"/>
  <c r="A32" i="5"/>
  <c r="E22" i="39"/>
  <c r="I21" i="46"/>
  <c r="D31" i="55"/>
  <c r="B24" i="39" s="1"/>
  <c r="G31" i="55"/>
  <c r="D24" i="39" s="1"/>
  <c r="F31" i="55"/>
  <c r="C24" i="39" s="1"/>
  <c r="B32" i="55"/>
  <c r="B23" i="46"/>
  <c r="I30" i="55"/>
  <c r="H30" i="55"/>
  <c r="D23" i="46"/>
  <c r="L29" i="55"/>
  <c r="B24" i="54" s="1"/>
  <c r="C23" i="46"/>
  <c r="J30" i="55"/>
  <c r="K30" i="55"/>
  <c r="E22" i="46"/>
  <c r="J22" i="46" s="1"/>
  <c r="H22" i="46"/>
  <c r="F22" i="46"/>
  <c r="G22" i="46"/>
  <c r="I26" i="41" l="1"/>
  <c r="L28" i="61"/>
  <c r="C21" i="62"/>
  <c r="M28" i="61"/>
  <c r="C19" i="56"/>
  <c r="B19" i="56"/>
  <c r="D19" i="56" s="1"/>
  <c r="E19" i="56" s="1"/>
  <c r="I25" i="41"/>
  <c r="I29" i="61"/>
  <c r="D22" i="62" s="1"/>
  <c r="C30" i="61"/>
  <c r="H29" i="61"/>
  <c r="F29" i="61"/>
  <c r="K28" i="61"/>
  <c r="B21" i="62"/>
  <c r="J28" i="61"/>
  <c r="N27" i="61"/>
  <c r="K52" i="56"/>
  <c r="K51" i="56"/>
  <c r="L51" i="56" s="1"/>
  <c r="H20" i="62"/>
  <c r="F20" i="62"/>
  <c r="G20" i="62"/>
  <c r="E20" i="62"/>
  <c r="J20" i="62" s="1"/>
  <c r="J52" i="56"/>
  <c r="D23" i="54"/>
  <c r="F22" i="39"/>
  <c r="G22" i="39" s="1"/>
  <c r="D32" i="5"/>
  <c r="C32" i="5"/>
  <c r="A33" i="5"/>
  <c r="E23" i="39"/>
  <c r="I22" i="46"/>
  <c r="F32" i="55"/>
  <c r="C25" i="39" s="1"/>
  <c r="G32" i="55"/>
  <c r="D25" i="39" s="1"/>
  <c r="D32" i="55"/>
  <c r="B25" i="39" s="1"/>
  <c r="D24" i="46"/>
  <c r="J31" i="55"/>
  <c r="C24" i="46"/>
  <c r="K31" i="55"/>
  <c r="L30" i="55"/>
  <c r="B25" i="54" s="1"/>
  <c r="H23" i="46"/>
  <c r="G23" i="46"/>
  <c r="E23" i="46"/>
  <c r="J23" i="46" s="1"/>
  <c r="F23" i="46"/>
  <c r="B24" i="46"/>
  <c r="H31" i="55"/>
  <c r="I31" i="55"/>
  <c r="I27" i="41" l="1"/>
  <c r="B22" i="62"/>
  <c r="J29" i="61"/>
  <c r="K29" i="61"/>
  <c r="C22" i="62"/>
  <c r="L29" i="61"/>
  <c r="M29" i="61"/>
  <c r="I20" i="62"/>
  <c r="B20" i="56"/>
  <c r="C20" i="56"/>
  <c r="H21" i="62"/>
  <c r="F21" i="62"/>
  <c r="G21" i="62"/>
  <c r="E21" i="62"/>
  <c r="J21" i="62" s="1"/>
  <c r="N28" i="61"/>
  <c r="L52" i="56"/>
  <c r="C31" i="61"/>
  <c r="H30" i="61"/>
  <c r="F30" i="61"/>
  <c r="I30" i="61"/>
  <c r="D23" i="62" s="1"/>
  <c r="J53" i="56"/>
  <c r="D24" i="54"/>
  <c r="F23" i="39"/>
  <c r="G23" i="39" s="1"/>
  <c r="D33" i="5"/>
  <c r="C33" i="5"/>
  <c r="E24" i="39"/>
  <c r="F24" i="39" s="1"/>
  <c r="G24" i="39" s="1"/>
  <c r="I23" i="46"/>
  <c r="L31" i="55"/>
  <c r="B26" i="54" s="1"/>
  <c r="B25" i="46"/>
  <c r="I32" i="55"/>
  <c r="H32" i="55"/>
  <c r="D25" i="46"/>
  <c r="J32" i="55"/>
  <c r="C25" i="46"/>
  <c r="K32" i="55"/>
  <c r="H24" i="46"/>
  <c r="E24" i="46"/>
  <c r="J24" i="46" s="1"/>
  <c r="F24" i="46"/>
  <c r="G24" i="46"/>
  <c r="N29" i="61" l="1"/>
  <c r="H22" i="62"/>
  <c r="G22" i="62"/>
  <c r="E22" i="62"/>
  <c r="J22" i="62" s="1"/>
  <c r="F22" i="62"/>
  <c r="I22" i="62" s="1"/>
  <c r="J54" i="56"/>
  <c r="I21" i="62"/>
  <c r="D20" i="56"/>
  <c r="E20" i="56" s="1"/>
  <c r="B23" i="62"/>
  <c r="K30" i="61"/>
  <c r="J30" i="61"/>
  <c r="K53" i="56"/>
  <c r="L53" i="56" s="1"/>
  <c r="C23" i="62"/>
  <c r="M30" i="61"/>
  <c r="L30" i="61"/>
  <c r="F31" i="61"/>
  <c r="H31" i="61"/>
  <c r="I31" i="61"/>
  <c r="D24" i="62" s="1"/>
  <c r="C32" i="61"/>
  <c r="B21" i="56"/>
  <c r="C21" i="56"/>
  <c r="D25" i="54"/>
  <c r="D26" i="54"/>
  <c r="A36" i="5"/>
  <c r="E25" i="39"/>
  <c r="F25" i="39" s="1"/>
  <c r="L32" i="55"/>
  <c r="B27" i="54" s="1"/>
  <c r="H25" i="46"/>
  <c r="E25" i="46"/>
  <c r="J25" i="46" s="1"/>
  <c r="J26" i="46" s="1"/>
  <c r="G25" i="46"/>
  <c r="F25" i="46"/>
  <c r="I24" i="46"/>
  <c r="B22" i="56" l="1"/>
  <c r="C22" i="56"/>
  <c r="K55" i="56"/>
  <c r="I28" i="41"/>
  <c r="K54" i="56"/>
  <c r="L54" i="56" s="1"/>
  <c r="C24" i="62"/>
  <c r="M31" i="61"/>
  <c r="L31" i="61"/>
  <c r="N31" i="61" s="1"/>
  <c r="F23" i="62"/>
  <c r="I23" i="62" s="1"/>
  <c r="H23" i="62"/>
  <c r="E23" i="62"/>
  <c r="J23" i="62" s="1"/>
  <c r="G23" i="62"/>
  <c r="H32" i="61"/>
  <c r="F32" i="61"/>
  <c r="I32" i="61"/>
  <c r="D25" i="62" s="1"/>
  <c r="B24" i="62"/>
  <c r="J31" i="61"/>
  <c r="K31" i="61"/>
  <c r="D21" i="56"/>
  <c r="E21" i="56" s="1"/>
  <c r="N30" i="61"/>
  <c r="J55" i="56"/>
  <c r="D36" i="5"/>
  <c r="C36" i="5"/>
  <c r="A37" i="5"/>
  <c r="G25" i="39"/>
  <c r="L33" i="55"/>
  <c r="I25" i="46"/>
  <c r="I26" i="46" s="1"/>
  <c r="K56" i="56" l="1"/>
  <c r="C25" i="62"/>
  <c r="M32" i="61"/>
  <c r="L32" i="61"/>
  <c r="N32" i="61" s="1"/>
  <c r="J57" i="56"/>
  <c r="G24" i="62"/>
  <c r="E24" i="62"/>
  <c r="J24" i="62" s="1"/>
  <c r="H24" i="62"/>
  <c r="F24" i="62"/>
  <c r="I24" i="62" s="1"/>
  <c r="J56" i="56"/>
  <c r="L55" i="56"/>
  <c r="I29" i="41"/>
  <c r="B23" i="56"/>
  <c r="C23" i="56"/>
  <c r="B25" i="62"/>
  <c r="J32" i="61"/>
  <c r="K32" i="61"/>
  <c r="D22" i="56"/>
  <c r="E22" i="56" s="1"/>
  <c r="D27" i="54"/>
  <c r="H26" i="39"/>
  <c r="G26" i="39"/>
  <c r="D37" i="5"/>
  <c r="C37" i="5"/>
  <c r="A38" i="5"/>
  <c r="K57" i="56" l="1"/>
  <c r="J58" i="56"/>
  <c r="O33" i="61"/>
  <c r="I30" i="41"/>
  <c r="G25" i="62"/>
  <c r="H25" i="62"/>
  <c r="F25" i="62"/>
  <c r="I25" i="62" s="1"/>
  <c r="E25" i="62"/>
  <c r="J25" i="62" s="1"/>
  <c r="L26" i="62" s="1"/>
  <c r="B24" i="56"/>
  <c r="C24" i="56"/>
  <c r="N33" i="61"/>
  <c r="D23" i="56"/>
  <c r="E23" i="56" s="1"/>
  <c r="J26" i="62"/>
  <c r="I26" i="62"/>
  <c r="L56" i="56"/>
  <c r="L57" i="56"/>
  <c r="D38" i="5"/>
  <c r="C38" i="5"/>
  <c r="A39" i="5"/>
  <c r="D24" i="56" l="1"/>
  <c r="E24" i="56" s="1"/>
  <c r="K58" i="56"/>
  <c r="L58" i="56" s="1"/>
  <c r="K26" i="62"/>
  <c r="I31" i="41"/>
  <c r="C26" i="56"/>
  <c r="B26" i="56"/>
  <c r="D26" i="56" s="1"/>
  <c r="E26" i="56" s="1"/>
  <c r="B25" i="56"/>
  <c r="C25" i="56"/>
  <c r="D39" i="5"/>
  <c r="C39" i="5"/>
  <c r="A40" i="5"/>
  <c r="I34" i="41"/>
  <c r="C27" i="56" l="1"/>
  <c r="B27" i="56"/>
  <c r="D27" i="56" s="1"/>
  <c r="E27" i="56" s="1"/>
  <c r="L59" i="56"/>
  <c r="D25" i="56"/>
  <c r="E25" i="56" s="1"/>
  <c r="I32" i="41"/>
  <c r="D40" i="5"/>
  <c r="C40" i="5"/>
  <c r="A41" i="5"/>
  <c r="C15" i="41"/>
  <c r="G7" i="27"/>
  <c r="P15" i="41"/>
  <c r="B15" i="41" s="1"/>
  <c r="C14" i="41"/>
  <c r="P14" i="41"/>
  <c r="G6" i="27"/>
  <c r="I33" i="41" l="1"/>
  <c r="D28" i="56"/>
  <c r="B2" i="56" s="1"/>
  <c r="I35" i="41"/>
  <c r="D41" i="5"/>
  <c r="C41" i="5"/>
  <c r="A42" i="5"/>
  <c r="B14" i="41"/>
  <c r="D14" i="41"/>
  <c r="E14" i="41" s="1"/>
  <c r="D15" i="41"/>
  <c r="E15" i="41" s="1"/>
  <c r="P22" i="41"/>
  <c r="B22" i="41" s="1"/>
  <c r="P23" i="41"/>
  <c r="B23" i="41" s="1"/>
  <c r="P30" i="41"/>
  <c r="B30" i="41" s="1"/>
  <c r="P33" i="41"/>
  <c r="B33" i="41" s="1"/>
  <c r="G8" i="27"/>
  <c r="P29" i="41"/>
  <c r="B29" i="41" s="1"/>
  <c r="P26" i="41"/>
  <c r="B26" i="41" s="1"/>
  <c r="P19" i="41"/>
  <c r="B19" i="41" s="1"/>
  <c r="G20" i="27"/>
  <c r="C19" i="54"/>
  <c r="P24" i="41"/>
  <c r="B24" i="41" s="1"/>
  <c r="P28" i="41"/>
  <c r="B28" i="41" s="1"/>
  <c r="P25" i="41"/>
  <c r="B25" i="41" s="1"/>
  <c r="P17" i="41"/>
  <c r="B17" i="41" s="1"/>
  <c r="P21" i="41"/>
  <c r="B21" i="41" s="1"/>
  <c r="G12" i="27"/>
  <c r="C11" i="54"/>
  <c r="G10" i="27"/>
  <c r="C9" i="54"/>
  <c r="P31" i="41"/>
  <c r="B31" i="41" s="1"/>
  <c r="G19" i="27"/>
  <c r="C18" i="54"/>
  <c r="G25" i="27"/>
  <c r="C25" i="54"/>
  <c r="P20" i="41"/>
  <c r="B20" i="41" s="1"/>
  <c r="P18" i="41"/>
  <c r="B18" i="41" s="1"/>
  <c r="P34" i="41"/>
  <c r="B34" i="41" s="1"/>
  <c r="P16" i="41"/>
  <c r="B16" i="41" s="1"/>
  <c r="C17" i="54"/>
  <c r="G18" i="27"/>
  <c r="P27" i="41"/>
  <c r="B27" i="41" s="1"/>
  <c r="G27" i="27"/>
  <c r="C27" i="54"/>
  <c r="C16" i="54"/>
  <c r="G17" i="27"/>
  <c r="G26" i="27"/>
  <c r="C26" i="54"/>
  <c r="G21" i="27"/>
  <c r="C20" i="54"/>
  <c r="P32" i="41"/>
  <c r="B32" i="41" s="1"/>
  <c r="G23" i="27"/>
  <c r="C23" i="54"/>
  <c r="G9" i="27"/>
  <c r="C24" i="54"/>
  <c r="G24" i="27"/>
  <c r="G11" i="27"/>
  <c r="C10" i="54"/>
  <c r="G16" i="27"/>
  <c r="C15" i="54"/>
  <c r="G22" i="27"/>
  <c r="G13" i="27"/>
  <c r="C12" i="54"/>
  <c r="G14" i="27"/>
  <c r="C13" i="54"/>
  <c r="P35" i="41"/>
  <c r="B35" i="41" s="1"/>
  <c r="G15" i="27"/>
  <c r="C14" i="54"/>
  <c r="E9" i="54" l="1"/>
  <c r="F9" i="54" s="1"/>
  <c r="E28" i="56"/>
  <c r="B3" i="56" s="1"/>
  <c r="L26" i="46"/>
  <c r="K26" i="46"/>
  <c r="D42" i="5"/>
  <c r="C42" i="5"/>
  <c r="A43" i="5"/>
  <c r="G28" i="27"/>
  <c r="C3" i="49"/>
  <c r="E23" i="54"/>
  <c r="F23" i="54" s="1"/>
  <c r="E27" i="54"/>
  <c r="F27" i="54" s="1"/>
  <c r="E17" i="54"/>
  <c r="F17" i="54" s="1"/>
  <c r="E25" i="54"/>
  <c r="F25" i="54" s="1"/>
  <c r="E14" i="54"/>
  <c r="F14" i="54" s="1"/>
  <c r="E19" i="54"/>
  <c r="F19" i="54" s="1"/>
  <c r="E18" i="54"/>
  <c r="F18" i="54" s="1"/>
  <c r="E24" i="54"/>
  <c r="F24" i="54" s="1"/>
  <c r="E13" i="54"/>
  <c r="F13" i="54" s="1"/>
  <c r="E22" i="54"/>
  <c r="F22" i="54" s="1"/>
  <c r="E10" i="54"/>
  <c r="E21" i="54"/>
  <c r="F21" i="54" s="1"/>
  <c r="E26" i="54"/>
  <c r="F26" i="54" s="1"/>
  <c r="E12" i="54"/>
  <c r="F12" i="54" s="1"/>
  <c r="E15" i="54"/>
  <c r="F15" i="54" s="1"/>
  <c r="E20" i="54"/>
  <c r="F20" i="54" s="1"/>
  <c r="E11" i="54"/>
  <c r="F11" i="54" s="1"/>
  <c r="E16" i="54"/>
  <c r="F16" i="54" s="1"/>
  <c r="M33" i="55"/>
  <c r="D16" i="41"/>
  <c r="J18" i="41" l="1"/>
  <c r="K18" i="41" s="1"/>
  <c r="F10" i="54"/>
  <c r="F28" i="54"/>
  <c r="J17" i="41"/>
  <c r="K17" i="41" s="1"/>
  <c r="L17" i="41" s="1"/>
  <c r="C17" i="41" s="1"/>
  <c r="L18" i="41"/>
  <c r="C18" i="41" s="1"/>
  <c r="D18" i="41" s="1"/>
  <c r="D43" i="5"/>
  <c r="C43" i="5"/>
  <c r="A44" i="5"/>
  <c r="J23" i="41"/>
  <c r="K23" i="41" s="1"/>
  <c r="J26" i="41"/>
  <c r="K26" i="41" s="1"/>
  <c r="J33" i="41"/>
  <c r="K33" i="41" s="1"/>
  <c r="J35" i="41"/>
  <c r="K35" i="41" s="1"/>
  <c r="J27" i="41"/>
  <c r="K27" i="41" s="1"/>
  <c r="J22" i="41"/>
  <c r="K22" i="41" s="1"/>
  <c r="J29" i="41"/>
  <c r="K29" i="41" s="1"/>
  <c r="J19" i="41"/>
  <c r="K19" i="41" s="1"/>
  <c r="J31" i="41"/>
  <c r="K31" i="41" s="1"/>
  <c r="J34" i="41"/>
  <c r="K34" i="41" s="1"/>
  <c r="J25" i="41"/>
  <c r="K25" i="41" s="1"/>
  <c r="J24" i="41"/>
  <c r="K24" i="41" s="1"/>
  <c r="J28" i="41"/>
  <c r="K28" i="41" s="1"/>
  <c r="J32" i="41"/>
  <c r="K32" i="41" s="1"/>
  <c r="J20" i="41"/>
  <c r="K20" i="41" s="1"/>
  <c r="J30" i="41"/>
  <c r="K30" i="41" s="1"/>
  <c r="J21" i="41"/>
  <c r="K21" i="41" s="1"/>
  <c r="E28" i="54"/>
  <c r="C2" i="54" s="1"/>
  <c r="E16" i="41"/>
  <c r="E3" i="12"/>
  <c r="L34" i="41" l="1"/>
  <c r="C34" i="41" s="1"/>
  <c r="D34" i="41" s="1"/>
  <c r="L29" i="41"/>
  <c r="C29" i="41" s="1"/>
  <c r="D29" i="41" s="1"/>
  <c r="L23" i="41"/>
  <c r="C23" i="41" s="1"/>
  <c r="D23" i="41" s="1"/>
  <c r="L31" i="41"/>
  <c r="C31" i="41" s="1"/>
  <c r="D31" i="41" s="1"/>
  <c r="L35" i="41"/>
  <c r="C35" i="41" s="1"/>
  <c r="D35" i="41" s="1"/>
  <c r="C5" i="41" s="1"/>
  <c r="L30" i="41"/>
  <c r="C30" i="41" s="1"/>
  <c r="D30" i="41" s="1"/>
  <c r="L19" i="41"/>
  <c r="L22" i="41"/>
  <c r="C22" i="41" s="1"/>
  <c r="D22" i="41" s="1"/>
  <c r="L33" i="41"/>
  <c r="C33" i="41" s="1"/>
  <c r="D33" i="41" s="1"/>
  <c r="L21" i="41"/>
  <c r="C21" i="41" s="1"/>
  <c r="D21" i="41" s="1"/>
  <c r="L24" i="41"/>
  <c r="C24" i="41" s="1"/>
  <c r="D24" i="41" s="1"/>
  <c r="L27" i="41"/>
  <c r="C27" i="41" s="1"/>
  <c r="D27" i="41" s="1"/>
  <c r="L26" i="41"/>
  <c r="C26" i="41" s="1"/>
  <c r="D26" i="41" s="1"/>
  <c r="L20" i="41"/>
  <c r="C20" i="41" s="1"/>
  <c r="D20" i="41" s="1"/>
  <c r="L32" i="41"/>
  <c r="C32" i="41" s="1"/>
  <c r="D32" i="41" s="1"/>
  <c r="L28" i="41"/>
  <c r="C28" i="41" s="1"/>
  <c r="D28" i="41" s="1"/>
  <c r="L25" i="41"/>
  <c r="C25" i="41" s="1"/>
  <c r="D25" i="41" s="1"/>
  <c r="K36" i="41"/>
  <c r="F3" i="12" s="1"/>
  <c r="D17" i="41"/>
  <c r="D44" i="5"/>
  <c r="C44" i="5"/>
  <c r="C3" i="54"/>
  <c r="L36" i="41" l="1"/>
  <c r="C4" i="41"/>
  <c r="C6" i="41"/>
  <c r="C19" i="41"/>
  <c r="E17" i="41"/>
  <c r="E18" i="41" s="1"/>
  <c r="G3" i="12"/>
  <c r="H3" i="12"/>
  <c r="D19" i="41" l="1"/>
  <c r="C36" i="41"/>
  <c r="D36" i="41" l="1"/>
  <c r="E19" i="41"/>
  <c r="E20" i="41" s="1"/>
  <c r="E21" i="41" s="1"/>
  <c r="E22" i="41" s="1"/>
  <c r="E23" i="41" s="1"/>
  <c r="E24" i="41" s="1"/>
  <c r="E25" i="41" s="1"/>
  <c r="E26" i="41" s="1"/>
  <c r="E27" i="41" s="1"/>
  <c r="E28" i="41" s="1"/>
  <c r="E29" i="41" s="1"/>
  <c r="E30" i="41" s="1"/>
  <c r="E31" i="41" s="1"/>
  <c r="E32" i="41" s="1"/>
  <c r="E33" i="41" s="1"/>
  <c r="E34" i="41" s="1"/>
  <c r="E35" i="41" s="1"/>
</calcChain>
</file>

<file path=xl/sharedStrings.xml><?xml version="1.0" encoding="utf-8"?>
<sst xmlns="http://schemas.openxmlformats.org/spreadsheetml/2006/main" count="1193" uniqueCount="460">
  <si>
    <t>Project</t>
  </si>
  <si>
    <t>Capital Costs</t>
  </si>
  <si>
    <t>Project Costs (NPV)</t>
  </si>
  <si>
    <t>Total Net Benefit</t>
  </si>
  <si>
    <t>Total Net Benefit (NPV)</t>
  </si>
  <si>
    <t>Benefit-Cost Ratio</t>
  </si>
  <si>
    <t>2022 BCA SUMMARY - MKARNS Mooring Modernization Project</t>
  </si>
  <si>
    <t>Direct User Benefits</t>
  </si>
  <si>
    <t>Benefit/Cost Ratio</t>
  </si>
  <si>
    <t>Internal Rate of Return</t>
  </si>
  <si>
    <t>Net Present Value</t>
  </si>
  <si>
    <t>Discount Rate</t>
  </si>
  <si>
    <t>Net Direct Benefits - 7% Discount</t>
  </si>
  <si>
    <t>20 Year BENEFITS</t>
  </si>
  <si>
    <t>20 Year COSTS</t>
  </si>
  <si>
    <t>Analysis Year</t>
  </si>
  <si>
    <t>Operation and Maintenance Costs</t>
  </si>
  <si>
    <t>Flood Damage</t>
  </si>
  <si>
    <t>Loss of Use</t>
  </si>
  <si>
    <t>Total</t>
  </si>
  <si>
    <t>7% Discount</t>
  </si>
  <si>
    <t>Total Costs</t>
  </si>
  <si>
    <t>Total Benefits</t>
  </si>
  <si>
    <t>Net Direct Benefits</t>
  </si>
  <si>
    <t>Cumulative</t>
  </si>
  <si>
    <t>Total Benefit</t>
  </si>
  <si>
    <t>Total Cost</t>
  </si>
  <si>
    <t>Net Present Value (NPV)</t>
  </si>
  <si>
    <t>Inflation Adjustment</t>
  </si>
  <si>
    <t>Year</t>
  </si>
  <si>
    <t>Base Year</t>
  </si>
  <si>
    <t>Multiplier</t>
  </si>
  <si>
    <t>Table A-7, 2022 BCA Guidance</t>
  </si>
  <si>
    <t>Capital Cost Calculations</t>
  </si>
  <si>
    <t>Total Project Costs (2020$)</t>
  </si>
  <si>
    <t>20 Year Costs</t>
  </si>
  <si>
    <t>Residual Value (2044$)</t>
  </si>
  <si>
    <t>Percent Project Cost Paid</t>
  </si>
  <si>
    <t>Project Cost</t>
  </si>
  <si>
    <t>Project Cost (NPV)</t>
  </si>
  <si>
    <t>Project Life (Years)</t>
  </si>
  <si>
    <t>Operations and Maintenance Costs</t>
  </si>
  <si>
    <t>Operations &amp; Maintenance Savings</t>
  </si>
  <si>
    <t>Operations &amp; Maintenance Savings (NPV)</t>
  </si>
  <si>
    <t>No Build Scenario</t>
  </si>
  <si>
    <t>Build Scenario</t>
  </si>
  <si>
    <t>Infrastructure Condition</t>
  </si>
  <si>
    <t>Mooring O&amp;M</t>
  </si>
  <si>
    <t>Poor</t>
  </si>
  <si>
    <t>N/A</t>
  </si>
  <si>
    <t>Good</t>
  </si>
  <si>
    <t>Maintenance per Pile</t>
  </si>
  <si>
    <t>Annual Cost</t>
  </si>
  <si>
    <t>Deadman Anchors</t>
  </si>
  <si>
    <t>Dolphin Structures</t>
  </si>
  <si>
    <t>Port of Muskogee</t>
  </si>
  <si>
    <t>Port of Catoosa</t>
  </si>
  <si>
    <t>Oakley's 33 - Grand River</t>
  </si>
  <si>
    <t>Source: Port Operators</t>
  </si>
  <si>
    <t>Oakley's 33</t>
  </si>
  <si>
    <t>Supplemental Project Information</t>
  </si>
  <si>
    <t>Port</t>
  </si>
  <si>
    <t>Existing</t>
  </si>
  <si>
    <t>No-Build</t>
  </si>
  <si>
    <t>Build</t>
  </si>
  <si>
    <t>Structures being Replaced</t>
  </si>
  <si>
    <t>Structure Type being Replaced</t>
  </si>
  <si>
    <t>Functional Barge Capacity</t>
  </si>
  <si>
    <t>End of Life in 2025 Dolphin Structures</t>
  </si>
  <si>
    <t>2025 Lost Capacity</t>
  </si>
  <si>
    <t>2025 Replacement Monopiles</t>
  </si>
  <si>
    <t>2025 Recovered Capacity</t>
  </si>
  <si>
    <t>Dolphin</t>
  </si>
  <si>
    <t>Oakley's Terminal Muskogee - Grand River</t>
  </si>
  <si>
    <t>Deadman</t>
  </si>
  <si>
    <t>System Capacity Percentage</t>
  </si>
  <si>
    <t>Source: Port Operators &amp; Preliminary Monopile Design Report for MKARNS Mooring Modernization Project (January, 2022)</t>
  </si>
  <si>
    <t>Replace Deadman Anchor</t>
  </si>
  <si>
    <t>Per Anchor</t>
  </si>
  <si>
    <t>Source:  Port Operators</t>
  </si>
  <si>
    <t>Flood Loss Savings - Summary</t>
  </si>
  <si>
    <t>Potential Cost Savings</t>
  </si>
  <si>
    <t>Potential Cost Savings (NPV)</t>
  </si>
  <si>
    <t>Flood Risk Reduction</t>
  </si>
  <si>
    <t>No Build Cost Potential</t>
  </si>
  <si>
    <t>Build Cost Potential</t>
  </si>
  <si>
    <t>Savings</t>
  </si>
  <si>
    <t>NPV</t>
  </si>
  <si>
    <t>Flood Risks</t>
  </si>
  <si>
    <t>US 62 Bridge</t>
  </si>
  <si>
    <t>Webber Falls Dam</t>
  </si>
  <si>
    <t>Waterway Diversion</t>
  </si>
  <si>
    <t>Annualized Risk</t>
  </si>
  <si>
    <t>Bridge Repair Costs</t>
  </si>
  <si>
    <t>Operational Costs of Detour</t>
  </si>
  <si>
    <t>Travel Time Costs of Detour</t>
  </si>
  <si>
    <t>Cost During Downtime</t>
  </si>
  <si>
    <t>Damage Potential</t>
  </si>
  <si>
    <t>Hit Probability</t>
  </si>
  <si>
    <t>Safety</t>
  </si>
  <si>
    <t>Environmental</t>
  </si>
  <si>
    <t>Risk Total</t>
  </si>
  <si>
    <t>Misc. Information</t>
  </si>
  <si>
    <t>Average Inflation Rate/Year</t>
  </si>
  <si>
    <t>US 62 Bridge Downtime (months)</t>
  </si>
  <si>
    <t>Webber Falls Dam Downtime (months)</t>
  </si>
  <si>
    <t>Average Downtime (months)</t>
  </si>
  <si>
    <t>Probability of Barge Breaking Free - Muskogee</t>
  </si>
  <si>
    <t>100 year Flood</t>
  </si>
  <si>
    <t>Odds of Barge Breaking Loose in Flood</t>
  </si>
  <si>
    <t>Odds of Barge Breaking Loose with Improved Moorings</t>
  </si>
  <si>
    <t>Cost of Loose Barge Damage</t>
  </si>
  <si>
    <t>Strike Risks</t>
  </si>
  <si>
    <t>Probability</t>
  </si>
  <si>
    <t>Notes</t>
  </si>
  <si>
    <t>Estimated Bridge Repair + Travel Time &amp; Operational Costs for closure duration (4 months)</t>
  </si>
  <si>
    <t>Webber Falls Dam &amp; Lock 16</t>
  </si>
  <si>
    <t>The 2019 barge strike was minor. The dam &amp; lock repair took 2 months. The overall river repair took 6 months.</t>
  </si>
  <si>
    <t>Source: ODOT Reported 2019 Flood Costs</t>
  </si>
  <si>
    <t>Reported Losses from 2019 Flood</t>
  </si>
  <si>
    <t>Category</t>
  </si>
  <si>
    <t>Oakley Inc</t>
  </si>
  <si>
    <t>Muskogee</t>
  </si>
  <si>
    <t>Catoosa</t>
  </si>
  <si>
    <t>Port 33</t>
  </si>
  <si>
    <t>Terminal</t>
  </si>
  <si>
    <t>Lock 16</t>
  </si>
  <si>
    <t>Infrastructure Damages</t>
  </si>
  <si>
    <t>Revenue Losses</t>
  </si>
  <si>
    <t>Additional Charges</t>
  </si>
  <si>
    <t>Commodity Losses</t>
  </si>
  <si>
    <t xml:space="preserve">Overtime Expenses </t>
  </si>
  <si>
    <t>Demurrage Charges</t>
  </si>
  <si>
    <t>Port Total</t>
  </si>
  <si>
    <t xml:space="preserve">        </t>
  </si>
  <si>
    <t>See "Flood Damage" tab for summary. Flood Safety due to damage from a loose barge strike.</t>
  </si>
  <si>
    <t>Flood Waterway Diversion</t>
  </si>
  <si>
    <t>Waterway Tons Diverted</t>
  </si>
  <si>
    <t>Waterway Ton-Miles Diverted</t>
  </si>
  <si>
    <t>Diverted Ton-Miles</t>
  </si>
  <si>
    <t>Base</t>
  </si>
  <si>
    <t>Diversion</t>
  </si>
  <si>
    <t>Increased Crash Cost</t>
  </si>
  <si>
    <t>Rail</t>
  </si>
  <si>
    <t>Truck</t>
  </si>
  <si>
    <t>Fatalitiies</t>
  </si>
  <si>
    <t>Inuries</t>
  </si>
  <si>
    <t>Assumed based on discussion with port directors that  75% of cargo would be diverted to rail and 25% to trucks.</t>
  </si>
  <si>
    <t>Waterway Ton Diversion Percentages</t>
  </si>
  <si>
    <t>Percent Rail</t>
  </si>
  <si>
    <t>Percent Truck</t>
  </si>
  <si>
    <t>Goods not moved</t>
  </si>
  <si>
    <t>Diversion estimate from Port Directors.</t>
  </si>
  <si>
    <t>Assumed 25% of diverted goods are not moved.</t>
  </si>
  <si>
    <t>Diversion Routes</t>
  </si>
  <si>
    <t>Start</t>
  </si>
  <si>
    <t>End</t>
  </si>
  <si>
    <t>Rail Provider</t>
  </si>
  <si>
    <t>Distance (miles)</t>
  </si>
  <si>
    <t>Rail (Catoosa)</t>
  </si>
  <si>
    <t>Little Rock</t>
  </si>
  <si>
    <t>Clairmore</t>
  </si>
  <si>
    <t>UP</t>
  </si>
  <si>
    <t>Estimated Route Distance</t>
  </si>
  <si>
    <t>Rail (Muskogee)</t>
  </si>
  <si>
    <t>Truck (Catoosa)</t>
  </si>
  <si>
    <t>Google Maps Distance</t>
  </si>
  <si>
    <t>Truck (Muskogee)</t>
  </si>
  <si>
    <t>Diversion is from Mississippi to Muskogee or Clairmore, to be conservative Little Rock is used.</t>
  </si>
  <si>
    <t>Increase in Waterway Traffic</t>
  </si>
  <si>
    <t>Annual Percent</t>
  </si>
  <si>
    <t>Property Damage Only Crashes</t>
  </si>
  <si>
    <t>Unit Value ($2020)</t>
  </si>
  <si>
    <t>Per Vehicle</t>
  </si>
  <si>
    <t>Source: BCA Guidance 2022 (Revised) Table A-2</t>
  </si>
  <si>
    <t>Value of Reduced Fatalities and Injuries</t>
  </si>
  <si>
    <t>KABCO Level</t>
  </si>
  <si>
    <t>Monetized Value</t>
  </si>
  <si>
    <t>O - No Injury</t>
  </si>
  <si>
    <t>C - Possible Injury</t>
  </si>
  <si>
    <t>B - Non-incapacitating</t>
  </si>
  <si>
    <t>A - Incapacitating</t>
  </si>
  <si>
    <t>K - Killed</t>
  </si>
  <si>
    <t>U - Injured (Severity Unknown)</t>
  </si>
  <si>
    <t># of Accidents Reported (Unknown if Injured)</t>
  </si>
  <si>
    <t>Source: BCA Guidance 2022 (Revised) Table A-1</t>
  </si>
  <si>
    <t>Inland Waterways</t>
  </si>
  <si>
    <t>Freight Barge and Tank Barge</t>
  </si>
  <si>
    <t>Safety Rates per ton-mile</t>
  </si>
  <si>
    <t>Internal ton-miles, Domestic Water Freight</t>
  </si>
  <si>
    <t>Fatalities</t>
  </si>
  <si>
    <t>Injuries</t>
  </si>
  <si>
    <t>Average</t>
  </si>
  <si>
    <t>https://www.bts.gov/topics/national-transportation-statistics</t>
  </si>
  <si>
    <t>Appendix D, Water Transport Profile, Safety information for 2002-2006 was the most recent five years of data available.</t>
  </si>
  <si>
    <t>Freight Rail</t>
  </si>
  <si>
    <t>Class I, Revenue ton-miles of freight</t>
  </si>
  <si>
    <t>Appendix D, Rail Transport Profile</t>
  </si>
  <si>
    <t>Section 2.E Railroad Safety, Table 2-41, Table 2-39, Table 2-40, Table 1-50</t>
  </si>
  <si>
    <t>Trucks</t>
  </si>
  <si>
    <t>Truck, ton-miles</t>
  </si>
  <si>
    <t>Appendix D, Truck Transport Profile</t>
  </si>
  <si>
    <t xml:space="preserve">Section 2.C - Table 2-23 Truck Occupant Safety Data </t>
  </si>
  <si>
    <t>https://www.fmcsa.dot.gov/safety/data-and-statistics/motor-carrier-safety-progress-reports</t>
  </si>
  <si>
    <t>See "Flood Damage" tab for summary.</t>
  </si>
  <si>
    <t>Loss of Use Diversion</t>
  </si>
  <si>
    <t>Waterway Ton-Miles</t>
  </si>
  <si>
    <t>Metric Tons</t>
  </si>
  <si>
    <t>Cost</t>
  </si>
  <si>
    <t>Co2</t>
  </si>
  <si>
    <t>NoX</t>
  </si>
  <si>
    <t>So2</t>
  </si>
  <si>
    <t>PM2.5</t>
  </si>
  <si>
    <t>Polutants</t>
  </si>
  <si>
    <t>CO2</t>
  </si>
  <si>
    <t>Assumed based on anecdotal evidence from port directors that 75% of cargo would be diverted to rail and 25% to trucks.</t>
  </si>
  <si>
    <t>Damage Costs for Pollutant Emissions</t>
  </si>
  <si>
    <t>$ / Metric Ton</t>
  </si>
  <si>
    <t>Nox</t>
  </si>
  <si>
    <t>SO2</t>
  </si>
  <si>
    <t>Source: BCA Guildelines 2022 (Revised)</t>
  </si>
  <si>
    <t>Metric Ton = 1.1015 Short Ton</t>
  </si>
  <si>
    <t>Assume Metric Ton = 1000000 grams</t>
  </si>
  <si>
    <t>Environmental Conversion Factors</t>
  </si>
  <si>
    <t>Barge</t>
  </si>
  <si>
    <t>Tons per million ton-miles</t>
  </si>
  <si>
    <t>https://www.americanwaterways.com/sites/default/files/legacy/tti/tti_study_greenhouse_gas_insert.pdf</t>
  </si>
  <si>
    <t>Metric tons per million ton-miles</t>
  </si>
  <si>
    <t>Nitrous Oxide</t>
  </si>
  <si>
    <t>lbs per thousand ton-miles</t>
  </si>
  <si>
    <t>http://www.aopoa.net/history/facts.htm</t>
  </si>
  <si>
    <t>Particulate Matter</t>
  </si>
  <si>
    <t>grams per ton-mile</t>
  </si>
  <si>
    <t>https://www.maritime.dot.gov/sites/marad.dot.gov/files/docs/resources/3711/waterworksrev.pdf</t>
  </si>
  <si>
    <t>Sulfur Dioxide</t>
  </si>
  <si>
    <t>Grams per tonne-kilometer</t>
  </si>
  <si>
    <t>https://www.oecd.org/environment/envtrade/2386636.pdf</t>
  </si>
  <si>
    <t>pg 29</t>
  </si>
  <si>
    <t>Volatile Organic Compounds</t>
  </si>
  <si>
    <t>Grams per metric ton-kilometer</t>
  </si>
  <si>
    <t>Assumed original value of C02 is in short tons</t>
  </si>
  <si>
    <t>Assume Western Rail for PM</t>
  </si>
  <si>
    <t>Assume 1 Metric Ton = 2204.62 lbs</t>
  </si>
  <si>
    <t>Took the average for all ranges in SO2 &amp; VOC</t>
  </si>
  <si>
    <t>Assume 1 Mile = 1.60934 Kilometer</t>
  </si>
  <si>
    <t>See "Flood Damage" tab.</t>
  </si>
  <si>
    <t>Travel Time Savings</t>
  </si>
  <si>
    <t>Traffic Volumes</t>
  </si>
  <si>
    <t>Vehicle Hours Traveled</t>
  </si>
  <si>
    <t>Reduction in VHT</t>
  </si>
  <si>
    <t>VHT Benefit</t>
  </si>
  <si>
    <t>Detour</t>
  </si>
  <si>
    <t>Bridge</t>
  </si>
  <si>
    <t>Passenger Vehicles</t>
  </si>
  <si>
    <t>Operational Savings</t>
  </si>
  <si>
    <t>Vehicle Miles Traveled</t>
  </si>
  <si>
    <t>Reduction in VMT</t>
  </si>
  <si>
    <t>VMT Benefit</t>
  </si>
  <si>
    <t>ADT</t>
  </si>
  <si>
    <t>Detour Route</t>
  </si>
  <si>
    <t>US 62 Bridge Route</t>
  </si>
  <si>
    <t>VHT</t>
  </si>
  <si>
    <t>VMT</t>
  </si>
  <si>
    <t>Truck VHT</t>
  </si>
  <si>
    <t>Passenger Vehicle VHT</t>
  </si>
  <si>
    <t>Truck VMT</t>
  </si>
  <si>
    <t>Passenger Vehicle VMT</t>
  </si>
  <si>
    <t>Growth Rates &amp; Truck Data</t>
  </si>
  <si>
    <t>CAGR - 2015-2043</t>
  </si>
  <si>
    <t>Truck %</t>
  </si>
  <si>
    <t>Source: ODOT</t>
  </si>
  <si>
    <t>US 62 ADT</t>
  </si>
  <si>
    <t>2015 ADT US 62 over Arkansas River</t>
  </si>
  <si>
    <t>2019 ADT US 62 over Arkansas River</t>
  </si>
  <si>
    <t>US 62 Detour Information</t>
  </si>
  <si>
    <t>Corridor Length (Mi.)</t>
  </si>
  <si>
    <t>Speed Limit (MPH)</t>
  </si>
  <si>
    <t>Travel Time (Hr.)</t>
  </si>
  <si>
    <t>Source: ODOT; Google Maps</t>
  </si>
  <si>
    <t>US 62 Bridge Information</t>
  </si>
  <si>
    <t>Value of Time</t>
  </si>
  <si>
    <t>Passenger Vehicle</t>
  </si>
  <si>
    <t>Source: BCA Guidance 2022 (Revised)</t>
  </si>
  <si>
    <t>Operating Cost</t>
  </si>
  <si>
    <t>Per-Mile Truck</t>
  </si>
  <si>
    <t>Per-Mile Two-Axle</t>
  </si>
  <si>
    <t>Environmental Cost Savings - Summary</t>
  </si>
  <si>
    <t>Total Loss of Use Benefit</t>
  </si>
  <si>
    <t>Total Loss of Use Benefit NPV</t>
  </si>
  <si>
    <t>Loss of Use Summary</t>
  </si>
  <si>
    <t>Environmental Protection</t>
  </si>
  <si>
    <t>Economic Spillage</t>
  </si>
  <si>
    <t>Existing mooring structures slated for replacement will become unusable beginning in 2025 therefore that is when the loss of use begins.</t>
  </si>
  <si>
    <t>Goods Using At Risk Moorings (Tons)</t>
  </si>
  <si>
    <t>Tons</t>
  </si>
  <si>
    <t>Ton-Miles</t>
  </si>
  <si>
    <t>Value</t>
  </si>
  <si>
    <t>Catoosa Dolphins Liquid Tons</t>
  </si>
  <si>
    <t>Muskogee Dolphin Line</t>
  </si>
  <si>
    <t>Total (M)</t>
  </si>
  <si>
    <t>Moorings End of Life</t>
  </si>
  <si>
    <t>Number</t>
  </si>
  <si>
    <t>End of Life</t>
  </si>
  <si>
    <t>Capacity Reduction</t>
  </si>
  <si>
    <t>Catoosa Liquid Dolphins</t>
  </si>
  <si>
    <t>Source: USACE Port Critical Maintenance</t>
  </si>
  <si>
    <t>Only main Wharf is Available. No moorings in Grand.</t>
  </si>
  <si>
    <t>See "Loss of Use" tab for summary.</t>
  </si>
  <si>
    <t>Loss of Use - Safety</t>
  </si>
  <si>
    <t>Unit Value ($2019)</t>
  </si>
  <si>
    <t>Section 2.C - Table 2-23 Truck Occupant Safety Data, Table 1-50</t>
  </si>
  <si>
    <t>Loss of Use Diversion - Environmental</t>
  </si>
  <si>
    <t>Assumed based on anecdotal evidence from port directors that  75% of cargo would be diverted to rail and 25% to trucks.</t>
  </si>
  <si>
    <t>Diversion Spillage</t>
  </si>
  <si>
    <t>Spillage (Gallons)</t>
  </si>
  <si>
    <t>Spillage (Tons)</t>
  </si>
  <si>
    <t>Lost Good</t>
  </si>
  <si>
    <t>Assumes products weigh the same as water, 8.34 lbs.</t>
  </si>
  <si>
    <t>Spillage Rate</t>
  </si>
  <si>
    <t>Gallons/million ton-mile</t>
  </si>
  <si>
    <t>Source: National Waterways Foundation, Waterways: Better for the Environment, Better for Communities - January 2022</t>
  </si>
  <si>
    <t>http://www.nationalwaterwaysfoundation.org/NWF_2110662_PowerPointPresentation_FINAL_Smlcompressed.pptx</t>
  </si>
  <si>
    <t>Tonnage Information in OK Portion (2020)</t>
  </si>
  <si>
    <t>Commodity</t>
  </si>
  <si>
    <t>Value/Ton</t>
  </si>
  <si>
    <t>Iron/Steel</t>
  </si>
  <si>
    <t>Fertilizer</t>
  </si>
  <si>
    <t>Chemicals (Other)</t>
  </si>
  <si>
    <t>Petroleum</t>
  </si>
  <si>
    <t>Aggregates</t>
  </si>
  <si>
    <t>Coke &amp; Coal</t>
  </si>
  <si>
    <t>Minerals/Building Materials</t>
  </si>
  <si>
    <t>Food/Farm Products</t>
  </si>
  <si>
    <t>Wheat</t>
  </si>
  <si>
    <t>Equipment / Machinery</t>
  </si>
  <si>
    <t>Soybeans</t>
  </si>
  <si>
    <t>Source: ODOT 2020 Freight &amp; Goods Movement</t>
  </si>
  <si>
    <t>https://oklahoma.gov/content/dam/ok/en/odot/publications/21_FG_Publication.pdf</t>
  </si>
  <si>
    <t>Assumes all tonnage comes from the Mississippi River per port operations.</t>
  </si>
  <si>
    <t>Average Value per Ton</t>
  </si>
  <si>
    <t>MKARNS Goods Movement Information</t>
  </si>
  <si>
    <t>Tonnage Information Port of Muskogee</t>
  </si>
  <si>
    <t>2018 Tonnages</t>
  </si>
  <si>
    <t>2019 Tonnages</t>
  </si>
  <si>
    <t>2020 Tonnages</t>
  </si>
  <si>
    <t>2021 Tonnages</t>
  </si>
  <si>
    <t>% Ton</t>
  </si>
  <si>
    <t>Asphalt</t>
  </si>
  <si>
    <t>-</t>
  </si>
  <si>
    <t xml:space="preserve">Argentine Coke </t>
  </si>
  <si>
    <t>Barite</t>
  </si>
  <si>
    <t>Beams</t>
  </si>
  <si>
    <t>Calcine Coke</t>
  </si>
  <si>
    <t>Chemour Coke</t>
  </si>
  <si>
    <t>Clay</t>
  </si>
  <si>
    <t>Coal</t>
  </si>
  <si>
    <t>Feldspar</t>
  </si>
  <si>
    <t>Fly Ash</t>
  </si>
  <si>
    <t>Molasses</t>
  </si>
  <si>
    <t>Nepheline Syenite</t>
  </si>
  <si>
    <t>Pipe</t>
  </si>
  <si>
    <t>Potash</t>
  </si>
  <si>
    <t>Rebar</t>
  </si>
  <si>
    <t>Scrap Steel</t>
  </si>
  <si>
    <t>Steel Coils</t>
  </si>
  <si>
    <t>Steel Plate</t>
  </si>
  <si>
    <t>Sugar</t>
  </si>
  <si>
    <t>Wire Rod Coils</t>
  </si>
  <si>
    <t>Zircon Sand</t>
  </si>
  <si>
    <t>Total Tonnage</t>
  </si>
  <si>
    <t>Source: ODOT: Port of Muskogee</t>
  </si>
  <si>
    <t>https://www.muskogeeport.com/reports/</t>
  </si>
  <si>
    <t>Tonnage Information Port of Catoosa</t>
  </si>
  <si>
    <t>Inbound Tonnage</t>
  </si>
  <si>
    <t>Watco - Steel/Pipe</t>
  </si>
  <si>
    <t>Tuloma - Steel/Pipe</t>
  </si>
  <si>
    <t>Low Water Warf - Misc.</t>
  </si>
  <si>
    <t>Bayou - Steel/Pipe</t>
  </si>
  <si>
    <t>Watco - Mfg</t>
  </si>
  <si>
    <t>Tuloma - Mfg</t>
  </si>
  <si>
    <t>Gavilon Fert - Fertilizer</t>
  </si>
  <si>
    <t>Gavilon Fert - Potash/Salt</t>
  </si>
  <si>
    <t>Gavilon Grain (LWW) - Salt</t>
  </si>
  <si>
    <t>Gavilon Grain (East) - Salt</t>
  </si>
  <si>
    <t>Gavilon Grain (East) - Fertilizer</t>
  </si>
  <si>
    <t>Low Water Warf - Misc. Grain</t>
  </si>
  <si>
    <t>Debruce - Misc. Grain</t>
  </si>
  <si>
    <t xml:space="preserve">Benntag SW - Caustic Soda </t>
  </si>
  <si>
    <t>Safety Kleen/BKEP/Nu-Star - Asphalt</t>
  </si>
  <si>
    <t>Westway - Liquif Fertilizer</t>
  </si>
  <si>
    <t>Westway Trading - Molasses</t>
  </si>
  <si>
    <t>SemMaterials - Refined Petroleum</t>
  </si>
  <si>
    <t>Westway Trading - Caustic Soda</t>
  </si>
  <si>
    <t>Safety Kleen - Misc.</t>
  </si>
  <si>
    <t>Westway - Calcium Chloride</t>
  </si>
  <si>
    <t>Outbound Tonnage</t>
  </si>
  <si>
    <t>Watco- Steel</t>
  </si>
  <si>
    <t>Tuloma - Steel</t>
  </si>
  <si>
    <t>Gavilon Grain - Gypsum</t>
  </si>
  <si>
    <t>Gavilon Fert - Gypsum</t>
  </si>
  <si>
    <t>Gavilon Fert - Salt</t>
  </si>
  <si>
    <t>Gavilon Grain (West) - Wheat</t>
  </si>
  <si>
    <t>Gavilon Grain (East) - Wheat</t>
  </si>
  <si>
    <t>Gavilon Grain (West) - Soy Products</t>
  </si>
  <si>
    <t>Gavilon Grain (East) - Soy Products</t>
  </si>
  <si>
    <t>Gavilon Grain (West) - Misc. Grain Prod</t>
  </si>
  <si>
    <t>Gavilon Grain (East) - Misc. Grain Prod</t>
  </si>
  <si>
    <t>Terra Nitrogen - Ammonia</t>
  </si>
  <si>
    <t>Terra Nitrogen - Liq. Fert.</t>
  </si>
  <si>
    <t>Safety Kleen/BKEP - Misc.</t>
  </si>
  <si>
    <t>Safety Kleen/BKEP/Petro Source - Ref. Petro</t>
  </si>
  <si>
    <t>Safety Kleen/Holly - Asphalt</t>
  </si>
  <si>
    <t>Petro Source/Safety Kleen - UnRef. Petro Crude</t>
  </si>
  <si>
    <t>Nustar - Asphalt</t>
  </si>
  <si>
    <t>Source: ODOT: Port of Catoosa</t>
  </si>
  <si>
    <t>https://tulsaports.com/wp-content/uploads/2019/01/18TPC_2018-Tonnage-Report.pdf</t>
  </si>
  <si>
    <t>Tonnage Information Oakley's Port 33</t>
  </si>
  <si>
    <t>Bulk</t>
  </si>
  <si>
    <t>Bauxite</t>
  </si>
  <si>
    <t>Calcined Coke</t>
  </si>
  <si>
    <t>Coke</t>
  </si>
  <si>
    <t>Cookie Meal</t>
  </si>
  <si>
    <t>Copper Slag</t>
  </si>
  <si>
    <t>Foundry 310F Grade Pig Iron</t>
  </si>
  <si>
    <t>Hard Red Winter Wheat</t>
  </si>
  <si>
    <t>Lightweight Aggregate</t>
  </si>
  <si>
    <t>Milo</t>
  </si>
  <si>
    <t>Nodular 050N Grade Pig Iron</t>
  </si>
  <si>
    <t>Nodular NS50 Grade Pig Iron</t>
  </si>
  <si>
    <t>Pig Iron</t>
  </si>
  <si>
    <t>Raw Coke</t>
  </si>
  <si>
    <t>Rock Salt</t>
  </si>
  <si>
    <t>Sintered Bauxite</t>
  </si>
  <si>
    <t>Slag</t>
  </si>
  <si>
    <t>Super U Urea</t>
  </si>
  <si>
    <t>Ammonium Sulfate 20.5-0-0-23.5</t>
  </si>
  <si>
    <t>Corplex 12-40-0</t>
  </si>
  <si>
    <t>Dap 18-46-0</t>
  </si>
  <si>
    <t>Map 11-52-0</t>
  </si>
  <si>
    <t>NPSZ 12-40-0-7S-1ZN</t>
  </si>
  <si>
    <t>NPSZ 12-45-0-5S+1ZN</t>
  </si>
  <si>
    <t>Potash/Gran 0-0-60</t>
  </si>
  <si>
    <t>Prill Amm Nitr 34-0-0</t>
  </si>
  <si>
    <t>Prilled Urea 46-0-0</t>
  </si>
  <si>
    <t>Superu (R)</t>
  </si>
  <si>
    <t>Turf Area</t>
  </si>
  <si>
    <t>Urea/Gran</t>
  </si>
  <si>
    <t>Source: Port Partners Offical Tonnages</t>
  </si>
  <si>
    <t>Oklahoma River Miles</t>
  </si>
  <si>
    <t>Mile Marker</t>
  </si>
  <si>
    <t>Oklahoma State Border</t>
  </si>
  <si>
    <t>Oakley's 33 - Main</t>
  </si>
  <si>
    <t>OK Average River Miles</t>
  </si>
  <si>
    <t>Average River Miles</t>
  </si>
  <si>
    <t>https://oklahoma.gov/content/dam/ok/en/odot/documents/waterway/pdfs/ww-oklahoma-ports.pdf</t>
  </si>
  <si>
    <t>2021 Tonnage Report</t>
  </si>
  <si>
    <t>Inbound Catoosa</t>
  </si>
  <si>
    <t>Outbound Catoosa</t>
  </si>
  <si>
    <t>Oakleys Port 33</t>
  </si>
  <si>
    <t>Source: Port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</si>
</sst>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  <numFmt numFmtId="168" formatCode="_(* #,##0.0_);_(* \(#,##0.0\);_(* &quot;-&quot;??_);_(@_)"/>
    <numFmt numFmtId="169" formatCode="#,##0.0"/>
    <numFmt numFmtId="170" formatCode="_(&quot;$&quot;* #,##0_);[Red]_(&quot;$&quot;* \(#,##0\);_(&quot;$&quot;* &quot;-&quot;??_);_(@_)"/>
    <numFmt numFmtId="171" formatCode="_(&quot;$&quot;* #,##0.00_);[Red]_(&quot;$&quot;* \(#,##0.00\);_(&quot;$&quot;* &quot;-&quot;??_);_(@_)"/>
    <numFmt numFmtId="172" formatCode="#,##0.0000000000000_);\(#,##0.0000000000000\)"/>
    <numFmt numFmtId="173" formatCode="0.000"/>
    <numFmt numFmtId="174" formatCode="0.0"/>
    <numFmt numFmtId="175" formatCode="0.0%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rgb="FFFF000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6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b/>
      <sz val="16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8"/>
      <name val="Arial Narrow"/>
      <family val="2"/>
    </font>
    <font>
      <u/>
      <sz val="10"/>
      <color theme="10"/>
      <name val="Arial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0"/>
      <name val="Arial Narrow"/>
      <family val="2"/>
    </font>
    <font>
      <sz val="10"/>
      <color theme="0"/>
      <name val="Arial"/>
      <family val="2"/>
    </font>
    <font>
      <i/>
      <sz val="10"/>
      <name val="Arial Narrow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5E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39">
    <xf numFmtId="0" fontId="0" fillId="0" borderId="0"/>
    <xf numFmtId="0" fontId="11" fillId="0" borderId="0" applyNumberFormat="0" applyAlignment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38" fontId="11" fillId="2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0" fontId="11" fillId="3" borderId="3" applyNumberFormat="0" applyBorder="0" applyAlignment="0" applyProtection="0"/>
    <xf numFmtId="164" fontId="10" fillId="0" borderId="0"/>
    <xf numFmtId="0" fontId="10" fillId="0" borderId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2">
    <xf numFmtId="0" fontId="0" fillId="0" borderId="0" xfId="0"/>
    <xf numFmtId="0" fontId="20" fillId="7" borderId="6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4" fillId="7" borderId="6" xfId="9" applyFont="1" applyFill="1" applyBorder="1" applyAlignment="1">
      <alignment horizontal="center" vertical="center"/>
    </xf>
    <xf numFmtId="2" fontId="25" fillId="0" borderId="5" xfId="9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/>
    </xf>
    <xf numFmtId="3" fontId="18" fillId="5" borderId="17" xfId="0" applyNumberFormat="1" applyFont="1" applyFill="1" applyBorder="1" applyAlignment="1">
      <alignment horizontal="center"/>
    </xf>
    <xf numFmtId="9" fontId="18" fillId="0" borderId="15" xfId="10" applyFont="1" applyFill="1" applyBorder="1" applyAlignment="1">
      <alignment horizontal="center"/>
    </xf>
    <xf numFmtId="0" fontId="18" fillId="4" borderId="3" xfId="3" applyNumberFormat="1" applyFont="1" applyFill="1" applyBorder="1" applyAlignment="1">
      <alignment horizontal="right"/>
    </xf>
    <xf numFmtId="9" fontId="19" fillId="0" borderId="5" xfId="0" applyNumberFormat="1" applyFont="1" applyBorder="1" applyAlignment="1">
      <alignment horizontal="center"/>
    </xf>
    <xf numFmtId="9" fontId="18" fillId="0" borderId="3" xfId="10" applyFont="1" applyFill="1" applyBorder="1"/>
    <xf numFmtId="3" fontId="18" fillId="0" borderId="25" xfId="0" applyNumberFormat="1" applyFont="1" applyBorder="1" applyAlignment="1">
      <alignment horizontal="center"/>
    </xf>
    <xf numFmtId="3" fontId="18" fillId="5" borderId="25" xfId="0" applyNumberFormat="1" applyFont="1" applyFill="1" applyBorder="1" applyAlignment="1">
      <alignment horizontal="center"/>
    </xf>
    <xf numFmtId="9" fontId="18" fillId="0" borderId="25" xfId="10" applyFont="1" applyFill="1" applyBorder="1" applyAlignment="1">
      <alignment horizontal="center"/>
    </xf>
    <xf numFmtId="0" fontId="19" fillId="8" borderId="3" xfId="13" applyFont="1" applyFill="1" applyBorder="1"/>
    <xf numFmtId="10" fontId="27" fillId="6" borderId="3" xfId="13" applyNumberFormat="1" applyFont="1" applyFill="1" applyBorder="1" applyAlignment="1">
      <alignment horizontal="center"/>
    </xf>
    <xf numFmtId="40" fontId="31" fillId="6" borderId="3" xfId="13" applyNumberFormat="1" applyFont="1" applyFill="1" applyBorder="1" applyAlignment="1">
      <alignment horizontal="center"/>
    </xf>
    <xf numFmtId="0" fontId="0" fillId="9" borderId="0" xfId="0" applyFill="1"/>
    <xf numFmtId="0" fontId="19" fillId="8" borderId="15" xfId="0" applyFont="1" applyFill="1" applyBorder="1" applyAlignment="1">
      <alignment horizontal="center"/>
    </xf>
    <xf numFmtId="0" fontId="18" fillId="9" borderId="0" xfId="13" applyFont="1" applyFill="1" applyAlignment="1">
      <alignment horizontal="center"/>
    </xf>
    <xf numFmtId="9" fontId="18" fillId="9" borderId="0" xfId="13" applyNumberFormat="1" applyFont="1" applyFill="1" applyAlignment="1">
      <alignment horizontal="center" vertical="center"/>
    </xf>
    <xf numFmtId="0" fontId="18" fillId="9" borderId="0" xfId="13" applyFont="1" applyFill="1" applyAlignment="1">
      <alignment horizontal="center" vertical="center"/>
    </xf>
    <xf numFmtId="3" fontId="18" fillId="9" borderId="0" xfId="13" applyNumberFormat="1" applyFont="1" applyFill="1" applyAlignment="1">
      <alignment horizontal="center"/>
    </xf>
    <xf numFmtId="0" fontId="18" fillId="9" borderId="0" xfId="13" applyFont="1" applyFill="1"/>
    <xf numFmtId="0" fontId="19" fillId="9" borderId="0" xfId="13" applyFont="1" applyFill="1" applyAlignment="1">
      <alignment horizontal="center"/>
    </xf>
    <xf numFmtId="0" fontId="21" fillId="9" borderId="0" xfId="13" applyFont="1" applyFill="1" applyAlignment="1">
      <alignment horizontal="center"/>
    </xf>
    <xf numFmtId="0" fontId="28" fillId="9" borderId="0" xfId="0" applyFont="1" applyFill="1"/>
    <xf numFmtId="0" fontId="18" fillId="9" borderId="0" xfId="0" applyFont="1" applyFill="1"/>
    <xf numFmtId="0" fontId="26" fillId="9" borderId="0" xfId="0" applyFont="1" applyFill="1"/>
    <xf numFmtId="0" fontId="12" fillId="9" borderId="0" xfId="0" applyFont="1" applyFill="1"/>
    <xf numFmtId="0" fontId="19" fillId="9" borderId="0" xfId="0" applyFont="1" applyFill="1" applyAlignment="1">
      <alignment horizontal="left"/>
    </xf>
    <xf numFmtId="0" fontId="19" fillId="9" borderId="0" xfId="0" applyFont="1" applyFill="1" applyAlignment="1">
      <alignment horizontal="left" wrapText="1"/>
    </xf>
    <xf numFmtId="0" fontId="10" fillId="9" borderId="0" xfId="0" applyFont="1" applyFill="1"/>
    <xf numFmtId="3" fontId="18" fillId="9" borderId="0" xfId="0" applyNumberFormat="1" applyFont="1" applyFill="1"/>
    <xf numFmtId="0" fontId="21" fillId="9" borderId="0" xfId="0" applyFont="1" applyFill="1" applyAlignment="1">
      <alignment horizontal="center"/>
    </xf>
    <xf numFmtId="0" fontId="26" fillId="9" borderId="0" xfId="13" applyFont="1" applyFill="1"/>
    <xf numFmtId="0" fontId="16" fillId="9" borderId="0" xfId="0" applyFont="1" applyFill="1"/>
    <xf numFmtId="14" fontId="17" fillId="9" borderId="0" xfId="0" applyNumberFormat="1" applyFont="1" applyFill="1"/>
    <xf numFmtId="0" fontId="13" fillId="9" borderId="0" xfId="5" applyFill="1" applyBorder="1" applyAlignment="1"/>
    <xf numFmtId="166" fontId="27" fillId="9" borderId="0" xfId="13" applyNumberFormat="1" applyFont="1" applyFill="1" applyAlignment="1">
      <alignment vertical="center" wrapText="1"/>
    </xf>
    <xf numFmtId="0" fontId="27" fillId="9" borderId="0" xfId="13" applyFont="1" applyFill="1" applyAlignment="1">
      <alignment vertical="center" wrapText="1"/>
    </xf>
    <xf numFmtId="0" fontId="19" fillId="8" borderId="17" xfId="0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/>
    </xf>
    <xf numFmtId="6" fontId="23" fillId="8" borderId="5" xfId="0" applyNumberFormat="1" applyFont="1" applyFill="1" applyBorder="1" applyAlignment="1">
      <alignment horizontal="right"/>
    </xf>
    <xf numFmtId="0" fontId="19" fillId="8" borderId="25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left" wrapText="1"/>
    </xf>
    <xf numFmtId="0" fontId="19" fillId="8" borderId="13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29" fillId="9" borderId="0" xfId="13" applyFont="1" applyFill="1"/>
    <xf numFmtId="0" fontId="19" fillId="8" borderId="15" xfId="0" applyFont="1" applyFill="1" applyBorder="1" applyAlignment="1">
      <alignment horizontal="center" vertical="center" wrapText="1"/>
    </xf>
    <xf numFmtId="0" fontId="35" fillId="0" borderId="15" xfId="31" applyFont="1" applyBorder="1" applyAlignment="1">
      <alignment horizontal="center"/>
    </xf>
    <xf numFmtId="0" fontId="3" fillId="9" borderId="0" xfId="31" applyFill="1"/>
    <xf numFmtId="0" fontId="34" fillId="9" borderId="0" xfId="31" applyFont="1" applyFill="1"/>
    <xf numFmtId="2" fontId="0" fillId="9" borderId="0" xfId="33" applyNumberFormat="1" applyFont="1" applyFill="1"/>
    <xf numFmtId="0" fontId="20" fillId="7" borderId="9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3" xfId="13" applyFont="1" applyFill="1" applyBorder="1" applyAlignment="1">
      <alignment horizontal="center"/>
    </xf>
    <xf numFmtId="0" fontId="20" fillId="7" borderId="27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left" vertical="center" wrapText="1"/>
    </xf>
    <xf numFmtId="0" fontId="18" fillId="6" borderId="3" xfId="13" applyFont="1" applyFill="1" applyBorder="1" applyAlignment="1">
      <alignment horizontal="center"/>
    </xf>
    <xf numFmtId="0" fontId="36" fillId="9" borderId="0" xfId="13" applyFont="1" applyFill="1"/>
    <xf numFmtId="0" fontId="37" fillId="0" borderId="0" xfId="36"/>
    <xf numFmtId="0" fontId="18" fillId="8" borderId="3" xfId="13" applyFont="1" applyFill="1" applyBorder="1"/>
    <xf numFmtId="0" fontId="18" fillId="8" borderId="6" xfId="13" applyFont="1" applyFill="1" applyBorder="1"/>
    <xf numFmtId="167" fontId="18" fillId="6" borderId="3" xfId="2" applyNumberFormat="1" applyFont="1" applyFill="1" applyBorder="1" applyAlignment="1"/>
    <xf numFmtId="167" fontId="18" fillId="6" borderId="6" xfId="2" applyNumberFormat="1" applyFont="1" applyFill="1" applyBorder="1" applyAlignment="1"/>
    <xf numFmtId="0" fontId="20" fillId="9" borderId="0" xfId="13" applyFont="1" applyFill="1"/>
    <xf numFmtId="168" fontId="18" fillId="6" borderId="3" xfId="2" applyNumberFormat="1" applyFont="1" applyFill="1" applyBorder="1" applyAlignment="1">
      <alignment horizontal="center"/>
    </xf>
    <xf numFmtId="167" fontId="18" fillId="6" borderId="3" xfId="2" applyNumberFormat="1" applyFont="1" applyFill="1" applyBorder="1" applyAlignment="1">
      <alignment horizontal="center"/>
    </xf>
    <xf numFmtId="167" fontId="18" fillId="6" borderId="5" xfId="2" applyNumberFormat="1" applyFont="1" applyFill="1" applyBorder="1" applyAlignment="1">
      <alignment horizontal="center"/>
    </xf>
    <xf numFmtId="0" fontId="19" fillId="8" borderId="6" xfId="13" applyFont="1" applyFill="1" applyBorder="1"/>
    <xf numFmtId="167" fontId="18" fillId="6" borderId="6" xfId="2" applyNumberFormat="1" applyFont="1" applyFill="1" applyBorder="1" applyAlignment="1">
      <alignment horizontal="center"/>
    </xf>
    <xf numFmtId="168" fontId="18" fillId="6" borderId="6" xfId="2" applyNumberFormat="1" applyFont="1" applyFill="1" applyBorder="1" applyAlignment="1">
      <alignment horizontal="center"/>
    </xf>
    <xf numFmtId="167" fontId="18" fillId="6" borderId="12" xfId="2" applyNumberFormat="1" applyFont="1" applyFill="1" applyBorder="1" applyAlignment="1"/>
    <xf numFmtId="1" fontId="23" fillId="0" borderId="3" xfId="32" applyNumberFormat="1" applyFont="1" applyBorder="1" applyAlignment="1">
      <alignment horizontal="center" vertical="center"/>
    </xf>
    <xf numFmtId="0" fontId="19" fillId="9" borderId="0" xfId="0" applyFont="1" applyFill="1" applyAlignment="1">
      <alignment horizontal="right"/>
    </xf>
    <xf numFmtId="6" fontId="19" fillId="9" borderId="0" xfId="0" applyNumberFormat="1" applyFont="1" applyFill="1"/>
    <xf numFmtId="9" fontId="23" fillId="0" borderId="9" xfId="10" applyFont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168" fontId="19" fillId="6" borderId="5" xfId="2" applyNumberFormat="1" applyFont="1" applyFill="1" applyBorder="1" applyAlignment="1">
      <alignment horizontal="center"/>
    </xf>
    <xf numFmtId="168" fontId="19" fillId="6" borderId="3" xfId="2" applyNumberFormat="1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/>
    </xf>
    <xf numFmtId="170" fontId="18" fillId="0" borderId="17" xfId="3" applyNumberFormat="1" applyFont="1" applyFill="1" applyBorder="1" applyAlignment="1"/>
    <xf numFmtId="170" fontId="18" fillId="5" borderId="17" xfId="3" applyNumberFormat="1" applyFont="1" applyFill="1" applyBorder="1" applyAlignment="1"/>
    <xf numFmtId="170" fontId="18" fillId="0" borderId="25" xfId="3" applyNumberFormat="1" applyFont="1" applyFill="1" applyBorder="1" applyAlignment="1"/>
    <xf numFmtId="170" fontId="18" fillId="5" borderId="25" xfId="3" applyNumberFormat="1" applyFont="1" applyFill="1" applyBorder="1" applyAlignment="1"/>
    <xf numFmtId="170" fontId="18" fillId="0" borderId="5" xfId="3" applyNumberFormat="1" applyFont="1" applyFill="1" applyBorder="1" applyAlignment="1"/>
    <xf numFmtId="170" fontId="18" fillId="5" borderId="5" xfId="3" applyNumberFormat="1" applyFont="1" applyFill="1" applyBorder="1" applyAlignment="1"/>
    <xf numFmtId="170" fontId="22" fillId="5" borderId="5" xfId="0" applyNumberFormat="1" applyFont="1" applyFill="1" applyBorder="1" applyAlignment="1">
      <alignment horizontal="right"/>
    </xf>
    <xf numFmtId="170" fontId="18" fillId="5" borderId="7" xfId="3" applyNumberFormat="1" applyFont="1" applyFill="1" applyBorder="1" applyAlignment="1"/>
    <xf numFmtId="170" fontId="25" fillId="0" borderId="5" xfId="3" applyNumberFormat="1" applyFont="1" applyFill="1" applyBorder="1" applyAlignment="1">
      <alignment horizontal="center" vertical="center"/>
    </xf>
    <xf numFmtId="170" fontId="18" fillId="5" borderId="3" xfId="3" applyNumberFormat="1" applyFont="1" applyFill="1" applyBorder="1" applyAlignment="1">
      <alignment horizontal="right"/>
    </xf>
    <xf numFmtId="170" fontId="18" fillId="5" borderId="15" xfId="3" applyNumberFormat="1" applyFont="1" applyFill="1" applyBorder="1" applyAlignment="1">
      <alignment horizontal="right"/>
    </xf>
    <xf numFmtId="170" fontId="18" fillId="0" borderId="17" xfId="3" applyNumberFormat="1" applyFont="1" applyFill="1" applyBorder="1" applyAlignment="1">
      <alignment horizontal="right"/>
    </xf>
    <xf numFmtId="170" fontId="18" fillId="5" borderId="25" xfId="3" applyNumberFormat="1" applyFont="1" applyFill="1" applyBorder="1" applyAlignment="1">
      <alignment horizontal="right"/>
    </xf>
    <xf numFmtId="170" fontId="18" fillId="0" borderId="25" xfId="3" applyNumberFormat="1" applyFont="1" applyFill="1" applyBorder="1" applyAlignment="1">
      <alignment horizontal="right"/>
    </xf>
    <xf numFmtId="170" fontId="19" fillId="5" borderId="5" xfId="3" applyNumberFormat="1" applyFont="1" applyFill="1" applyBorder="1" applyAlignment="1">
      <alignment horizontal="right"/>
    </xf>
    <xf numFmtId="170" fontId="19" fillId="0" borderId="5" xfId="3" applyNumberFormat="1" applyFont="1" applyFill="1" applyBorder="1" applyAlignment="1">
      <alignment horizontal="right"/>
    </xf>
    <xf numFmtId="170" fontId="18" fillId="5" borderId="15" xfId="35" applyNumberFormat="1" applyFont="1" applyFill="1" applyBorder="1" applyAlignment="1">
      <alignment horizontal="right"/>
    </xf>
    <xf numFmtId="170" fontId="18" fillId="0" borderId="15" xfId="35" applyNumberFormat="1" applyFont="1" applyFill="1" applyBorder="1" applyAlignment="1">
      <alignment horizontal="right"/>
    </xf>
    <xf numFmtId="170" fontId="18" fillId="10" borderId="13" xfId="0" applyNumberFormat="1" applyFont="1" applyFill="1" applyBorder="1" applyAlignment="1">
      <alignment horizontal="right" vertical="center" wrapText="1"/>
    </xf>
    <xf numFmtId="170" fontId="18" fillId="10" borderId="4" xfId="0" applyNumberFormat="1" applyFont="1" applyFill="1" applyBorder="1" applyAlignment="1">
      <alignment horizontal="right" vertical="center" wrapText="1"/>
    </xf>
    <xf numFmtId="170" fontId="18" fillId="10" borderId="14" xfId="0" applyNumberFormat="1" applyFont="1" applyFill="1" applyBorder="1" applyAlignment="1">
      <alignment horizontal="right" vertical="center" wrapText="1"/>
    </xf>
    <xf numFmtId="170" fontId="18" fillId="5" borderId="17" xfId="3" applyNumberFormat="1" applyFont="1" applyFill="1" applyBorder="1" applyAlignment="1">
      <alignment horizontal="center"/>
    </xf>
    <xf numFmtId="170" fontId="19" fillId="0" borderId="29" xfId="0" applyNumberFormat="1" applyFont="1" applyBorder="1" applyAlignment="1">
      <alignment horizontal="right"/>
    </xf>
    <xf numFmtId="167" fontId="18" fillId="10" borderId="3" xfId="2" applyNumberFormat="1" applyFont="1" applyFill="1" applyBorder="1" applyAlignment="1">
      <alignment horizontal="center"/>
    </xf>
    <xf numFmtId="172" fontId="18" fillId="6" borderId="5" xfId="2" applyNumberFormat="1" applyFont="1" applyFill="1" applyBorder="1" applyAlignment="1">
      <alignment horizontal="center"/>
    </xf>
    <xf numFmtId="167" fontId="18" fillId="10" borderId="6" xfId="2" applyNumberFormat="1" applyFont="1" applyFill="1" applyBorder="1" applyAlignment="1">
      <alignment horizontal="center"/>
    </xf>
    <xf numFmtId="43" fontId="18" fillId="6" borderId="5" xfId="2" applyFont="1" applyFill="1" applyBorder="1" applyAlignment="1">
      <alignment horizontal="center"/>
    </xf>
    <xf numFmtId="4" fontId="18" fillId="0" borderId="17" xfId="0" applyNumberFormat="1" applyFont="1" applyBorder="1" applyAlignment="1">
      <alignment horizontal="center"/>
    </xf>
    <xf numFmtId="4" fontId="18" fillId="0" borderId="25" xfId="0" applyNumberFormat="1" applyFont="1" applyBorder="1" applyAlignment="1">
      <alignment horizontal="center"/>
    </xf>
    <xf numFmtId="0" fontId="20" fillId="7" borderId="3" xfId="0" applyFont="1" applyFill="1" applyBorder="1" applyAlignment="1">
      <alignment horizontal="left"/>
    </xf>
    <xf numFmtId="0" fontId="20" fillId="7" borderId="3" xfId="0" applyFont="1" applyFill="1" applyBorder="1"/>
    <xf numFmtId="0" fontId="19" fillId="8" borderId="3" xfId="0" applyFont="1" applyFill="1" applyBorder="1" applyAlignment="1">
      <alignment horizontal="left"/>
    </xf>
    <xf numFmtId="0" fontId="19" fillId="8" borderId="13" xfId="0" applyFont="1" applyFill="1" applyBorder="1" applyAlignment="1">
      <alignment horizontal="left"/>
    </xf>
    <xf numFmtId="0" fontId="19" fillId="8" borderId="15" xfId="0" applyFont="1" applyFill="1" applyBorder="1" applyAlignment="1">
      <alignment horizontal="left"/>
    </xf>
    <xf numFmtId="0" fontId="19" fillId="8" borderId="14" xfId="0" applyFont="1" applyFill="1" applyBorder="1" applyAlignment="1">
      <alignment horizontal="left" wrapText="1"/>
    </xf>
    <xf numFmtId="170" fontId="27" fillId="6" borderId="3" xfId="13" applyNumberFormat="1" applyFont="1" applyFill="1" applyBorder="1" applyAlignment="1">
      <alignment horizontal="center"/>
    </xf>
    <xf numFmtId="0" fontId="18" fillId="0" borderId="0" xfId="0" applyFont="1"/>
    <xf numFmtId="0" fontId="20" fillId="7" borderId="3" xfId="0" applyFont="1" applyFill="1" applyBorder="1" applyAlignment="1">
      <alignment horizontal="center" wrapText="1"/>
    </xf>
    <xf numFmtId="0" fontId="37" fillId="9" borderId="0" xfId="36" applyFill="1"/>
    <xf numFmtId="173" fontId="18" fillId="6" borderId="3" xfId="13" applyNumberFormat="1" applyFont="1" applyFill="1" applyBorder="1" applyAlignment="1">
      <alignment horizontal="center"/>
    </xf>
    <xf numFmtId="2" fontId="18" fillId="6" borderId="3" xfId="13" applyNumberFormat="1" applyFont="1" applyFill="1" applyBorder="1" applyAlignment="1">
      <alignment horizontal="center"/>
    </xf>
    <xf numFmtId="165" fontId="18" fillId="5" borderId="17" xfId="3" applyNumberFormat="1" applyFont="1" applyFill="1" applyBorder="1" applyAlignment="1">
      <alignment horizontal="center"/>
    </xf>
    <xf numFmtId="3" fontId="38" fillId="9" borderId="0" xfId="0" applyNumberFormat="1" applyFont="1" applyFill="1" applyAlignment="1">
      <alignment horizontal="right"/>
    </xf>
    <xf numFmtId="167" fontId="18" fillId="9" borderId="0" xfId="2" applyNumberFormat="1" applyFont="1" applyFill="1" applyBorder="1" applyAlignment="1">
      <alignment horizontal="center"/>
    </xf>
    <xf numFmtId="43" fontId="18" fillId="9" borderId="0" xfId="2" applyFont="1" applyFill="1" applyBorder="1" applyAlignment="1">
      <alignment horizontal="center"/>
    </xf>
    <xf numFmtId="172" fontId="18" fillId="9" borderId="0" xfId="2" applyNumberFormat="1" applyFont="1" applyFill="1" applyBorder="1" applyAlignment="1">
      <alignment horizontal="center"/>
    </xf>
    <xf numFmtId="3" fontId="38" fillId="9" borderId="0" xfId="0" applyNumberFormat="1" applyFont="1" applyFill="1"/>
    <xf numFmtId="0" fontId="18" fillId="9" borderId="0" xfId="13" applyFont="1" applyFill="1" applyAlignment="1">
      <alignment horizontal="right"/>
    </xf>
    <xf numFmtId="170" fontId="18" fillId="0" borderId="7" xfId="3" applyNumberFormat="1" applyFont="1" applyFill="1" applyBorder="1" applyAlignment="1"/>
    <xf numFmtId="170" fontId="18" fillId="0" borderId="15" xfId="3" applyNumberFormat="1" applyFont="1" applyFill="1" applyBorder="1" applyAlignment="1"/>
    <xf numFmtId="170" fontId="18" fillId="5" borderId="15" xfId="3" applyNumberFormat="1" applyFont="1" applyFill="1" applyBorder="1" applyAlignment="1"/>
    <xf numFmtId="0" fontId="19" fillId="8" borderId="16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horizontal="left" vertical="center" wrapText="1"/>
    </xf>
    <xf numFmtId="0" fontId="10" fillId="6" borderId="3" xfId="0" applyFont="1" applyFill="1" applyBorder="1"/>
    <xf numFmtId="10" fontId="10" fillId="6" borderId="3" xfId="10" applyNumberFormat="1" applyFont="1" applyFill="1" applyBorder="1"/>
    <xf numFmtId="0" fontId="0" fillId="6" borderId="3" xfId="0" applyFill="1" applyBorder="1"/>
    <xf numFmtId="10" fontId="10" fillId="6" borderId="3" xfId="1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0" fontId="0" fillId="6" borderId="3" xfId="10" applyNumberFormat="1" applyFont="1" applyFill="1" applyBorder="1"/>
    <xf numFmtId="3" fontId="10" fillId="6" borderId="3" xfId="0" applyNumberFormat="1" applyFont="1" applyFill="1" applyBorder="1"/>
    <xf numFmtId="0" fontId="18" fillId="14" borderId="3" xfId="13" applyFont="1" applyFill="1" applyBorder="1"/>
    <xf numFmtId="0" fontId="18" fillId="11" borderId="3" xfId="13" applyFont="1" applyFill="1" applyBorder="1"/>
    <xf numFmtId="0" fontId="18" fillId="15" borderId="3" xfId="13" applyFont="1" applyFill="1" applyBorder="1"/>
    <xf numFmtId="0" fontId="18" fillId="16" borderId="3" xfId="13" applyFont="1" applyFill="1" applyBorder="1"/>
    <xf numFmtId="0" fontId="18" fillId="17" borderId="3" xfId="13" applyFont="1" applyFill="1" applyBorder="1"/>
    <xf numFmtId="0" fontId="18" fillId="18" borderId="3" xfId="13" applyFont="1" applyFill="1" applyBorder="1"/>
    <xf numFmtId="0" fontId="18" fillId="20" borderId="3" xfId="13" applyFont="1" applyFill="1" applyBorder="1"/>
    <xf numFmtId="0" fontId="18" fillId="21" borderId="3" xfId="13" applyFont="1" applyFill="1" applyBorder="1"/>
    <xf numFmtId="0" fontId="18" fillId="10" borderId="3" xfId="13" applyFont="1" applyFill="1" applyBorder="1"/>
    <xf numFmtId="0" fontId="10" fillId="22" borderId="3" xfId="0" applyFont="1" applyFill="1" applyBorder="1"/>
    <xf numFmtId="0" fontId="18" fillId="23" borderId="3" xfId="13" applyFont="1" applyFill="1" applyBorder="1"/>
    <xf numFmtId="0" fontId="10" fillId="23" borderId="3" xfId="0" applyFont="1" applyFill="1" applyBorder="1"/>
    <xf numFmtId="0" fontId="10" fillId="11" borderId="3" xfId="0" applyFont="1" applyFill="1" applyBorder="1"/>
    <xf numFmtId="0" fontId="10" fillId="15" borderId="3" xfId="0" applyFont="1" applyFill="1" applyBorder="1"/>
    <xf numFmtId="0" fontId="10" fillId="17" borderId="3" xfId="0" applyFont="1" applyFill="1" applyBorder="1"/>
    <xf numFmtId="0" fontId="41" fillId="19" borderId="3" xfId="13" applyFont="1" applyFill="1" applyBorder="1"/>
    <xf numFmtId="0" fontId="42" fillId="19" borderId="3" xfId="0" applyFont="1" applyFill="1" applyBorder="1"/>
    <xf numFmtId="0" fontId="10" fillId="18" borderId="3" xfId="0" applyFont="1" applyFill="1" applyBorder="1"/>
    <xf numFmtId="165" fontId="18" fillId="0" borderId="17" xfId="3" applyNumberFormat="1" applyFont="1" applyFill="1" applyBorder="1" applyAlignment="1">
      <alignment horizontal="center"/>
    </xf>
    <xf numFmtId="165" fontId="18" fillId="0" borderId="25" xfId="3" applyNumberFormat="1" applyFont="1" applyFill="1" applyBorder="1" applyAlignment="1">
      <alignment horizontal="center"/>
    </xf>
    <xf numFmtId="0" fontId="18" fillId="22" borderId="3" xfId="13" applyFont="1" applyFill="1" applyBorder="1"/>
    <xf numFmtId="167" fontId="18" fillId="6" borderId="3" xfId="2" applyNumberFormat="1" applyFont="1" applyFill="1" applyBorder="1" applyAlignment="1">
      <alignment horizontal="center" vertical="center"/>
    </xf>
    <xf numFmtId="165" fontId="23" fillId="9" borderId="3" xfId="3" applyNumberFormat="1" applyFont="1" applyFill="1" applyBorder="1" applyAlignment="1">
      <alignment vertical="center"/>
    </xf>
    <xf numFmtId="0" fontId="20" fillId="7" borderId="12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left"/>
    </xf>
    <xf numFmtId="0" fontId="27" fillId="8" borderId="3" xfId="0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0" fillId="7" borderId="3" xfId="0" applyFont="1" applyFill="1" applyBorder="1" applyAlignment="1">
      <alignment horizontal="right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9" borderId="0" xfId="13" applyFont="1" applyFill="1" applyAlignment="1">
      <alignment horizontal="center"/>
    </xf>
    <xf numFmtId="170" fontId="27" fillId="6" borderId="3" xfId="13" applyNumberFormat="1" applyFont="1" applyFill="1" applyBorder="1" applyAlignment="1">
      <alignment horizontal="center" vertical="center" wrapText="1"/>
    </xf>
    <xf numFmtId="0" fontId="18" fillId="7" borderId="8" xfId="13" applyFont="1" applyFill="1" applyBorder="1" applyAlignment="1">
      <alignment horizontal="center"/>
    </xf>
    <xf numFmtId="0" fontId="18" fillId="7" borderId="5" xfId="13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 vertical="center"/>
    </xf>
    <xf numFmtId="167" fontId="18" fillId="9" borderId="3" xfId="2" applyNumberFormat="1" applyFont="1" applyFill="1" applyBorder="1" applyAlignment="1">
      <alignment horizontal="left" vertical="center" wrapText="1"/>
    </xf>
    <xf numFmtId="165" fontId="18" fillId="9" borderId="3" xfId="3" applyNumberFormat="1" applyFont="1" applyFill="1" applyBorder="1" applyAlignment="1">
      <alignment horizontal="left" vertical="center" wrapText="1"/>
    </xf>
    <xf numFmtId="174" fontId="18" fillId="9" borderId="3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19" fillId="9" borderId="0" xfId="0" applyFont="1" applyFill="1"/>
    <xf numFmtId="170" fontId="18" fillId="5" borderId="29" xfId="3" applyNumberFormat="1" applyFont="1" applyFill="1" applyBorder="1" applyAlignment="1">
      <alignment horizontal="center"/>
    </xf>
    <xf numFmtId="0" fontId="27" fillId="8" borderId="3" xfId="13" applyFont="1" applyFill="1" applyBorder="1" applyAlignment="1">
      <alignment vertical="center" wrapText="1"/>
    </xf>
    <xf numFmtId="170" fontId="27" fillId="6" borderId="3" xfId="13" applyNumberFormat="1" applyFont="1" applyFill="1" applyBorder="1" applyAlignment="1">
      <alignment vertical="center" wrapText="1"/>
    </xf>
    <xf numFmtId="165" fontId="18" fillId="5" borderId="25" xfId="3" applyNumberFormat="1" applyFont="1" applyFill="1" applyBorder="1" applyAlignment="1">
      <alignment horizontal="center"/>
    </xf>
    <xf numFmtId="170" fontId="19" fillId="9" borderId="5" xfId="0" applyNumberFormat="1" applyFont="1" applyFill="1" applyBorder="1"/>
    <xf numFmtId="170" fontId="19" fillId="5" borderId="5" xfId="0" applyNumberFormat="1" applyFont="1" applyFill="1" applyBorder="1"/>
    <xf numFmtId="170" fontId="19" fillId="9" borderId="0" xfId="0" applyNumberFormat="1" applyFont="1" applyFill="1"/>
    <xf numFmtId="9" fontId="18" fillId="5" borderId="17" xfId="10" applyFont="1" applyFill="1" applyBorder="1" applyAlignment="1">
      <alignment horizontal="center"/>
    </xf>
    <xf numFmtId="9" fontId="18" fillId="9" borderId="17" xfId="10" applyFont="1" applyFill="1" applyBorder="1" applyAlignment="1">
      <alignment horizontal="center"/>
    </xf>
    <xf numFmtId="165" fontId="18" fillId="0" borderId="15" xfId="3" applyNumberFormat="1" applyFont="1" applyFill="1" applyBorder="1" applyAlignment="1">
      <alignment horizontal="center"/>
    </xf>
    <xf numFmtId="165" fontId="18" fillId="9" borderId="17" xfId="3" applyNumberFormat="1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horizontal="right" vertical="center" wrapText="1"/>
    </xf>
    <xf numFmtId="0" fontId="19" fillId="8" borderId="5" xfId="0" applyFont="1" applyFill="1" applyBorder="1" applyAlignment="1">
      <alignment horizontal="right" vertical="center" wrapText="1"/>
    </xf>
    <xf numFmtId="165" fontId="23" fillId="5" borderId="12" xfId="3" applyNumberFormat="1" applyFont="1" applyFill="1" applyBorder="1" applyAlignment="1">
      <alignment vertical="center"/>
    </xf>
    <xf numFmtId="0" fontId="18" fillId="0" borderId="0" xfId="13" applyFont="1"/>
    <xf numFmtId="0" fontId="18" fillId="9" borderId="0" xfId="13" quotePrefix="1" applyFont="1" applyFill="1"/>
    <xf numFmtId="0" fontId="20" fillId="7" borderId="6" xfId="13" applyFont="1" applyFill="1" applyBorder="1" applyAlignment="1">
      <alignment horizontal="center" vertical="center" wrapText="1"/>
    </xf>
    <xf numFmtId="0" fontId="20" fillId="7" borderId="7" xfId="13" applyFont="1" applyFill="1" applyBorder="1" applyAlignment="1">
      <alignment horizontal="center" vertical="center" wrapText="1"/>
    </xf>
    <xf numFmtId="0" fontId="19" fillId="8" borderId="15" xfId="13" applyFont="1" applyFill="1" applyBorder="1" applyAlignment="1">
      <alignment horizontal="center"/>
    </xf>
    <xf numFmtId="3" fontId="18" fillId="0" borderId="17" xfId="13" applyNumberFormat="1" applyFont="1" applyBorder="1" applyAlignment="1">
      <alignment horizontal="center"/>
    </xf>
    <xf numFmtId="3" fontId="18" fillId="5" borderId="17" xfId="13" applyNumberFormat="1" applyFont="1" applyFill="1" applyBorder="1" applyAlignment="1">
      <alignment horizontal="center"/>
    </xf>
    <xf numFmtId="3" fontId="18" fillId="5" borderId="30" xfId="13" applyNumberFormat="1" applyFont="1" applyFill="1" applyBorder="1" applyAlignment="1">
      <alignment horizontal="center"/>
    </xf>
    <xf numFmtId="0" fontId="20" fillId="7" borderId="3" xfId="13" applyFont="1" applyFill="1" applyBorder="1" applyAlignment="1">
      <alignment horizontal="center" vertical="center" wrapText="1"/>
    </xf>
    <xf numFmtId="3" fontId="18" fillId="0" borderId="15" xfId="13" applyNumberFormat="1" applyFont="1" applyBorder="1" applyAlignment="1">
      <alignment horizontal="center"/>
    </xf>
    <xf numFmtId="3" fontId="18" fillId="5" borderId="15" xfId="13" applyNumberFormat="1" applyFont="1" applyFill="1" applyBorder="1" applyAlignment="1">
      <alignment horizontal="center"/>
    </xf>
    <xf numFmtId="0" fontId="19" fillId="9" borderId="0" xfId="13" applyFont="1" applyFill="1" applyAlignment="1">
      <alignment horizontal="right"/>
    </xf>
    <xf numFmtId="6" fontId="19" fillId="9" borderId="0" xfId="3" applyNumberFormat="1" applyFont="1" applyFill="1" applyBorder="1"/>
    <xf numFmtId="0" fontId="19" fillId="8" borderId="17" xfId="13" applyFont="1" applyFill="1" applyBorder="1" applyAlignment="1">
      <alignment horizontal="center"/>
    </xf>
    <xf numFmtId="3" fontId="18" fillId="9" borderId="17" xfId="13" applyNumberFormat="1" applyFont="1" applyFill="1" applyBorder="1" applyAlignment="1">
      <alignment horizontal="center"/>
    </xf>
    <xf numFmtId="3" fontId="18" fillId="9" borderId="15" xfId="13" applyNumberFormat="1" applyFont="1" applyFill="1" applyBorder="1" applyAlignment="1">
      <alignment horizontal="center"/>
    </xf>
    <xf numFmtId="0" fontId="19" fillId="8" borderId="14" xfId="13" applyFont="1" applyFill="1" applyBorder="1" applyAlignment="1">
      <alignment horizontal="center"/>
    </xf>
    <xf numFmtId="3" fontId="18" fillId="0" borderId="14" xfId="13" applyNumberFormat="1" applyFont="1" applyBorder="1" applyAlignment="1">
      <alignment horizontal="center"/>
    </xf>
    <xf numFmtId="3" fontId="18" fillId="5" borderId="14" xfId="13" applyNumberFormat="1" applyFont="1" applyFill="1" applyBorder="1" applyAlignment="1">
      <alignment horizontal="center"/>
    </xf>
    <xf numFmtId="3" fontId="18" fillId="9" borderId="14" xfId="13" applyNumberFormat="1" applyFont="1" applyFill="1" applyBorder="1" applyAlignment="1">
      <alignment horizontal="center"/>
    </xf>
    <xf numFmtId="0" fontId="19" fillId="9" borderId="0" xfId="13" applyFont="1" applyFill="1" applyAlignment="1">
      <alignment wrapText="1"/>
    </xf>
    <xf numFmtId="0" fontId="19" fillId="9" borderId="0" xfId="13" applyFont="1" applyFill="1" applyAlignment="1">
      <alignment horizontal="left" wrapText="1"/>
    </xf>
    <xf numFmtId="0" fontId="19" fillId="9" borderId="20" xfId="13" applyFont="1" applyFill="1" applyBorder="1" applyAlignment="1">
      <alignment wrapText="1"/>
    </xf>
    <xf numFmtId="10" fontId="19" fillId="6" borderId="3" xfId="13" applyNumberFormat="1" applyFont="1" applyFill="1" applyBorder="1"/>
    <xf numFmtId="0" fontId="18" fillId="9" borderId="0" xfId="13" applyFont="1" applyFill="1" applyAlignment="1">
      <alignment horizontal="left" wrapText="1"/>
    </xf>
    <xf numFmtId="0" fontId="19" fillId="8" borderId="3" xfId="13" applyFont="1" applyFill="1" applyBorder="1" applyAlignment="1">
      <alignment wrapText="1"/>
    </xf>
    <xf numFmtId="167" fontId="19" fillId="6" borderId="3" xfId="38" applyNumberFormat="1" applyFont="1" applyFill="1" applyBorder="1"/>
    <xf numFmtId="2" fontId="19" fillId="8" borderId="3" xfId="13" applyNumberFormat="1" applyFont="1" applyFill="1" applyBorder="1"/>
    <xf numFmtId="2" fontId="19" fillId="6" borderId="3" xfId="13" applyNumberFormat="1" applyFont="1" applyFill="1" applyBorder="1"/>
    <xf numFmtId="1" fontId="19" fillId="6" borderId="3" xfId="13" applyNumberFormat="1" applyFont="1" applyFill="1" applyBorder="1"/>
    <xf numFmtId="0" fontId="43" fillId="9" borderId="0" xfId="13" applyFont="1" applyFill="1"/>
    <xf numFmtId="0" fontId="18" fillId="9" borderId="0" xfId="3" applyNumberFormat="1" applyFont="1" applyFill="1" applyAlignment="1">
      <alignment horizontal="right"/>
    </xf>
    <xf numFmtId="0" fontId="19" fillId="9" borderId="0" xfId="13" applyFont="1" applyFill="1" applyAlignment="1">
      <alignment horizontal="center" vertical="center" wrapText="1"/>
    </xf>
    <xf numFmtId="0" fontId="19" fillId="9" borderId="0" xfId="13" applyFont="1" applyFill="1" applyAlignment="1">
      <alignment horizontal="left"/>
    </xf>
    <xf numFmtId="0" fontId="18" fillId="9" borderId="0" xfId="13" applyFont="1" applyFill="1" applyAlignment="1">
      <alignment horizontal="left"/>
    </xf>
    <xf numFmtId="0" fontId="18" fillId="9" borderId="0" xfId="13" applyFont="1" applyFill="1" applyAlignment="1">
      <alignment vertical="center"/>
    </xf>
    <xf numFmtId="3" fontId="18" fillId="9" borderId="0" xfId="3" applyNumberFormat="1" applyFont="1" applyFill="1" applyAlignment="1">
      <alignment horizontal="center"/>
    </xf>
    <xf numFmtId="0" fontId="20" fillId="9" borderId="0" xfId="13" applyFont="1" applyFill="1" applyAlignment="1">
      <alignment horizontal="center" vertical="center"/>
    </xf>
    <xf numFmtId="0" fontId="20" fillId="7" borderId="3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167" fontId="18" fillId="9" borderId="5" xfId="2" applyNumberFormat="1" applyFont="1" applyFill="1" applyBorder="1" applyAlignment="1">
      <alignment horizontal="left" vertical="center" wrapText="1"/>
    </xf>
    <xf numFmtId="165" fontId="18" fillId="9" borderId="5" xfId="3" applyNumberFormat="1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left" vertical="center" wrapText="1"/>
    </xf>
    <xf numFmtId="167" fontId="18" fillId="9" borderId="6" xfId="2" applyNumberFormat="1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4" fontId="18" fillId="5" borderId="17" xfId="0" applyNumberFormat="1" applyFont="1" applyFill="1" applyBorder="1" applyAlignment="1">
      <alignment horizontal="center"/>
    </xf>
    <xf numFmtId="4" fontId="18" fillId="5" borderId="25" xfId="0" applyNumberFormat="1" applyFont="1" applyFill="1" applyBorder="1" applyAlignment="1">
      <alignment horizontal="center"/>
    </xf>
    <xf numFmtId="3" fontId="18" fillId="9" borderId="17" xfId="0" applyNumberFormat="1" applyFont="1" applyFill="1" applyBorder="1" applyAlignment="1">
      <alignment horizontal="center"/>
    </xf>
    <xf numFmtId="170" fontId="18" fillId="9" borderId="17" xfId="3" applyNumberFormat="1" applyFont="1" applyFill="1" applyBorder="1" applyAlignment="1">
      <alignment horizontal="center"/>
    </xf>
    <xf numFmtId="170" fontId="18" fillId="9" borderId="25" xfId="3" applyNumberFormat="1" applyFont="1" applyFill="1" applyBorder="1" applyAlignment="1">
      <alignment horizontal="center"/>
    </xf>
    <xf numFmtId="170" fontId="18" fillId="9" borderId="29" xfId="3" applyNumberFormat="1" applyFont="1" applyFill="1" applyBorder="1" applyAlignment="1">
      <alignment horizontal="center"/>
    </xf>
    <xf numFmtId="3" fontId="18" fillId="9" borderId="25" xfId="0" applyNumberFormat="1" applyFont="1" applyFill="1" applyBorder="1" applyAlignment="1">
      <alignment horizontal="center"/>
    </xf>
    <xf numFmtId="167" fontId="18" fillId="5" borderId="3" xfId="2" applyNumberFormat="1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167" fontId="18" fillId="5" borderId="5" xfId="2" applyNumberFormat="1" applyFont="1" applyFill="1" applyBorder="1" applyAlignment="1">
      <alignment horizontal="left" vertical="center" wrapText="1"/>
    </xf>
    <xf numFmtId="174" fontId="18" fillId="5" borderId="3" xfId="0" applyNumberFormat="1" applyFont="1" applyFill="1" applyBorder="1" applyAlignment="1">
      <alignment horizontal="center" vertical="center" wrapText="1"/>
    </xf>
    <xf numFmtId="167" fontId="18" fillId="5" borderId="6" xfId="2" applyNumberFormat="1" applyFont="1" applyFill="1" applyBorder="1" applyAlignment="1">
      <alignment horizontal="left" vertical="center" wrapText="1"/>
    </xf>
    <xf numFmtId="1" fontId="18" fillId="5" borderId="3" xfId="0" applyNumberFormat="1" applyFont="1" applyFill="1" applyBorder="1" applyAlignment="1">
      <alignment horizontal="center" vertical="center" wrapText="1"/>
    </xf>
    <xf numFmtId="169" fontId="18" fillId="9" borderId="17" xfId="0" applyNumberFormat="1" applyFont="1" applyFill="1" applyBorder="1" applyAlignment="1">
      <alignment horizontal="center"/>
    </xf>
    <xf numFmtId="170" fontId="19" fillId="5" borderId="29" xfId="0" applyNumberFormat="1" applyFont="1" applyFill="1" applyBorder="1" applyAlignment="1">
      <alignment horizontal="right"/>
    </xf>
    <xf numFmtId="0" fontId="20" fillId="7" borderId="8" xfId="13" applyFont="1" applyFill="1" applyBorder="1" applyAlignment="1">
      <alignment horizontal="center"/>
    </xf>
    <xf numFmtId="0" fontId="19" fillId="8" borderId="3" xfId="13" applyFont="1" applyFill="1" applyBorder="1" applyAlignment="1">
      <alignment horizontal="center"/>
    </xf>
    <xf numFmtId="0" fontId="19" fillId="8" borderId="6" xfId="13" applyFont="1" applyFill="1" applyBorder="1" applyAlignment="1">
      <alignment horizontal="center"/>
    </xf>
    <xf numFmtId="170" fontId="18" fillId="9" borderId="17" xfId="3" applyNumberFormat="1" applyFont="1" applyFill="1" applyBorder="1" applyAlignment="1"/>
    <xf numFmtId="170" fontId="18" fillId="9" borderId="25" xfId="3" applyNumberFormat="1" applyFont="1" applyFill="1" applyBorder="1" applyAlignment="1"/>
    <xf numFmtId="170" fontId="18" fillId="9" borderId="5" xfId="3" applyNumberFormat="1" applyFont="1" applyFill="1" applyBorder="1" applyAlignment="1"/>
    <xf numFmtId="0" fontId="44" fillId="9" borderId="0" xfId="0" applyFont="1" applyFill="1"/>
    <xf numFmtId="10" fontId="0" fillId="9" borderId="0" xfId="10" applyNumberFormat="1" applyFont="1" applyFill="1"/>
    <xf numFmtId="0" fontId="20" fillId="7" borderId="9" xfId="13" applyFont="1" applyFill="1" applyBorder="1" applyAlignment="1">
      <alignment horizontal="center"/>
    </xf>
    <xf numFmtId="9" fontId="20" fillId="7" borderId="3" xfId="0" applyNumberFormat="1" applyFont="1" applyFill="1" applyBorder="1" applyAlignment="1">
      <alignment horizontal="center" vertical="center"/>
    </xf>
    <xf numFmtId="171" fontId="18" fillId="6" borderId="3" xfId="3" applyNumberFormat="1" applyFont="1" applyFill="1" applyBorder="1"/>
    <xf numFmtId="171" fontId="18" fillId="6" borderId="6" xfId="3" applyNumberFormat="1" applyFont="1" applyFill="1" applyBorder="1"/>
    <xf numFmtId="0" fontId="20" fillId="7" borderId="3" xfId="13" applyFont="1" applyFill="1" applyBorder="1" applyAlignment="1">
      <alignment horizontal="center" wrapText="1"/>
    </xf>
    <xf numFmtId="0" fontId="20" fillId="7" borderId="9" xfId="13" applyFont="1" applyFill="1" applyBorder="1" applyAlignment="1">
      <alignment horizontal="center" wrapText="1"/>
    </xf>
    <xf numFmtId="167" fontId="0" fillId="6" borderId="3" xfId="2" applyNumberFormat="1" applyFont="1" applyFill="1" applyBorder="1"/>
    <xf numFmtId="167" fontId="0" fillId="6" borderId="3" xfId="0" applyNumberFormat="1" applyFill="1" applyBorder="1"/>
    <xf numFmtId="165" fontId="0" fillId="6" borderId="3" xfId="3" applyNumberFormat="1" applyFont="1" applyFill="1" applyBorder="1"/>
    <xf numFmtId="0" fontId="12" fillId="5" borderId="3" xfId="0" applyFont="1" applyFill="1" applyBorder="1" applyAlignment="1">
      <alignment horizontal="right"/>
    </xf>
    <xf numFmtId="167" fontId="12" fillId="5" borderId="3" xfId="2" applyNumberFormat="1" applyFont="1" applyFill="1" applyBorder="1"/>
    <xf numFmtId="165" fontId="12" fillId="5" borderId="3" xfId="0" applyNumberFormat="1" applyFont="1" applyFill="1" applyBorder="1"/>
    <xf numFmtId="0" fontId="0" fillId="12" borderId="3" xfId="0" applyFill="1" applyBorder="1"/>
    <xf numFmtId="3" fontId="12" fillId="12" borderId="3" xfId="0" applyNumberFormat="1" applyFont="1" applyFill="1" applyBorder="1"/>
    <xf numFmtId="167" fontId="18" fillId="6" borderId="3" xfId="2" applyNumberFormat="1" applyFont="1" applyFill="1" applyBorder="1" applyAlignment="1">
      <alignment horizontal="right"/>
    </xf>
    <xf numFmtId="167" fontId="19" fillId="12" borderId="3" xfId="2" applyNumberFormat="1" applyFont="1" applyFill="1" applyBorder="1" applyAlignment="1"/>
    <xf numFmtId="0" fontId="37" fillId="9" borderId="0" xfId="36" applyFill="1" applyBorder="1" applyAlignment="1"/>
    <xf numFmtId="0" fontId="19" fillId="8" borderId="8" xfId="13" applyFont="1" applyFill="1" applyBorder="1"/>
    <xf numFmtId="0" fontId="19" fillId="8" borderId="5" xfId="13" applyFont="1" applyFill="1" applyBorder="1" applyAlignment="1">
      <alignment horizontal="right"/>
    </xf>
    <xf numFmtId="0" fontId="19" fillId="9" borderId="19" xfId="13" applyFont="1" applyFill="1" applyBorder="1" applyAlignment="1">
      <alignment vertical="top"/>
    </xf>
    <xf numFmtId="0" fontId="0" fillId="9" borderId="24" xfId="0" applyFill="1" applyBorder="1"/>
    <xf numFmtId="0" fontId="0" fillId="9" borderId="27" xfId="0" applyFill="1" applyBorder="1"/>
    <xf numFmtId="0" fontId="19" fillId="9" borderId="20" xfId="13" applyFont="1" applyFill="1" applyBorder="1" applyAlignment="1">
      <alignment vertical="top"/>
    </xf>
    <xf numFmtId="0" fontId="0" fillId="9" borderId="32" xfId="0" applyFill="1" applyBorder="1"/>
    <xf numFmtId="0" fontId="19" fillId="9" borderId="22" xfId="13" applyFont="1" applyFill="1" applyBorder="1" applyAlignment="1">
      <alignment vertical="top"/>
    </xf>
    <xf numFmtId="0" fontId="0" fillId="9" borderId="21" xfId="0" applyFill="1" applyBorder="1"/>
    <xf numFmtId="0" fontId="0" fillId="9" borderId="23" xfId="0" applyFill="1" applyBorder="1"/>
    <xf numFmtId="0" fontId="18" fillId="6" borderId="8" xfId="13" applyFont="1" applyFill="1" applyBorder="1" applyAlignment="1">
      <alignment horizontal="center"/>
    </xf>
    <xf numFmtId="0" fontId="19" fillId="8" borderId="4" xfId="13" applyFont="1" applyFill="1" applyBorder="1" applyAlignment="1">
      <alignment horizontal="right"/>
    </xf>
    <xf numFmtId="167" fontId="19" fillId="6" borderId="4" xfId="2" applyNumberFormat="1" applyFont="1" applyFill="1" applyBorder="1" applyAlignment="1"/>
    <xf numFmtId="170" fontId="19" fillId="6" borderId="4" xfId="3" applyNumberFormat="1" applyFont="1" applyFill="1" applyBorder="1"/>
    <xf numFmtId="0" fontId="19" fillId="9" borderId="21" xfId="13" applyFont="1" applyFill="1" applyBorder="1" applyAlignment="1">
      <alignment vertical="top"/>
    </xf>
    <xf numFmtId="0" fontId="19" fillId="9" borderId="23" xfId="13" applyFont="1" applyFill="1" applyBorder="1" applyAlignment="1">
      <alignment vertical="top"/>
    </xf>
    <xf numFmtId="0" fontId="19" fillId="8" borderId="3" xfId="13" applyFont="1" applyFill="1" applyBorder="1" applyAlignment="1">
      <alignment horizontal="right"/>
    </xf>
    <xf numFmtId="0" fontId="18" fillId="5" borderId="17" xfId="0" applyFont="1" applyFill="1" applyBorder="1" applyAlignment="1">
      <alignment horizontal="center"/>
    </xf>
    <xf numFmtId="9" fontId="18" fillId="5" borderId="3" xfId="10" applyFont="1" applyFill="1" applyBorder="1"/>
    <xf numFmtId="165" fontId="18" fillId="0" borderId="30" xfId="3" applyNumberFormat="1" applyFont="1" applyFill="1" applyBorder="1" applyAlignment="1">
      <alignment horizontal="center"/>
    </xf>
    <xf numFmtId="165" fontId="19" fillId="5" borderId="5" xfId="3" applyNumberFormat="1" applyFont="1" applyFill="1" applyBorder="1" applyAlignment="1"/>
    <xf numFmtId="165" fontId="19" fillId="0" borderId="5" xfId="3" applyNumberFormat="1" applyFont="1" applyBorder="1" applyAlignment="1"/>
    <xf numFmtId="0" fontId="18" fillId="4" borderId="3" xfId="0" applyFont="1" applyFill="1" applyBorder="1" applyAlignment="1">
      <alignment horizontal="left" wrapText="1"/>
    </xf>
    <xf numFmtId="0" fontId="18" fillId="4" borderId="3" xfId="0" applyFont="1" applyFill="1" applyBorder="1"/>
    <xf numFmtId="175" fontId="18" fillId="4" borderId="3" xfId="10" applyNumberFormat="1" applyFont="1" applyFill="1" applyBorder="1"/>
    <xf numFmtId="0" fontId="19" fillId="8" borderId="16" xfId="0" applyFont="1" applyFill="1" applyBorder="1" applyAlignment="1">
      <alignment horizontal="left"/>
    </xf>
    <xf numFmtId="9" fontId="18" fillId="4" borderId="8" xfId="10" applyFont="1" applyFill="1" applyBorder="1" applyAlignment="1"/>
    <xf numFmtId="0" fontId="32" fillId="0" borderId="5" xfId="31" applyFont="1" applyBorder="1" applyAlignment="1">
      <alignment horizontal="right"/>
    </xf>
    <xf numFmtId="170" fontId="25" fillId="5" borderId="5" xfId="3" applyNumberFormat="1" applyFont="1" applyFill="1" applyBorder="1" applyAlignment="1">
      <alignment horizontal="center" vertical="center"/>
    </xf>
    <xf numFmtId="0" fontId="19" fillId="8" borderId="16" xfId="13" applyFont="1" applyFill="1" applyBorder="1" applyAlignment="1">
      <alignment horizontal="center"/>
    </xf>
    <xf numFmtId="6" fontId="18" fillId="9" borderId="0" xfId="3" applyNumberFormat="1" applyFont="1" applyFill="1" applyBorder="1"/>
    <xf numFmtId="170" fontId="18" fillId="5" borderId="25" xfId="3" applyNumberFormat="1" applyFont="1" applyFill="1" applyBorder="1" applyAlignment="1">
      <alignment horizontal="center"/>
    </xf>
    <xf numFmtId="170" fontId="18" fillId="0" borderId="17" xfId="0" applyNumberFormat="1" applyFont="1" applyBorder="1" applyAlignment="1">
      <alignment horizontal="right"/>
    </xf>
    <xf numFmtId="170" fontId="18" fillId="5" borderId="17" xfId="0" applyNumberFormat="1" applyFont="1" applyFill="1" applyBorder="1" applyAlignment="1">
      <alignment horizontal="right"/>
    </xf>
    <xf numFmtId="170" fontId="18" fillId="0" borderId="17" xfId="3" applyNumberFormat="1" applyFont="1" applyBorder="1"/>
    <xf numFmtId="170" fontId="18" fillId="0" borderId="25" xfId="3" applyNumberFormat="1" applyFont="1" applyBorder="1"/>
    <xf numFmtId="170" fontId="18" fillId="0" borderId="5" xfId="3" applyNumberFormat="1" applyFont="1" applyBorder="1"/>
    <xf numFmtId="44" fontId="19" fillId="6" borderId="3" xfId="3" applyFont="1" applyFill="1" applyBorder="1"/>
    <xf numFmtId="170" fontId="18" fillId="5" borderId="6" xfId="3" applyNumberFormat="1" applyFont="1" applyFill="1" applyBorder="1" applyAlignment="1">
      <alignment horizontal="left" vertical="center" wrapText="1"/>
    </xf>
    <xf numFmtId="170" fontId="18" fillId="5" borderId="5" xfId="3" applyNumberFormat="1" applyFont="1" applyFill="1" applyBorder="1" applyAlignment="1">
      <alignment horizontal="left" vertical="center" wrapText="1"/>
    </xf>
    <xf numFmtId="170" fontId="18" fillId="4" borderId="3" xfId="3" applyNumberFormat="1" applyFont="1" applyFill="1" applyBorder="1"/>
    <xf numFmtId="170" fontId="18" fillId="4" borderId="13" xfId="3" applyNumberFormat="1" applyFont="1" applyFill="1" applyBorder="1" applyAlignment="1">
      <alignment horizontal="right"/>
    </xf>
    <xf numFmtId="170" fontId="18" fillId="4" borderId="15" xfId="3" applyNumberFormat="1" applyFont="1" applyFill="1" applyBorder="1" applyAlignment="1">
      <alignment horizontal="right"/>
    </xf>
    <xf numFmtId="170" fontId="18" fillId="4" borderId="15" xfId="3" applyNumberFormat="1" applyFont="1" applyFill="1" applyBorder="1" applyAlignment="1">
      <alignment horizontal="right" vertical="center"/>
    </xf>
    <xf numFmtId="170" fontId="18" fillId="4" borderId="14" xfId="3" applyNumberFormat="1" applyFont="1" applyFill="1" applyBorder="1" applyAlignment="1">
      <alignment horizontal="right" vertical="center"/>
    </xf>
    <xf numFmtId="0" fontId="19" fillId="8" borderId="16" xfId="0" applyFont="1" applyFill="1" applyBorder="1" applyAlignment="1">
      <alignment horizontal="center"/>
    </xf>
    <xf numFmtId="165" fontId="18" fillId="0" borderId="4" xfId="3" applyNumberFormat="1" applyFont="1" applyFill="1" applyBorder="1" applyAlignment="1">
      <alignment horizontal="center"/>
    </xf>
    <xf numFmtId="9" fontId="18" fillId="5" borderId="4" xfId="10" applyFont="1" applyFill="1" applyBorder="1" applyAlignment="1">
      <alignment horizontal="center"/>
    </xf>
    <xf numFmtId="175" fontId="0" fillId="6" borderId="3" xfId="10" applyNumberFormat="1" applyFont="1" applyFill="1" applyBorder="1"/>
    <xf numFmtId="174" fontId="0" fillId="6" borderId="3" xfId="0" applyNumberFormat="1" applyFill="1" applyBorder="1"/>
    <xf numFmtId="175" fontId="0" fillId="6" borderId="3" xfId="0" applyNumberFormat="1" applyFill="1" applyBorder="1"/>
    <xf numFmtId="10" fontId="0" fillId="6" borderId="3" xfId="0" applyNumberFormat="1" applyFill="1" applyBorder="1"/>
    <xf numFmtId="6" fontId="0" fillId="6" borderId="5" xfId="0" applyNumberFormat="1" applyFill="1" applyBorder="1"/>
    <xf numFmtId="9" fontId="0" fillId="6" borderId="5" xfId="10" applyFont="1" applyFill="1" applyBorder="1"/>
    <xf numFmtId="6" fontId="0" fillId="6" borderId="3" xfId="0" applyNumberFormat="1" applyFill="1" applyBorder="1"/>
    <xf numFmtId="9" fontId="0" fillId="6" borderId="3" xfId="10" applyFont="1" applyFill="1" applyBorder="1"/>
    <xf numFmtId="0" fontId="35" fillId="0" borderId="16" xfId="31" applyFont="1" applyBorder="1" applyAlignment="1">
      <alignment horizontal="center"/>
    </xf>
    <xf numFmtId="0" fontId="32" fillId="0" borderId="3" xfId="31" applyFont="1" applyBorder="1"/>
    <xf numFmtId="0" fontId="18" fillId="5" borderId="14" xfId="0" applyFont="1" applyFill="1" applyBorder="1" applyAlignment="1">
      <alignment horizontal="center" vertical="center" wrapText="1"/>
    </xf>
    <xf numFmtId="1" fontId="23" fillId="5" borderId="3" xfId="32" applyNumberFormat="1" applyFont="1" applyFill="1" applyBorder="1" applyAlignment="1">
      <alignment horizontal="center" vertical="center"/>
    </xf>
    <xf numFmtId="9" fontId="23" fillId="5" borderId="9" xfId="10" applyFont="1" applyFill="1" applyBorder="1" applyAlignment="1">
      <alignment horizontal="center" vertical="center"/>
    </xf>
    <xf numFmtId="167" fontId="10" fillId="6" borderId="3" xfId="2" applyNumberFormat="1" applyFont="1" applyFill="1" applyBorder="1" applyAlignment="1">
      <alignment horizontal="center"/>
    </xf>
    <xf numFmtId="167" fontId="10" fillId="6" borderId="3" xfId="2" applyNumberFormat="1" applyFont="1" applyFill="1" applyBorder="1"/>
    <xf numFmtId="167" fontId="0" fillId="12" borderId="3" xfId="2" applyNumberFormat="1" applyFont="1" applyFill="1" applyBorder="1"/>
    <xf numFmtId="167" fontId="40" fillId="6" borderId="3" xfId="2" applyNumberFormat="1" applyFont="1" applyFill="1" applyBorder="1"/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20" fillId="7" borderId="3" xfId="13" applyFont="1" applyFill="1" applyBorder="1" applyAlignment="1">
      <alignment horizontal="center" vertical="center"/>
    </xf>
    <xf numFmtId="165" fontId="18" fillId="4" borderId="3" xfId="3" applyNumberFormat="1" applyFont="1" applyFill="1" applyBorder="1" applyAlignment="1">
      <alignment horizontal="right"/>
    </xf>
    <xf numFmtId="9" fontId="18" fillId="0" borderId="17" xfId="10" applyFont="1" applyFill="1" applyBorder="1" applyAlignment="1">
      <alignment horizontal="center"/>
    </xf>
    <xf numFmtId="170" fontId="18" fillId="6" borderId="3" xfId="3" applyNumberFormat="1" applyFont="1" applyFill="1" applyBorder="1"/>
    <xf numFmtId="170" fontId="18" fillId="6" borderId="6" xfId="3" applyNumberFormat="1" applyFont="1" applyFill="1" applyBorder="1"/>
    <xf numFmtId="3" fontId="18" fillId="9" borderId="0" xfId="13" applyNumberFormat="1" applyFont="1" applyFill="1" applyAlignment="1">
      <alignment horizontal="left"/>
    </xf>
    <xf numFmtId="0" fontId="12" fillId="13" borderId="12" xfId="0" applyFont="1" applyFill="1" applyBorder="1"/>
    <xf numFmtId="0" fontId="12" fillId="13" borderId="2" xfId="0" applyFont="1" applyFill="1" applyBorder="1"/>
    <xf numFmtId="0" fontId="26" fillId="8" borderId="12" xfId="13" applyFont="1" applyFill="1" applyBorder="1"/>
    <xf numFmtId="0" fontId="26" fillId="8" borderId="2" xfId="13" applyFont="1" applyFill="1" applyBorder="1"/>
    <xf numFmtId="43" fontId="0" fillId="9" borderId="0" xfId="2" applyFont="1" applyFill="1"/>
    <xf numFmtId="6" fontId="0" fillId="9" borderId="0" xfId="0" applyNumberFormat="1" applyFill="1"/>
    <xf numFmtId="0" fontId="12" fillId="9" borderId="22" xfId="0" applyFont="1" applyFill="1" applyBorder="1"/>
    <xf numFmtId="0" fontId="12" fillId="9" borderId="21" xfId="0" applyFont="1" applyFill="1" applyBorder="1"/>
    <xf numFmtId="0" fontId="12" fillId="9" borderId="23" xfId="0" applyFont="1" applyFill="1" applyBorder="1"/>
    <xf numFmtId="0" fontId="19" fillId="8" borderId="8" xfId="0" applyFont="1" applyFill="1" applyBorder="1" applyAlignment="1">
      <alignment horizontal="left"/>
    </xf>
    <xf numFmtId="170" fontId="18" fillId="4" borderId="8" xfId="3" applyNumberFormat="1" applyFont="1" applyFill="1" applyBorder="1"/>
    <xf numFmtId="0" fontId="19" fillId="0" borderId="0" xfId="0" applyFont="1" applyAlignment="1">
      <alignment wrapText="1"/>
    </xf>
    <xf numFmtId="0" fontId="19" fillId="0" borderId="0" xfId="0" applyFont="1"/>
    <xf numFmtId="167" fontId="18" fillId="10" borderId="8" xfId="2" applyNumberFormat="1" applyFont="1" applyFill="1" applyBorder="1" applyAlignment="1">
      <alignment horizontal="center"/>
    </xf>
    <xf numFmtId="165" fontId="18" fillId="9" borderId="13" xfId="3" applyNumberFormat="1" applyFont="1" applyFill="1" applyBorder="1" applyAlignment="1">
      <alignment horizontal="center" vertical="center" wrapText="1"/>
    </xf>
    <xf numFmtId="165" fontId="18" fillId="5" borderId="13" xfId="3" applyNumberFormat="1" applyFont="1" applyFill="1" applyBorder="1" applyAlignment="1">
      <alignment horizontal="center" vertical="center" wrapText="1"/>
    </xf>
    <xf numFmtId="165" fontId="18" fillId="9" borderId="4" xfId="3" applyNumberFormat="1" applyFont="1" applyFill="1" applyBorder="1" applyAlignment="1">
      <alignment horizontal="center" vertical="center" wrapText="1"/>
    </xf>
    <xf numFmtId="165" fontId="18" fillId="5" borderId="4" xfId="3" applyNumberFormat="1" applyFont="1" applyFill="1" applyBorder="1" applyAlignment="1">
      <alignment horizontal="center" vertical="center" wrapText="1"/>
    </xf>
    <xf numFmtId="165" fontId="18" fillId="0" borderId="4" xfId="3" applyNumberFormat="1" applyFont="1" applyBorder="1" applyAlignment="1">
      <alignment horizontal="center" vertical="center" wrapText="1"/>
    </xf>
    <xf numFmtId="165" fontId="18" fillId="9" borderId="15" xfId="3" applyNumberFormat="1" applyFont="1" applyFill="1" applyBorder="1" applyAlignment="1">
      <alignment horizontal="center" vertical="center" wrapText="1"/>
    </xf>
    <xf numFmtId="165" fontId="18" fillId="5" borderId="15" xfId="3" applyNumberFormat="1" applyFont="1" applyFill="1" applyBorder="1" applyAlignment="1">
      <alignment horizontal="center" vertical="center" wrapText="1"/>
    </xf>
    <xf numFmtId="165" fontId="18" fillId="0" borderId="15" xfId="3" applyNumberFormat="1" applyFont="1" applyBorder="1" applyAlignment="1">
      <alignment horizontal="center" vertical="center" wrapText="1"/>
    </xf>
    <xf numFmtId="165" fontId="18" fillId="9" borderId="25" xfId="3" applyNumberFormat="1" applyFont="1" applyFill="1" applyBorder="1" applyAlignment="1">
      <alignment horizontal="center" vertical="center" wrapText="1"/>
    </xf>
    <xf numFmtId="165" fontId="18" fillId="5" borderId="25" xfId="3" applyNumberFormat="1" applyFont="1" applyFill="1" applyBorder="1" applyAlignment="1">
      <alignment horizontal="center" vertical="center" wrapText="1"/>
    </xf>
    <xf numFmtId="165" fontId="18" fillId="0" borderId="25" xfId="3" applyNumberFormat="1" applyFont="1" applyBorder="1" applyAlignment="1">
      <alignment horizontal="center" vertical="center" wrapText="1"/>
    </xf>
    <xf numFmtId="165" fontId="39" fillId="9" borderId="5" xfId="3" applyNumberFormat="1" applyFont="1" applyFill="1" applyBorder="1" applyAlignment="1">
      <alignment horizontal="center"/>
    </xf>
    <xf numFmtId="165" fontId="39" fillId="5" borderId="5" xfId="3" applyNumberFormat="1" applyFont="1" applyFill="1" applyBorder="1" applyAlignment="1">
      <alignment horizontal="center"/>
    </xf>
    <xf numFmtId="171" fontId="19" fillId="6" borderId="3" xfId="3" applyNumberFormat="1" applyFont="1" applyFill="1" applyBorder="1" applyAlignment="1"/>
    <xf numFmtId="0" fontId="19" fillId="8" borderId="16" xfId="0" applyFont="1" applyFill="1" applyBorder="1" applyAlignment="1">
      <alignment horizontal="center" vertical="center" wrapText="1"/>
    </xf>
    <xf numFmtId="170" fontId="18" fillId="5" borderId="16" xfId="35" applyNumberFormat="1" applyFont="1" applyFill="1" applyBorder="1" applyAlignment="1">
      <alignment horizontal="right"/>
    </xf>
    <xf numFmtId="170" fontId="18" fillId="0" borderId="16" xfId="35" applyNumberFormat="1" applyFont="1" applyFill="1" applyBorder="1" applyAlignment="1">
      <alignment horizontal="right"/>
    </xf>
    <xf numFmtId="0" fontId="32" fillId="0" borderId="12" xfId="31" applyFont="1" applyBorder="1" applyAlignment="1">
      <alignment horizontal="right"/>
    </xf>
    <xf numFmtId="170" fontId="32" fillId="5" borderId="3" xfId="32" applyNumberFormat="1" applyFont="1" applyFill="1" applyBorder="1" applyAlignment="1">
      <alignment horizontal="right"/>
    </xf>
    <xf numFmtId="0" fontId="32" fillId="0" borderId="3" xfId="31" applyFont="1" applyBorder="1" applyAlignment="1">
      <alignment horizontal="center"/>
    </xf>
    <xf numFmtId="170" fontId="32" fillId="0" borderId="3" xfId="32" applyNumberFormat="1" applyFont="1" applyFill="1" applyBorder="1" applyAlignment="1">
      <alignment horizontal="right"/>
    </xf>
    <xf numFmtId="0" fontId="0" fillId="9" borderId="20" xfId="0" applyFill="1" applyBorder="1"/>
    <xf numFmtId="9" fontId="18" fillId="4" borderId="3" xfId="10" applyFont="1" applyFill="1" applyBorder="1" applyAlignment="1">
      <alignment horizontal="right" wrapText="1"/>
    </xf>
    <xf numFmtId="9" fontId="18" fillId="0" borderId="13" xfId="10" applyFont="1" applyFill="1" applyBorder="1" applyAlignment="1">
      <alignment horizontal="center" vertical="center" wrapText="1"/>
    </xf>
    <xf numFmtId="167" fontId="0" fillId="6" borderId="3" xfId="2" applyNumberFormat="1" applyFont="1" applyFill="1" applyBorder="1" applyAlignment="1"/>
    <xf numFmtId="167" fontId="10" fillId="6" borderId="3" xfId="2" applyNumberFormat="1" applyFont="1" applyFill="1" applyBorder="1" applyAlignment="1"/>
    <xf numFmtId="0" fontId="12" fillId="13" borderId="9" xfId="0" applyFont="1" applyFill="1" applyBorder="1"/>
    <xf numFmtId="0" fontId="26" fillId="8" borderId="9" xfId="13" applyFont="1" applyFill="1" applyBorder="1"/>
    <xf numFmtId="167" fontId="10" fillId="6" borderId="3" xfId="0" applyNumberFormat="1" applyFont="1" applyFill="1" applyBorder="1"/>
    <xf numFmtId="43" fontId="0" fillId="9" borderId="0" xfId="0" applyNumberFormat="1" applyFill="1"/>
    <xf numFmtId="3" fontId="0" fillId="9" borderId="0" xfId="0" applyNumberFormat="1" applyFill="1"/>
    <xf numFmtId="167" fontId="10" fillId="6" borderId="3" xfId="0" applyNumberFormat="1" applyFont="1" applyFill="1" applyBorder="1" applyAlignment="1">
      <alignment horizontal="center"/>
    </xf>
    <xf numFmtId="9" fontId="18" fillId="0" borderId="4" xfId="1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wrapText="1"/>
    </xf>
    <xf numFmtId="0" fontId="10" fillId="9" borderId="0" xfId="0" applyFont="1" applyFill="1" applyAlignment="1">
      <alignment wrapText="1"/>
    </xf>
    <xf numFmtId="0" fontId="18" fillId="9" borderId="14" xfId="0" applyFont="1" applyFill="1" applyBorder="1" applyAlignment="1">
      <alignment horizontal="center" vertical="center" wrapText="1"/>
    </xf>
    <xf numFmtId="44" fontId="0" fillId="9" borderId="0" xfId="3" applyFont="1" applyFill="1"/>
    <xf numFmtId="1" fontId="18" fillId="0" borderId="14" xfId="0" applyNumberFormat="1" applyFont="1" applyBorder="1" applyAlignment="1">
      <alignment horizontal="center" vertical="center" wrapText="1"/>
    </xf>
    <xf numFmtId="1" fontId="18" fillId="5" borderId="13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170" fontId="18" fillId="9" borderId="3" xfId="0" applyNumberFormat="1" applyFont="1" applyFill="1" applyBorder="1" applyAlignment="1">
      <alignment horizontal="right" vertical="center" wrapText="1"/>
    </xf>
    <xf numFmtId="170" fontId="18" fillId="9" borderId="13" xfId="0" applyNumberFormat="1" applyFont="1" applyFill="1" applyBorder="1" applyAlignment="1">
      <alignment horizontal="right" vertical="center" wrapText="1"/>
    </xf>
    <xf numFmtId="170" fontId="18" fillId="9" borderId="4" xfId="0" applyNumberFormat="1" applyFont="1" applyFill="1" applyBorder="1" applyAlignment="1">
      <alignment horizontal="right" vertical="center" wrapText="1"/>
    </xf>
    <xf numFmtId="170" fontId="18" fillId="9" borderId="14" xfId="0" applyNumberFormat="1" applyFont="1" applyFill="1" applyBorder="1" applyAlignment="1">
      <alignment horizontal="right" vertical="center" wrapText="1"/>
    </xf>
    <xf numFmtId="2" fontId="19" fillId="0" borderId="17" xfId="0" applyNumberFormat="1" applyFont="1" applyBorder="1" applyAlignment="1">
      <alignment horizontal="center"/>
    </xf>
    <xf numFmtId="170" fontId="0" fillId="9" borderId="0" xfId="0" applyNumberFormat="1" applyFill="1"/>
    <xf numFmtId="0" fontId="27" fillId="8" borderId="10" xfId="9" applyFont="1" applyFill="1" applyBorder="1" applyAlignment="1">
      <alignment horizontal="center" vertical="center" wrapText="1"/>
    </xf>
    <xf numFmtId="0" fontId="27" fillId="8" borderId="18" xfId="9" applyFont="1" applyFill="1" applyBorder="1" applyAlignment="1">
      <alignment horizontal="center" vertical="center" wrapText="1"/>
    </xf>
    <xf numFmtId="0" fontId="24" fillId="7" borderId="11" xfId="9" applyFont="1" applyFill="1" applyBorder="1" applyAlignment="1">
      <alignment horizontal="center" vertical="center"/>
    </xf>
    <xf numFmtId="0" fontId="24" fillId="7" borderId="31" xfId="9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0" fillId="7" borderId="9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6" fontId="23" fillId="0" borderId="10" xfId="0" applyNumberFormat="1" applyFont="1" applyBorder="1" applyAlignment="1">
      <alignment horizontal="right"/>
    </xf>
    <xf numFmtId="6" fontId="23" fillId="0" borderId="18" xfId="0" applyNumberFormat="1" applyFont="1" applyBorder="1" applyAlignment="1">
      <alignment horizontal="right"/>
    </xf>
    <xf numFmtId="0" fontId="20" fillId="7" borderId="1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6" fontId="23" fillId="0" borderId="26" xfId="0" applyNumberFormat="1" applyFont="1" applyBorder="1" applyAlignment="1">
      <alignment horizontal="right"/>
    </xf>
    <xf numFmtId="0" fontId="20" fillId="7" borderId="3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0" fontId="20" fillId="7" borderId="12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left"/>
    </xf>
    <xf numFmtId="0" fontId="12" fillId="9" borderId="9" xfId="0" applyFont="1" applyFill="1" applyBorder="1" applyAlignment="1">
      <alignment horizontal="left"/>
    </xf>
    <xf numFmtId="0" fontId="32" fillId="0" borderId="12" xfId="31" applyFont="1" applyBorder="1" applyAlignment="1">
      <alignment horizontal="right"/>
    </xf>
    <xf numFmtId="0" fontId="32" fillId="0" borderId="2" xfId="31" applyFont="1" applyBorder="1" applyAlignment="1">
      <alignment horizontal="right"/>
    </xf>
    <xf numFmtId="0" fontId="32" fillId="0" borderId="9" xfId="31" applyFont="1" applyBorder="1" applyAlignment="1">
      <alignment horizontal="right"/>
    </xf>
    <xf numFmtId="0" fontId="32" fillId="9" borderId="12" xfId="31" applyFont="1" applyFill="1" applyBorder="1" applyAlignment="1">
      <alignment horizontal="left"/>
    </xf>
    <xf numFmtId="0" fontId="32" fillId="9" borderId="2" xfId="31" applyFont="1" applyFill="1" applyBorder="1" applyAlignment="1">
      <alignment horizontal="left"/>
    </xf>
    <xf numFmtId="0" fontId="32" fillId="9" borderId="9" xfId="31" applyFont="1" applyFill="1" applyBorder="1" applyAlignment="1">
      <alignment horizontal="left"/>
    </xf>
    <xf numFmtId="0" fontId="20" fillId="7" borderId="1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30" fillId="7" borderId="3" xfId="13" applyFont="1" applyFill="1" applyBorder="1" applyAlignment="1">
      <alignment horizontal="center" vertical="center" wrapText="1"/>
    </xf>
    <xf numFmtId="0" fontId="27" fillId="8" borderId="3" xfId="13" applyFont="1" applyFill="1" applyBorder="1" applyAlignment="1">
      <alignment horizontal="center" vertical="center" wrapText="1"/>
    </xf>
    <xf numFmtId="170" fontId="27" fillId="6" borderId="3" xfId="3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30" fillId="7" borderId="12" xfId="13" applyFont="1" applyFill="1" applyBorder="1" applyAlignment="1">
      <alignment horizontal="center" vertical="center" wrapText="1"/>
    </xf>
    <xf numFmtId="0" fontId="30" fillId="7" borderId="9" xfId="13" applyFont="1" applyFill="1" applyBorder="1" applyAlignment="1">
      <alignment horizontal="center" vertical="center" wrapText="1"/>
    </xf>
    <xf numFmtId="0" fontId="30" fillId="7" borderId="2" xfId="13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2" fillId="9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 wrapText="1"/>
    </xf>
    <xf numFmtId="0" fontId="12" fillId="9" borderId="2" xfId="0" applyFont="1" applyFill="1" applyBorder="1" applyAlignment="1">
      <alignment horizontal="left"/>
    </xf>
    <xf numFmtId="0" fontId="20" fillId="7" borderId="3" xfId="0" applyFont="1" applyFill="1" applyBorder="1" applyAlignment="1">
      <alignment horizontal="center" vertical="center" wrapText="1"/>
    </xf>
    <xf numFmtId="165" fontId="23" fillId="0" borderId="12" xfId="3" applyNumberFormat="1" applyFont="1" applyBorder="1" applyAlignment="1">
      <alignment horizontal="center"/>
    </xf>
    <xf numFmtId="165" fontId="23" fillId="0" borderId="2" xfId="3" applyNumberFormat="1" applyFont="1" applyBorder="1" applyAlignment="1">
      <alignment horizontal="center"/>
    </xf>
    <xf numFmtId="165" fontId="23" fillId="0" borderId="9" xfId="3" applyNumberFormat="1" applyFont="1" applyBorder="1" applyAlignment="1">
      <alignment horizontal="center"/>
    </xf>
    <xf numFmtId="0" fontId="20" fillId="7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wrapText="1"/>
    </xf>
    <xf numFmtId="0" fontId="37" fillId="0" borderId="19" xfId="36" applyBorder="1" applyAlignment="1">
      <alignment horizontal="left"/>
    </xf>
    <xf numFmtId="0" fontId="37" fillId="0" borderId="24" xfId="36" applyBorder="1" applyAlignment="1">
      <alignment horizontal="left"/>
    </xf>
    <xf numFmtId="0" fontId="37" fillId="0" borderId="27" xfId="36" applyBorder="1" applyAlignment="1">
      <alignment horizontal="left"/>
    </xf>
    <xf numFmtId="0" fontId="12" fillId="9" borderId="20" xfId="0" applyFont="1" applyFill="1" applyBorder="1" applyAlignment="1">
      <alignment horizontal="left"/>
    </xf>
    <xf numFmtId="0" fontId="12" fillId="9" borderId="0" xfId="0" applyFont="1" applyFill="1" applyAlignment="1">
      <alignment horizontal="left"/>
    </xf>
    <xf numFmtId="0" fontId="12" fillId="9" borderId="32" xfId="0" applyFont="1" applyFill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2" xfId="0" applyFont="1" applyBorder="1" applyAlignment="1">
      <alignment horizontal="left"/>
    </xf>
    <xf numFmtId="0" fontId="37" fillId="9" borderId="22" xfId="36" applyFill="1" applyBorder="1" applyAlignment="1">
      <alignment horizontal="left"/>
    </xf>
    <xf numFmtId="0" fontId="37" fillId="9" borderId="21" xfId="36" applyFill="1" applyBorder="1" applyAlignment="1">
      <alignment horizontal="left"/>
    </xf>
    <xf numFmtId="0" fontId="37" fillId="9" borderId="23" xfId="36" applyFill="1" applyBorder="1" applyAlignment="1">
      <alignment horizontal="left"/>
    </xf>
    <xf numFmtId="0" fontId="19" fillId="9" borderId="12" xfId="0" applyFont="1" applyFill="1" applyBorder="1" applyAlignment="1">
      <alignment horizontal="left"/>
    </xf>
    <xf numFmtId="0" fontId="19" fillId="9" borderId="2" xfId="0" applyFont="1" applyFill="1" applyBorder="1" applyAlignment="1">
      <alignment horizontal="left"/>
    </xf>
    <xf numFmtId="0" fontId="19" fillId="9" borderId="9" xfId="0" applyFont="1" applyFill="1" applyBorder="1" applyAlignment="1">
      <alignment horizontal="left"/>
    </xf>
    <xf numFmtId="0" fontId="20" fillId="7" borderId="12" xfId="13" applyFont="1" applyFill="1" applyBorder="1" applyAlignment="1">
      <alignment horizontal="center"/>
    </xf>
    <xf numFmtId="0" fontId="20" fillId="7" borderId="9" xfId="13" applyFont="1" applyFill="1" applyBorder="1" applyAlignment="1">
      <alignment horizontal="center"/>
    </xf>
    <xf numFmtId="0" fontId="12" fillId="9" borderId="22" xfId="0" applyFont="1" applyFill="1" applyBorder="1" applyAlignment="1">
      <alignment horizontal="left"/>
    </xf>
    <xf numFmtId="0" fontId="12" fillId="9" borderId="21" xfId="0" applyFont="1" applyFill="1" applyBorder="1" applyAlignment="1">
      <alignment horizontal="left"/>
    </xf>
    <xf numFmtId="0" fontId="12" fillId="9" borderId="23" xfId="0" applyFont="1" applyFill="1" applyBorder="1" applyAlignment="1">
      <alignment horizontal="left"/>
    </xf>
    <xf numFmtId="0" fontId="20" fillId="7" borderId="2" xfId="13" applyFont="1" applyFill="1" applyBorder="1" applyAlignment="1">
      <alignment horizontal="center"/>
    </xf>
    <xf numFmtId="0" fontId="19" fillId="9" borderId="0" xfId="0" applyFont="1" applyFill="1" applyAlignment="1">
      <alignment horizontal="left"/>
    </xf>
    <xf numFmtId="0" fontId="19" fillId="9" borderId="19" xfId="0" applyFont="1" applyFill="1" applyBorder="1" applyAlignment="1">
      <alignment horizontal="left"/>
    </xf>
    <xf numFmtId="0" fontId="19" fillId="9" borderId="27" xfId="0" applyFont="1" applyFill="1" applyBorder="1" applyAlignment="1">
      <alignment horizontal="left"/>
    </xf>
    <xf numFmtId="0" fontId="19" fillId="9" borderId="22" xfId="0" applyFont="1" applyFill="1" applyBorder="1" applyAlignment="1">
      <alignment horizontal="left"/>
    </xf>
    <xf numFmtId="0" fontId="19" fillId="9" borderId="23" xfId="0" applyFont="1" applyFill="1" applyBorder="1" applyAlignment="1">
      <alignment horizontal="left"/>
    </xf>
    <xf numFmtId="0" fontId="19" fillId="0" borderId="12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12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0" fillId="7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9" fillId="9" borderId="20" xfId="13" applyFont="1" applyFill="1" applyBorder="1" applyAlignment="1">
      <alignment horizontal="left" vertical="top"/>
    </xf>
    <xf numFmtId="0" fontId="19" fillId="9" borderId="0" xfId="13" applyFont="1" applyFill="1" applyAlignment="1">
      <alignment horizontal="left" vertical="top"/>
    </xf>
    <xf numFmtId="0" fontId="19" fillId="9" borderId="32" xfId="13" applyFont="1" applyFill="1" applyBorder="1" applyAlignment="1">
      <alignment horizontal="left" vertical="top"/>
    </xf>
    <xf numFmtId="0" fontId="19" fillId="9" borderId="22" xfId="13" applyFont="1" applyFill="1" applyBorder="1" applyAlignment="1">
      <alignment horizontal="left" vertical="top"/>
    </xf>
    <xf numFmtId="0" fontId="19" fillId="9" borderId="21" xfId="13" applyFont="1" applyFill="1" applyBorder="1" applyAlignment="1">
      <alignment horizontal="left" vertical="top"/>
    </xf>
    <xf numFmtId="0" fontId="19" fillId="9" borderId="23" xfId="13" applyFont="1" applyFill="1" applyBorder="1" applyAlignment="1">
      <alignment horizontal="left" vertical="top"/>
    </xf>
    <xf numFmtId="0" fontId="12" fillId="9" borderId="19" xfId="0" applyFont="1" applyFill="1" applyBorder="1" applyAlignment="1">
      <alignment horizontal="left"/>
    </xf>
    <xf numFmtId="0" fontId="12" fillId="9" borderId="24" xfId="0" applyFont="1" applyFill="1" applyBorder="1" applyAlignment="1">
      <alignment horizontal="left"/>
    </xf>
    <xf numFmtId="0" fontId="12" fillId="9" borderId="27" xfId="0" applyFont="1" applyFill="1" applyBorder="1" applyAlignment="1">
      <alignment horizontal="left"/>
    </xf>
    <xf numFmtId="0" fontId="20" fillId="7" borderId="3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 vertical="center"/>
    </xf>
    <xf numFmtId="0" fontId="20" fillId="7" borderId="19" xfId="13" applyFont="1" applyFill="1" applyBorder="1" applyAlignment="1">
      <alignment horizontal="center" vertical="center" wrapText="1"/>
    </xf>
    <xf numFmtId="0" fontId="20" fillId="7" borderId="27" xfId="13" applyFont="1" applyFill="1" applyBorder="1" applyAlignment="1">
      <alignment horizontal="center" vertical="center" wrapText="1"/>
    </xf>
    <xf numFmtId="0" fontId="20" fillId="7" borderId="22" xfId="13" applyFont="1" applyFill="1" applyBorder="1" applyAlignment="1">
      <alignment horizontal="center" vertical="center" wrapText="1"/>
    </xf>
    <xf numFmtId="0" fontId="20" fillId="7" borderId="23" xfId="13" applyFont="1" applyFill="1" applyBorder="1" applyAlignment="1">
      <alignment horizontal="center" vertical="center" wrapText="1"/>
    </xf>
    <xf numFmtId="0" fontId="19" fillId="0" borderId="12" xfId="13" applyFont="1" applyBorder="1" applyAlignment="1">
      <alignment horizontal="left" wrapText="1"/>
    </xf>
    <xf numFmtId="0" fontId="19" fillId="0" borderId="9" xfId="13" applyFont="1" applyBorder="1" applyAlignment="1">
      <alignment horizontal="left" wrapText="1"/>
    </xf>
    <xf numFmtId="0" fontId="20" fillId="7" borderId="8" xfId="13" applyFont="1" applyFill="1" applyBorder="1" applyAlignment="1">
      <alignment horizontal="center" vertical="center"/>
    </xf>
    <xf numFmtId="0" fontId="20" fillId="7" borderId="4" xfId="13" applyFont="1" applyFill="1" applyBorder="1" applyAlignment="1">
      <alignment horizontal="center" vertical="center"/>
    </xf>
    <xf numFmtId="0" fontId="20" fillId="7" borderId="7" xfId="13" applyFont="1" applyFill="1" applyBorder="1" applyAlignment="1">
      <alignment horizontal="center" vertical="center"/>
    </xf>
    <xf numFmtId="0" fontId="20" fillId="7" borderId="8" xfId="13" applyFont="1" applyFill="1" applyBorder="1" applyAlignment="1">
      <alignment horizontal="center" vertical="center" wrapText="1"/>
    </xf>
    <xf numFmtId="0" fontId="20" fillId="7" borderId="4" xfId="13" applyFont="1" applyFill="1" applyBorder="1" applyAlignment="1">
      <alignment horizontal="center" vertical="center" wrapText="1"/>
    </xf>
    <xf numFmtId="0" fontId="20" fillId="7" borderId="7" xfId="13" applyFont="1" applyFill="1" applyBorder="1" applyAlignment="1">
      <alignment horizontal="center" vertical="center" wrapText="1"/>
    </xf>
    <xf numFmtId="0" fontId="20" fillId="7" borderId="12" xfId="13" applyFont="1" applyFill="1" applyBorder="1" applyAlignment="1">
      <alignment horizontal="center" vertical="center" wrapText="1"/>
    </xf>
    <xf numFmtId="0" fontId="20" fillId="7" borderId="9" xfId="13" applyFont="1" applyFill="1" applyBorder="1" applyAlignment="1">
      <alignment horizontal="center" vertical="center" wrapText="1"/>
    </xf>
    <xf numFmtId="0" fontId="20" fillId="7" borderId="3" xfId="13" applyFont="1" applyFill="1" applyBorder="1" applyAlignment="1">
      <alignment horizontal="center" vertical="center" wrapText="1"/>
    </xf>
    <xf numFmtId="0" fontId="19" fillId="0" borderId="12" xfId="13" applyFont="1" applyBorder="1" applyAlignment="1">
      <alignment horizontal="right"/>
    </xf>
    <xf numFmtId="0" fontId="19" fillId="0" borderId="2" xfId="13" applyFont="1" applyBorder="1" applyAlignment="1">
      <alignment horizontal="right"/>
    </xf>
    <xf numFmtId="0" fontId="19" fillId="0" borderId="9" xfId="13" applyFont="1" applyBorder="1" applyAlignment="1">
      <alignment horizontal="right"/>
    </xf>
    <xf numFmtId="0" fontId="20" fillId="7" borderId="12" xfId="13" applyFont="1" applyFill="1" applyBorder="1" applyAlignment="1">
      <alignment horizontal="center" vertical="center"/>
    </xf>
    <xf numFmtId="0" fontId="20" fillId="7" borderId="2" xfId="13" applyFont="1" applyFill="1" applyBorder="1" applyAlignment="1">
      <alignment horizontal="center" vertical="center"/>
    </xf>
    <xf numFmtId="0" fontId="20" fillId="7" borderId="9" xfId="13" applyFont="1" applyFill="1" applyBorder="1" applyAlignment="1">
      <alignment horizontal="center" vertical="center"/>
    </xf>
    <xf numFmtId="0" fontId="20" fillId="7" borderId="5" xfId="13" applyFont="1" applyFill="1" applyBorder="1" applyAlignment="1">
      <alignment horizontal="center" vertical="center"/>
    </xf>
    <xf numFmtId="0" fontId="20" fillId="7" borderId="19" xfId="13" applyFont="1" applyFill="1" applyBorder="1" applyAlignment="1">
      <alignment horizontal="center" vertical="center"/>
    </xf>
    <xf numFmtId="0" fontId="20" fillId="7" borderId="24" xfId="13" applyFont="1" applyFill="1" applyBorder="1" applyAlignment="1">
      <alignment horizontal="center" vertical="center"/>
    </xf>
    <xf numFmtId="0" fontId="20" fillId="7" borderId="27" xfId="13" applyFont="1" applyFill="1" applyBorder="1" applyAlignment="1">
      <alignment horizontal="center" vertical="center"/>
    </xf>
    <xf numFmtId="0" fontId="20" fillId="7" borderId="22" xfId="13" applyFont="1" applyFill="1" applyBorder="1" applyAlignment="1">
      <alignment horizontal="center" vertical="center"/>
    </xf>
    <xf numFmtId="0" fontId="20" fillId="7" borderId="21" xfId="13" applyFont="1" applyFill="1" applyBorder="1" applyAlignment="1">
      <alignment horizontal="center" vertical="center"/>
    </xf>
    <xf numFmtId="0" fontId="20" fillId="7" borderId="23" xfId="13" applyFont="1" applyFill="1" applyBorder="1" applyAlignment="1">
      <alignment horizontal="center" vertical="center"/>
    </xf>
    <xf numFmtId="0" fontId="20" fillId="7" borderId="3" xfId="13" applyFont="1" applyFill="1" applyBorder="1" applyAlignment="1">
      <alignment horizontal="center" vertical="center"/>
    </xf>
    <xf numFmtId="0" fontId="20" fillId="9" borderId="0" xfId="13" applyFont="1" applyFill="1" applyAlignment="1">
      <alignment horizontal="center"/>
    </xf>
    <xf numFmtId="0" fontId="20" fillId="9" borderId="0" xfId="13" applyFont="1" applyFill="1" applyAlignment="1">
      <alignment horizontal="center" vertical="center"/>
    </xf>
    <xf numFmtId="0" fontId="10" fillId="9" borderId="21" xfId="0" applyFont="1" applyFill="1" applyBorder="1" applyAlignment="1">
      <alignment horizontal="left"/>
    </xf>
    <xf numFmtId="0" fontId="10" fillId="9" borderId="23" xfId="0" applyFont="1" applyFill="1" applyBorder="1" applyAlignment="1">
      <alignment horizontal="left"/>
    </xf>
    <xf numFmtId="0" fontId="12" fillId="9" borderId="12" xfId="0" applyFont="1" applyFill="1" applyBorder="1" applyAlignment="1">
      <alignment horizontal="left" wrapText="1"/>
    </xf>
    <xf numFmtId="0" fontId="12" fillId="9" borderId="2" xfId="0" applyFont="1" applyFill="1" applyBorder="1" applyAlignment="1">
      <alignment horizontal="left" wrapText="1"/>
    </xf>
    <xf numFmtId="0" fontId="12" fillId="9" borderId="9" xfId="0" applyFont="1" applyFill="1" applyBorder="1" applyAlignment="1">
      <alignment horizontal="left" wrapText="1"/>
    </xf>
    <xf numFmtId="0" fontId="27" fillId="8" borderId="12" xfId="13" applyFont="1" applyFill="1" applyBorder="1" applyAlignment="1">
      <alignment horizontal="center" vertical="center" wrapText="1"/>
    </xf>
    <xf numFmtId="0" fontId="27" fillId="8" borderId="9" xfId="13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9" fillId="9" borderId="12" xfId="0" applyFont="1" applyFill="1" applyBorder="1" applyAlignment="1">
      <alignment horizontal="left" wrapText="1"/>
    </xf>
    <xf numFmtId="0" fontId="19" fillId="9" borderId="9" xfId="0" applyFont="1" applyFill="1" applyBorder="1" applyAlignment="1">
      <alignment horizontal="left" wrapText="1"/>
    </xf>
    <xf numFmtId="0" fontId="18" fillId="7" borderId="8" xfId="13" applyFont="1" applyFill="1" applyBorder="1" applyAlignment="1">
      <alignment horizontal="center"/>
    </xf>
    <xf numFmtId="0" fontId="18" fillId="7" borderId="5" xfId="13" applyFont="1" applyFill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2" fillId="9" borderId="19" xfId="0" applyFont="1" applyFill="1" applyBorder="1" applyAlignment="1">
      <alignment horizontal="left" wrapText="1"/>
    </xf>
    <xf numFmtId="0" fontId="12" fillId="9" borderId="24" xfId="0" applyFont="1" applyFill="1" applyBorder="1" applyAlignment="1">
      <alignment horizontal="left" wrapText="1"/>
    </xf>
    <xf numFmtId="0" fontId="12" fillId="9" borderId="27" xfId="0" applyFont="1" applyFill="1" applyBorder="1" applyAlignment="1">
      <alignment horizontal="left" wrapText="1"/>
    </xf>
    <xf numFmtId="0" fontId="19" fillId="9" borderId="21" xfId="13" applyFont="1" applyFill="1" applyBorder="1" applyAlignment="1">
      <alignment horizontal="left"/>
    </xf>
    <xf numFmtId="0" fontId="19" fillId="9" borderId="23" xfId="13" applyFont="1" applyFill="1" applyBorder="1" applyAlignment="1">
      <alignment horizontal="left"/>
    </xf>
    <xf numFmtId="0" fontId="19" fillId="9" borderId="19" xfId="13" applyFont="1" applyFill="1" applyBorder="1" applyAlignment="1">
      <alignment horizontal="left" wrapText="1"/>
    </xf>
    <xf numFmtId="0" fontId="19" fillId="9" borderId="24" xfId="13" applyFont="1" applyFill="1" applyBorder="1" applyAlignment="1">
      <alignment horizontal="left" wrapText="1"/>
    </xf>
    <xf numFmtId="0" fontId="19" fillId="9" borderId="27" xfId="13" applyFont="1" applyFill="1" applyBorder="1" applyAlignment="1">
      <alignment horizontal="left" wrapText="1"/>
    </xf>
    <xf numFmtId="0" fontId="19" fillId="9" borderId="20" xfId="13" applyFont="1" applyFill="1" applyBorder="1" applyAlignment="1">
      <alignment horizontal="left" wrapText="1"/>
    </xf>
    <xf numFmtId="0" fontId="19" fillId="9" borderId="0" xfId="13" applyFont="1" applyFill="1" applyAlignment="1">
      <alignment horizontal="left" wrapText="1"/>
    </xf>
    <xf numFmtId="0" fontId="19" fillId="9" borderId="32" xfId="13" applyFont="1" applyFill="1" applyBorder="1" applyAlignment="1">
      <alignment horizontal="left" wrapText="1"/>
    </xf>
    <xf numFmtId="0" fontId="37" fillId="9" borderId="20" xfId="36" applyFill="1" applyBorder="1" applyAlignment="1">
      <alignment horizontal="left" wrapText="1"/>
    </xf>
    <xf numFmtId="0" fontId="12" fillId="9" borderId="0" xfId="0" applyFont="1" applyFill="1" applyAlignment="1">
      <alignment horizontal="left" wrapText="1"/>
    </xf>
    <xf numFmtId="0" fontId="12" fillId="9" borderId="32" xfId="0" applyFont="1" applyFill="1" applyBorder="1" applyAlignment="1">
      <alignment horizontal="left" wrapText="1"/>
    </xf>
    <xf numFmtId="0" fontId="18" fillId="7" borderId="3" xfId="13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2" fillId="9" borderId="12" xfId="36" applyFont="1" applyFill="1" applyBorder="1" applyAlignment="1">
      <alignment horizontal="left" wrapText="1"/>
    </xf>
    <xf numFmtId="0" fontId="12" fillId="9" borderId="2" xfId="36" applyFont="1" applyFill="1" applyBorder="1" applyAlignment="1">
      <alignment horizontal="left" wrapText="1"/>
    </xf>
    <xf numFmtId="0" fontId="12" fillId="9" borderId="9" xfId="36" applyFont="1" applyFill="1" applyBorder="1" applyAlignment="1">
      <alignment horizontal="left" wrapText="1"/>
    </xf>
    <xf numFmtId="0" fontId="20" fillId="7" borderId="19" xfId="13" applyFont="1" applyFill="1" applyBorder="1" applyAlignment="1">
      <alignment horizontal="center"/>
    </xf>
    <xf numFmtId="0" fontId="20" fillId="7" borderId="27" xfId="13" applyFont="1" applyFill="1" applyBorder="1" applyAlignment="1">
      <alignment horizontal="center"/>
    </xf>
    <xf numFmtId="0" fontId="26" fillId="12" borderId="12" xfId="13" applyFont="1" applyFill="1" applyBorder="1" applyAlignment="1">
      <alignment horizontal="right"/>
    </xf>
    <xf numFmtId="0" fontId="26" fillId="12" borderId="9" xfId="13" applyFont="1" applyFill="1" applyBorder="1" applyAlignment="1">
      <alignment horizontal="right"/>
    </xf>
    <xf numFmtId="0" fontId="20" fillId="7" borderId="5" xfId="13" applyFont="1" applyFill="1" applyBorder="1" applyAlignment="1">
      <alignment horizontal="center"/>
    </xf>
    <xf numFmtId="0" fontId="20" fillId="7" borderId="3" xfId="13" applyFont="1" applyFill="1" applyBorder="1" applyAlignment="1">
      <alignment horizontal="center"/>
    </xf>
    <xf numFmtId="0" fontId="12" fillId="12" borderId="12" xfId="0" applyFont="1" applyFill="1" applyBorder="1" applyAlignment="1">
      <alignment horizontal="right"/>
    </xf>
    <xf numFmtId="0" fontId="12" fillId="12" borderId="9" xfId="0" applyFont="1" applyFill="1" applyBorder="1" applyAlignment="1">
      <alignment horizontal="right"/>
    </xf>
    <xf numFmtId="0" fontId="12" fillId="9" borderId="19" xfId="36" applyFont="1" applyFill="1" applyBorder="1" applyAlignment="1">
      <alignment horizontal="left" wrapText="1"/>
    </xf>
    <xf numFmtId="0" fontId="12" fillId="9" borderId="24" xfId="36" applyFont="1" applyFill="1" applyBorder="1" applyAlignment="1">
      <alignment horizontal="left" wrapText="1"/>
    </xf>
    <xf numFmtId="0" fontId="12" fillId="9" borderId="27" xfId="36" applyFont="1" applyFill="1" applyBorder="1" applyAlignment="1">
      <alignment horizontal="left" wrapText="1"/>
    </xf>
    <xf numFmtId="0" fontId="45" fillId="7" borderId="3" xfId="0" applyFont="1" applyFill="1" applyBorder="1" applyAlignment="1">
      <alignment horizontal="center"/>
    </xf>
    <xf numFmtId="0" fontId="1" fillId="9" borderId="0" xfId="31" applyFont="1" applyFill="1"/>
    <xf numFmtId="0" fontId="1" fillId="9" borderId="0" xfId="31" applyFont="1" applyFill="1" applyAlignment="1">
      <alignment horizontal="left" vertical="center"/>
    </xf>
    <xf numFmtId="0" fontId="1" fillId="9" borderId="0" xfId="31" applyFont="1" applyFill="1" applyAlignment="1">
      <alignment horizontal="center" vertical="center" wrapText="1"/>
    </xf>
  </cellXfs>
  <cellStyles count="39">
    <cellStyle name="active" xfId="1" xr:uid="{00000000-0005-0000-0000-000000000000}"/>
    <cellStyle name="Comma" xfId="2" builtinId="3"/>
    <cellStyle name="Comma 2" xfId="14" xr:uid="{00000000-0005-0000-0000-000002000000}"/>
    <cellStyle name="Comma 3" xfId="24" xr:uid="{00000000-0005-0000-0000-000003000000}"/>
    <cellStyle name="Comma 4" xfId="34" xr:uid="{B314593C-B056-4326-B550-3800D60DC842}"/>
    <cellStyle name="Comma 4 2" xfId="27" xr:uid="{AE6857C9-D639-4B27-B668-4C520CC60211}"/>
    <cellStyle name="Comma 5" xfId="38" xr:uid="{D517A4FA-C93A-4ED5-8617-8FA2FE8F0DEC}"/>
    <cellStyle name="Currency" xfId="3" builtinId="4"/>
    <cellStyle name="Currency 2" xfId="28" xr:uid="{C14D5CEE-8BDE-45A8-A5EC-4BDC800DCA11}"/>
    <cellStyle name="Currency 2 2" xfId="21" xr:uid="{00000000-0005-0000-0000-000005000000}"/>
    <cellStyle name="Currency 3" xfId="22" xr:uid="{00000000-0005-0000-0000-000006000000}"/>
    <cellStyle name="Currency 4" xfId="32" xr:uid="{1DCD3180-B863-415D-9AE6-0777C48B8838}"/>
    <cellStyle name="Currency 4 2" xfId="35" xr:uid="{738BF59D-7947-4496-AC4C-96EABD024925}"/>
    <cellStyle name="Currency 8" xfId="18" xr:uid="{00000000-0005-0000-0000-000007000000}"/>
    <cellStyle name="Grey" xfId="4" xr:uid="{00000000-0005-0000-0000-000008000000}"/>
    <cellStyle name="Header1" xfId="5" xr:uid="{00000000-0005-0000-0000-000009000000}"/>
    <cellStyle name="Header2" xfId="6" xr:uid="{00000000-0005-0000-0000-00000A000000}"/>
    <cellStyle name="Hyperlink" xfId="36" builtinId="8"/>
    <cellStyle name="Hyperlink 2" xfId="29" xr:uid="{D8D2B306-04C1-4812-8C6F-26FEE931DDA3}"/>
    <cellStyle name="Input [yellow]" xfId="7" xr:uid="{00000000-0005-0000-0000-00000C000000}"/>
    <cellStyle name="Normal" xfId="0" builtinId="0"/>
    <cellStyle name="Normal - Style1" xfId="8" xr:uid="{00000000-0005-0000-0000-00000E000000}"/>
    <cellStyle name="Normal 11" xfId="17" xr:uid="{00000000-0005-0000-0000-00000F000000}"/>
    <cellStyle name="Normal 11 2" xfId="25" xr:uid="{00000000-0005-0000-0000-000010000000}"/>
    <cellStyle name="Normal 16" xfId="13" xr:uid="{00000000-0005-0000-0000-000011000000}"/>
    <cellStyle name="Normal 2" xfId="9" xr:uid="{00000000-0005-0000-0000-000012000000}"/>
    <cellStyle name="Normal 2 2" xfId="20" xr:uid="{00000000-0005-0000-0000-000013000000}"/>
    <cellStyle name="Normal 3" xfId="26" xr:uid="{078A139F-4F1B-4FEB-B837-880CBB0954E6}"/>
    <cellStyle name="Normal 4" xfId="15" xr:uid="{00000000-0005-0000-0000-000014000000}"/>
    <cellStyle name="Normal 4 2" xfId="16" xr:uid="{00000000-0005-0000-0000-000015000000}"/>
    <cellStyle name="Normal 4 3" xfId="19" xr:uid="{00000000-0005-0000-0000-000016000000}"/>
    <cellStyle name="Normal 5" xfId="23" xr:uid="{00000000-0005-0000-0000-000017000000}"/>
    <cellStyle name="Normal 6" xfId="30" xr:uid="{25233F65-2044-4ABD-93B6-7B8ECACACE0B}"/>
    <cellStyle name="Normal 7" xfId="31" xr:uid="{1183A224-93F5-4E11-976C-75437B20E09A}"/>
    <cellStyle name="Normal 7 2" xfId="37" xr:uid="{36F10AD6-D4A1-4745-BA89-CF086F9F9514}"/>
    <cellStyle name="Percent" xfId="10" builtinId="5"/>
    <cellStyle name="Percent [2]" xfId="11" xr:uid="{00000000-0005-0000-0000-000019000000}"/>
    <cellStyle name="Percent 2" xfId="33" xr:uid="{7BF367AD-F801-46DF-A1E4-1FBAEFE24983}"/>
    <cellStyle name="PSChar" xfId="12" xr:uid="{00000000-0005-0000-0000-00001A000000}"/>
  </cellStyles>
  <dxfs count="0"/>
  <tableStyles count="0" defaultTableStyle="TableStyleMedium9" defaultPivotStyle="PivotStyleLight16"/>
  <colors>
    <mruColors>
      <color rgb="FFFEF5E4"/>
      <color rgb="FFFFFFCC"/>
      <color rgb="FFFDB924"/>
      <color rgb="FF029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yoming%20TIGER\CBA%20Working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MCKEN~1/LOCALS~1/Temp/notesE97E9E/Template%20of%20Benefits%20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cow00\KCMDepartments\DOCUME~1\EMCKEN~1\LOCALS~1\Temp\notesE97E9E\Template%20of%20Benefits%20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Project\FTW_TPTO\061018034\xls\Service%20Area%20D\2007_8_11_FTW_RIF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trix"/>
      <sheetName val="START Summary"/>
      <sheetName val="START Narrative"/>
      <sheetName val="START Distance Benefit"/>
      <sheetName val="START Costs"/>
      <sheetName val="START VMT Table"/>
      <sheetName val="START Assumptions"/>
      <sheetName val="START Inside Storage Benefit"/>
      <sheetName val="START Mobility Benefit"/>
      <sheetName val="START Safety Benefit"/>
      <sheetName val="START Cost of Extra Idling"/>
      <sheetName val="START Road Cost Benefit"/>
      <sheetName val="START Parking Benefit"/>
      <sheetName val="START Remaining Capital Value"/>
      <sheetName val="START Global Benefit"/>
      <sheetName val="START Energy Cost"/>
      <sheetName val="START CNG Benefits"/>
      <sheetName val="START Value of CO2 rdct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nnel Capacity"/>
      <sheetName val="Notes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nnel Capacity"/>
      <sheetName val="Notes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NEW ROAD"/>
      <sheetName val="CCI"/>
      <sheetName val="PayItems"/>
      <sheetName val="Basswood (4)"/>
      <sheetName val="Basswood (5)"/>
      <sheetName val="Basswood (6)"/>
      <sheetName val="Basswood (7)"/>
      <sheetName val="Summerfields"/>
      <sheetName val="NTP (2)"/>
      <sheetName val="NTP (3)"/>
      <sheetName val="NTP (4)"/>
      <sheetName val="Shiver"/>
      <sheetName val="Heritage Trace (5)"/>
      <sheetName val="Heritage Trace (6)"/>
      <sheetName val="Heritage Trace (7)"/>
      <sheetName val="Golden Triangle (2)"/>
      <sheetName val="Golden Triangle (3)"/>
      <sheetName val="Golden Triangle (4)"/>
      <sheetName val="Keller Hicks (2)"/>
      <sheetName val="Keller Hicks (3)"/>
      <sheetName val="Keller Hicks (4)"/>
      <sheetName val="Timberland (1)"/>
      <sheetName val="Timberland (2)"/>
      <sheetName val="Timberland (3)"/>
      <sheetName val="N. Riverside (1)"/>
      <sheetName val="N. Riverside (2)"/>
      <sheetName val="N. Riverside (3)"/>
      <sheetName val="N. Riverside (4)"/>
      <sheetName val="N. Riverside (5)"/>
      <sheetName val="N. Riverside (6)"/>
      <sheetName val="N. Riverside (7)"/>
      <sheetName val="N. Beach (3)"/>
      <sheetName val="N. Beach (4)"/>
      <sheetName val="N. Beach (5)"/>
      <sheetName val="N. Beach (6)"/>
      <sheetName val="N. Beach (7)"/>
      <sheetName val="N. Beach (8)"/>
      <sheetName val="N. Beach (9)"/>
      <sheetName val="N. Beach (10)"/>
      <sheetName val="Park Vista (2)"/>
      <sheetName val="Park Vista (3)"/>
      <sheetName val="Park Vista (4)"/>
      <sheetName val="Park Vista (5)"/>
      <sheetName val="Summary"/>
      <sheetName val="CIP"/>
      <sheetName val="CIP-cost"/>
      <sheetName val="SupD"/>
      <sheetName val="E-D"/>
      <sheetName val="MaxFee"/>
      <sheetName val="PieCharts"/>
      <sheetName val="LUVMET"/>
      <sheetName val="LUVMET (2)"/>
      <sheetName val="10-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ts.gov/topics/national-transportation-statistics" TargetMode="External"/><Relationship Id="rId2" Type="http://schemas.openxmlformats.org/officeDocument/2006/relationships/hyperlink" Target="https://www.fmcsa.dot.gov/safety/data-and-statistics/motor-carrier-safety-progress-reports" TargetMode="External"/><Relationship Id="rId1" Type="http://schemas.openxmlformats.org/officeDocument/2006/relationships/hyperlink" Target="https://www.bts.gov/topics/national-transportation-statistics" TargetMode="External"/><Relationship Id="rId4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oklahoma.gov/content/dam/ok/en/odot/publications/21_FG_Publication.pdf" TargetMode="External"/><Relationship Id="rId1" Type="http://schemas.openxmlformats.org/officeDocument/2006/relationships/hyperlink" Target="http://www.nationalwaterwaysfoundation.org/NWF_2110662_PowerPointPresentation_FINAL_Smlcompressed.ppt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skogeeport.com/reports/" TargetMode="External"/><Relationship Id="rId2" Type="http://schemas.openxmlformats.org/officeDocument/2006/relationships/hyperlink" Target="https://tulsaports.com/wp-content/uploads/2019/01/18TPC_2018-Tonnage-Report.pdf" TargetMode="External"/><Relationship Id="rId1" Type="http://schemas.openxmlformats.org/officeDocument/2006/relationships/hyperlink" Target="https://oklahoma.gov/content/dam/ok/en/odot/documents/waterway/pdfs/ww-oklahoma-ports.pdf" TargetMode="External"/><Relationship Id="rId4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ts.gov/topics/national-transportation-statistic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80"/>
  <sheetViews>
    <sheetView tabSelected="1" workbookViewId="0">
      <selection activeCell="H3" sqref="H3"/>
    </sheetView>
  </sheetViews>
  <sheetFormatPr defaultRowHeight="12.75"/>
  <cols>
    <col min="2" max="2" width="8.5703125" bestFit="1" customWidth="1"/>
    <col min="3" max="3" width="16.5703125" customWidth="1"/>
    <col min="4" max="8" width="20.7109375" customWidth="1"/>
    <col min="23" max="79" width="8.85546875" style="17"/>
  </cols>
  <sheetData>
    <row r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49.9" customHeight="1" thickBot="1">
      <c r="A2" s="17"/>
      <c r="B2" s="430" t="s">
        <v>0</v>
      </c>
      <c r="C2" s="431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49.9" customHeight="1" thickTop="1">
      <c r="A3" s="17"/>
      <c r="B3" s="428" t="str">
        <f>'Summary Table'!A1</f>
        <v>2022 BCA SUMMARY - MKARNS Mooring Modernization Project</v>
      </c>
      <c r="C3" s="429"/>
      <c r="D3" s="92">
        <f>Costs!B3</f>
        <v>20500000</v>
      </c>
      <c r="E3" s="320">
        <f>'Summary Table'!P36</f>
        <v>14262128.601832876</v>
      </c>
      <c r="F3" s="92">
        <f>'Summary Table'!K36</f>
        <v>455982249.86312068</v>
      </c>
      <c r="G3" s="320">
        <f>'Summary Table'!C6</f>
        <v>142752869.24650845</v>
      </c>
      <c r="H3" s="4">
        <f>'Summary Table'!C4</f>
        <v>11.009226058174988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>
      <c r="A4" s="17"/>
      <c r="B4" s="17"/>
      <c r="C4" s="17"/>
      <c r="D4" s="17"/>
      <c r="E4" s="17"/>
      <c r="F4" s="17"/>
      <c r="G4" s="42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>
      <c r="A7" s="17"/>
      <c r="B7" s="17"/>
      <c r="C7" s="17"/>
      <c r="D7" s="17"/>
      <c r="E7" s="17"/>
      <c r="F7" s="17"/>
      <c r="G7" s="17"/>
      <c r="H7" s="17"/>
      <c r="I7" s="38"/>
      <c r="J7" s="3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15.75">
      <c r="A8" s="17"/>
      <c r="B8" s="17"/>
      <c r="C8" s="17"/>
      <c r="D8" s="17"/>
      <c r="E8" s="17"/>
      <c r="F8" s="17"/>
      <c r="G8" s="17"/>
      <c r="H8" s="17"/>
      <c r="I8" s="38"/>
      <c r="J8" s="3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s="17" customFormat="1"/>
    <row r="40" spans="1:22" s="17" customFormat="1"/>
    <row r="41" spans="1:22" s="17" customFormat="1"/>
    <row r="42" spans="1:22" s="17" customFormat="1"/>
    <row r="43" spans="1:22" s="17" customFormat="1"/>
    <row r="44" spans="1:22" s="17" customFormat="1"/>
    <row r="45" spans="1:22" s="17" customFormat="1"/>
    <row r="46" spans="1:22" s="17" customFormat="1"/>
    <row r="47" spans="1:22" s="17" customFormat="1"/>
    <row r="48" spans="1:22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</sheetData>
  <mergeCells count="2">
    <mergeCell ref="B3:C3"/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B704"/>
  <sheetViews>
    <sheetView workbookViewId="0">
      <selection sqref="A1:C1"/>
    </sheetView>
  </sheetViews>
  <sheetFormatPr defaultRowHeight="12.75"/>
  <cols>
    <col min="1" max="1" width="25.42578125" customWidth="1"/>
    <col min="2" max="2" width="18" customWidth="1"/>
    <col min="3" max="3" width="24.5703125" customWidth="1"/>
    <col min="4" max="4" width="17.7109375" customWidth="1"/>
    <col min="5" max="5" width="17.28515625" customWidth="1"/>
    <col min="6" max="6" width="18.5703125" customWidth="1"/>
    <col min="7" max="7" width="13.7109375" customWidth="1"/>
  </cols>
  <sheetData>
    <row r="1" spans="1:158" ht="15.6" customHeight="1">
      <c r="A1" s="469" t="s">
        <v>286</v>
      </c>
      <c r="B1" s="469"/>
      <c r="C1" s="46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</row>
    <row r="2" spans="1:158" ht="15.75">
      <c r="A2" s="576" t="s">
        <v>287</v>
      </c>
      <c r="B2" s="577"/>
      <c r="C2" s="177">
        <f>E28</f>
        <v>455214302.93182868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</row>
    <row r="3" spans="1:158" ht="15.75">
      <c r="A3" s="576" t="s">
        <v>288</v>
      </c>
      <c r="B3" s="577"/>
      <c r="C3" s="177">
        <f>F28</f>
        <v>156708096.85485908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</row>
    <row r="4" spans="1:15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</row>
    <row r="5" spans="1:158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</row>
    <row r="6" spans="1:158">
      <c r="A6" s="451" t="s">
        <v>29</v>
      </c>
      <c r="B6" s="447" t="s">
        <v>289</v>
      </c>
      <c r="C6" s="448"/>
      <c r="D6" s="448"/>
      <c r="E6" s="448"/>
      <c r="F6" s="449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</row>
    <row r="7" spans="1:158">
      <c r="A7" s="451"/>
      <c r="B7" s="56" t="s">
        <v>99</v>
      </c>
      <c r="C7" s="56" t="s">
        <v>290</v>
      </c>
      <c r="D7" s="79" t="s">
        <v>291</v>
      </c>
      <c r="E7" s="79" t="s">
        <v>19</v>
      </c>
      <c r="F7" s="79" t="s">
        <v>87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</row>
    <row r="8" spans="1:158">
      <c r="A8" s="41">
        <v>2025</v>
      </c>
      <c r="B8" s="311">
        <f>LoU_Safety!L13</f>
        <v>9697135.903907774</v>
      </c>
      <c r="C8" s="125">
        <f>LoU_Env_Prot!K6</f>
        <v>2721112.505345291</v>
      </c>
      <c r="D8" s="162">
        <f>LoU_Econ!G6</f>
        <v>202.41883896667744</v>
      </c>
      <c r="E8" s="125">
        <f>B8+C8+D8</f>
        <v>12418450.828092031</v>
      </c>
      <c r="F8" s="162">
        <f>E8*NPV!C9</f>
        <v>8854183.8110271357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</row>
    <row r="9" spans="1:158">
      <c r="A9" s="18">
        <f t="shared" ref="A9:A27" si="0">A8+1</f>
        <v>2026</v>
      </c>
      <c r="B9" s="311">
        <f>LoU_Safety!L14</f>
        <v>10045577.515173392</v>
      </c>
      <c r="C9" s="125">
        <f>LoU_Env_Prot!K7</f>
        <v>2685726.2274076403</v>
      </c>
      <c r="D9" s="162">
        <f>LoU_Econ!G7</f>
        <v>210.14906892539955</v>
      </c>
      <c r="E9" s="125">
        <f>B9+C9+D9</f>
        <v>12731513.891649958</v>
      </c>
      <c r="F9" s="162">
        <f>E9*NPV!C10</f>
        <v>8483545.279112855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</row>
    <row r="10" spans="1:158">
      <c r="A10" s="18">
        <f t="shared" si="0"/>
        <v>2027</v>
      </c>
      <c r="B10" s="311">
        <f>LoU_Safety!L15</f>
        <v>10453463.184392234</v>
      </c>
      <c r="C10" s="125">
        <f>LoU_Env_Prot!K8</f>
        <v>2661807.6507894029</v>
      </c>
      <c r="D10" s="162">
        <f>LoU_Econ!G8</f>
        <v>219.21030274445596</v>
      </c>
      <c r="E10" s="125">
        <f t="shared" ref="E10:E27" si="1">B10+C10+D10</f>
        <v>13115490.045484381</v>
      </c>
      <c r="F10" s="162">
        <f>E10*NPV!C11</f>
        <v>8167668.0405153222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</row>
    <row r="11" spans="1:158">
      <c r="A11" s="18">
        <f t="shared" si="0"/>
        <v>2028</v>
      </c>
      <c r="B11" s="311">
        <f>LoU_Safety!L16</f>
        <v>10927626.531337768</v>
      </c>
      <c r="C11" s="125">
        <f>LoU_Env_Prot!K9</f>
        <v>2648979.5611407589</v>
      </c>
      <c r="D11" s="162">
        <f>LoU_Econ!G9</f>
        <v>229.75559167836596</v>
      </c>
      <c r="E11" s="125">
        <f>B11+C11+D11</f>
        <v>13576835.848070204</v>
      </c>
      <c r="F11" s="162">
        <f>E11*NPV!C12</f>
        <v>7901842.0747618536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</row>
    <row r="12" spans="1:158">
      <c r="A12" s="18">
        <f t="shared" si="0"/>
        <v>2029</v>
      </c>
      <c r="B12" s="311">
        <f>LoU_Safety!L17</f>
        <v>11476251.221674703</v>
      </c>
      <c r="C12" s="125">
        <f>LoU_Env_Prot!K10</f>
        <v>2649006.3303113836</v>
      </c>
      <c r="D12" s="162">
        <f>LoU_Econ!G10</f>
        <v>241.96822405268313</v>
      </c>
      <c r="E12" s="125">
        <f t="shared" si="1"/>
        <v>14125499.520210139</v>
      </c>
      <c r="F12" s="162">
        <f>E12*NPV!C13</f>
        <v>7683335.8198984889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</row>
    <row r="13" spans="1:158">
      <c r="A13" s="18">
        <f t="shared" si="0"/>
        <v>2030</v>
      </c>
      <c r="B13" s="311">
        <f>LoU_Safety!L18</f>
        <v>12109108.163301086</v>
      </c>
      <c r="C13" s="125">
        <f>LoU_Env_Prot!K11</f>
        <v>2677185.3448778838</v>
      </c>
      <c r="D13" s="162">
        <f>LoU_Econ!G11</f>
        <v>256.06703776842591</v>
      </c>
      <c r="E13" s="125">
        <f t="shared" si="1"/>
        <v>14786549.575216739</v>
      </c>
      <c r="F13" s="162">
        <f>E13*NPV!C14</f>
        <v>7516732.009676341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</row>
    <row r="14" spans="1:158">
      <c r="A14" s="18">
        <f t="shared" si="0"/>
        <v>2031</v>
      </c>
      <c r="B14" s="311">
        <f>LoU_Safety!L19</f>
        <v>12837846.308311133</v>
      </c>
      <c r="C14" s="125">
        <f>LoU_Env_Prot!K12</f>
        <v>2654195.2720478433</v>
      </c>
      <c r="D14" s="162">
        <f>LoU_Econ!G12</f>
        <v>272.31293341565799</v>
      </c>
      <c r="E14" s="125">
        <f t="shared" si="1"/>
        <v>15492313.893292392</v>
      </c>
      <c r="F14" s="162">
        <f>E14*NPV!C15</f>
        <v>7360286.7300785426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</row>
    <row r="15" spans="1:158">
      <c r="A15" s="18">
        <f t="shared" si="0"/>
        <v>2032</v>
      </c>
      <c r="B15" s="311">
        <f>LoU_Safety!L20</f>
        <v>13676349.086086325</v>
      </c>
      <c r="C15" s="125">
        <f>LoU_Env_Prot!K13</f>
        <v>2644193.1652091215</v>
      </c>
      <c r="D15" s="162">
        <f>LoU_Econ!G13</f>
        <v>291.01685733242545</v>
      </c>
      <c r="E15" s="125">
        <f t="shared" si="1"/>
        <v>16320833.268152779</v>
      </c>
      <c r="F15" s="162">
        <f>E15*NPV!C16</f>
        <v>7246645.1558338879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</row>
    <row r="16" spans="1:158">
      <c r="A16" s="18">
        <f t="shared" si="0"/>
        <v>2033</v>
      </c>
      <c r="B16" s="311">
        <f>LoU_Safety!L21</f>
        <v>14641171.578384591</v>
      </c>
      <c r="C16" s="125">
        <f>LoU_Env_Prot!K14</f>
        <v>2647197.4791811719</v>
      </c>
      <c r="D16" s="162">
        <f>LoU_Econ!G14</f>
        <v>312.54959304835774</v>
      </c>
      <c r="E16" s="125">
        <f t="shared" si="1"/>
        <v>17288681.607158814</v>
      </c>
      <c r="F16" s="162">
        <f>E16*NPV!C17</f>
        <v>7174188.2178353714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</row>
    <row r="17" spans="1:152">
      <c r="A17" s="18">
        <f t="shared" si="0"/>
        <v>2034</v>
      </c>
      <c r="B17" s="311">
        <f>LoU_Safety!L22</f>
        <v>15752077.449424691</v>
      </c>
      <c r="C17" s="125">
        <f>LoU_Env_Prot!K15</f>
        <v>2663412.3965989351</v>
      </c>
      <c r="D17" s="162">
        <f>LoU_Econ!G15</f>
        <v>337.35378694846497</v>
      </c>
      <c r="E17" s="125">
        <f t="shared" si="1"/>
        <v>18415827.199810576</v>
      </c>
      <c r="F17" s="162">
        <f>E17*NPV!C18</f>
        <v>7141975.2956823455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</row>
    <row r="18" spans="1:152">
      <c r="A18" s="18">
        <f t="shared" si="0"/>
        <v>2035</v>
      </c>
      <c r="B18" s="311">
        <f>LoU_Safety!L23</f>
        <v>17032699.597791251</v>
      </c>
      <c r="C18" s="125">
        <f>LoU_Env_Prot!K16</f>
        <v>2693234.14889018</v>
      </c>
      <c r="D18" s="162">
        <f>LoU_Econ!G16</f>
        <v>365.95874494393223</v>
      </c>
      <c r="E18" s="125">
        <f t="shared" si="1"/>
        <v>19726299.705426373</v>
      </c>
      <c r="F18" s="162">
        <f>E18*NPV!C19</f>
        <v>7149718.8105040407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</row>
    <row r="19" spans="1:152">
      <c r="A19" s="18">
        <f t="shared" si="0"/>
        <v>2036</v>
      </c>
      <c r="B19" s="311">
        <f>LoU_Safety!L24</f>
        <v>18511354.807930626</v>
      </c>
      <c r="C19" s="125">
        <f>LoU_Env_Prot!K17</f>
        <v>2737262.1628990127</v>
      </c>
      <c r="D19" s="162">
        <f>LoU_Econ!G17</f>
        <v>398.99867828344327</v>
      </c>
      <c r="E19" s="125">
        <f t="shared" si="1"/>
        <v>21249015.969507921</v>
      </c>
      <c r="F19" s="162">
        <f>E19*NPV!C20</f>
        <v>7197776.8780047512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</row>
    <row r="20" spans="1:152">
      <c r="A20" s="18">
        <f t="shared" si="0"/>
        <v>2037</v>
      </c>
      <c r="B20" s="311">
        <f>LoU_Safety!L25</f>
        <v>20222050.745401323</v>
      </c>
      <c r="C20" s="125">
        <f>LoU_Env_Prot!K18</f>
        <v>2796315.4349730737</v>
      </c>
      <c r="D20" s="162">
        <f>LoU_Econ!G18</f>
        <v>437.23525730217034</v>
      </c>
      <c r="E20" s="125">
        <f t="shared" si="1"/>
        <v>23018803.415631697</v>
      </c>
      <c r="F20" s="162">
        <f>E20*NPV!C21</f>
        <v>7287163.6605167817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</row>
    <row r="21" spans="1:152">
      <c r="A21" s="18">
        <f t="shared" si="0"/>
        <v>2038</v>
      </c>
      <c r="B21" s="311">
        <f>LoU_Safety!L26</f>
        <v>22205733.983018987</v>
      </c>
      <c r="C21" s="125">
        <f>LoU_Env_Prot!K19</f>
        <v>2871454.7248926177</v>
      </c>
      <c r="D21" s="162">
        <f>LoU_Econ!G19</f>
        <v>481.58556355798817</v>
      </c>
      <c r="E21" s="125">
        <f t="shared" si="1"/>
        <v>25077670.293475162</v>
      </c>
      <c r="F21" s="162">
        <f>E21*NPV!C22</f>
        <v>7419577.7452493655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</row>
    <row r="22" spans="1:152">
      <c r="A22" s="18">
        <f t="shared" si="0"/>
        <v>2039</v>
      </c>
      <c r="B22" s="311">
        <f>LoU_Safety!L27</f>
        <v>24511841.048466079</v>
      </c>
      <c r="C22" s="125">
        <f>LoU_Env_Prot!K20</f>
        <v>2964011.3799205679</v>
      </c>
      <c r="D22" s="162">
        <f>LoU_Econ!G20</f>
        <v>533.15682876244091</v>
      </c>
      <c r="E22" s="125">
        <f t="shared" si="1"/>
        <v>27476385.585215408</v>
      </c>
      <c r="F22" s="162">
        <f>E22*NPV!C23</f>
        <v>7597449.5753309717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</row>
    <row r="23" spans="1:152">
      <c r="A23" s="18">
        <f t="shared" si="0"/>
        <v>2040</v>
      </c>
      <c r="B23" s="311">
        <f>LoU_Safety!L28</f>
        <v>27200231.647942938</v>
      </c>
      <c r="C23" s="125">
        <f>LoU_Env_Prot!K21</f>
        <v>3075623.8549922728</v>
      </c>
      <c r="D23" s="162">
        <f>LoU_Econ!G21</f>
        <v>593.28973333748729</v>
      </c>
      <c r="E23" s="125">
        <f t="shared" si="1"/>
        <v>30276448.792668551</v>
      </c>
      <c r="F23" s="162">
        <f>E23*NPV!C24</f>
        <v>7824009.7057465659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</row>
    <row r="24" spans="1:152">
      <c r="A24" s="18">
        <f t="shared" si="0"/>
        <v>2041</v>
      </c>
      <c r="B24" s="311">
        <f>LoU_Safety!L29</f>
        <v>30343605.433323503</v>
      </c>
      <c r="C24" s="125">
        <f>LoU_Env_Prot!K22</f>
        <v>3208283.3013018197</v>
      </c>
      <c r="D24" s="162">
        <f>LoU_Econ!G22</f>
        <v>663.61253493284016</v>
      </c>
      <c r="E24" s="125">
        <f t="shared" si="1"/>
        <v>33552552.347160254</v>
      </c>
      <c r="F24" s="162">
        <f>E24*NPV!C25</f>
        <v>8103380.4854329741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</row>
    <row r="25" spans="1:152">
      <c r="A25" s="18">
        <f t="shared" si="0"/>
        <v>2042</v>
      </c>
      <c r="B25" s="311">
        <f>LoU_Safety!L30</f>
        <v>34030532.515486196</v>
      </c>
      <c r="C25" s="125">
        <f>LoU_Env_Prot!K23</f>
        <v>3364389.9678626214</v>
      </c>
      <c r="D25" s="162">
        <f>LoU_Econ!G23</f>
        <v>746.10894306291732</v>
      </c>
      <c r="E25" s="125">
        <f t="shared" si="1"/>
        <v>37395668.592291877</v>
      </c>
      <c r="F25" s="162">
        <f>E25*NPV!C26</f>
        <v>8440694.7219652161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</row>
    <row r="26" spans="1:152">
      <c r="A26" s="18">
        <f t="shared" si="0"/>
        <v>2043</v>
      </c>
      <c r="B26" s="311">
        <f>LoU_Safety!L31</f>
        <v>38369265.473679841</v>
      </c>
      <c r="C26" s="125">
        <f>LoU_Env_Prot!K24</f>
        <v>3546822.618498168</v>
      </c>
      <c r="D26" s="162">
        <f>LoU_Econ!G24</f>
        <v>843.20349696984977</v>
      </c>
      <c r="E26" s="125">
        <f t="shared" si="1"/>
        <v>41916931.29567498</v>
      </c>
      <c r="F26" s="162">
        <f>E26*NPV!C27</f>
        <v>8842246.0162180215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</row>
    <row r="27" spans="1:152" ht="13.5" thickBot="1">
      <c r="A27" s="18">
        <f t="shared" si="0"/>
        <v>2044</v>
      </c>
      <c r="B27" s="311">
        <f>LoU_Safety!L32</f>
        <v>43492549.653583333</v>
      </c>
      <c r="C27" s="125">
        <f>LoU_Env_Prot!K25</f>
        <v>3759023.734752845</v>
      </c>
      <c r="D27" s="162">
        <f>LoU_Econ!G25</f>
        <v>957.86930223404568</v>
      </c>
      <c r="E27" s="189">
        <f t="shared" si="1"/>
        <v>47252531.257638417</v>
      </c>
      <c r="F27" s="163">
        <f>E27*NPV!C28</f>
        <v>9315676.821468262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</row>
    <row r="28" spans="1:152" ht="13.5" thickTop="1">
      <c r="A28" s="478" t="s">
        <v>19</v>
      </c>
      <c r="B28" s="479"/>
      <c r="C28" s="479"/>
      <c r="D28" s="480"/>
      <c r="E28" s="312">
        <f>SUM(E8:E27)</f>
        <v>455214302.93182868</v>
      </c>
      <c r="F28" s="313">
        <f>SUM(F8:F27)</f>
        <v>156708096.85485908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</row>
    <row r="29" spans="1:152" ht="13.15" customHeight="1">
      <c r="A29" s="573" t="s">
        <v>292</v>
      </c>
      <c r="B29" s="574"/>
      <c r="C29" s="574"/>
      <c r="D29" s="574"/>
      <c r="E29" s="574"/>
      <c r="F29" s="575"/>
      <c r="G29" s="36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0" spans="1:15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152">
      <c r="A31" s="465" t="s">
        <v>293</v>
      </c>
      <c r="B31" s="466"/>
      <c r="C31" s="466"/>
      <c r="D31" s="466"/>
      <c r="E31" s="466"/>
      <c r="F31" s="466"/>
      <c r="G31" s="46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</row>
    <row r="32" spans="1:152">
      <c r="A32" s="435"/>
      <c r="B32" s="465" t="s">
        <v>56</v>
      </c>
      <c r="C32" s="466"/>
      <c r="D32" s="467"/>
      <c r="E32" s="465" t="s">
        <v>55</v>
      </c>
      <c r="F32" s="466"/>
      <c r="G32" s="467"/>
      <c r="H32" s="402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>
      <c r="A33" s="468"/>
      <c r="B33" s="56" t="s">
        <v>294</v>
      </c>
      <c r="C33" s="56" t="s">
        <v>295</v>
      </c>
      <c r="D33" s="56" t="s">
        <v>296</v>
      </c>
      <c r="E33" s="56" t="s">
        <v>294</v>
      </c>
      <c r="F33" s="56" t="s">
        <v>295</v>
      </c>
      <c r="G33" s="56" t="s">
        <v>296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>
      <c r="A34" s="47" t="s">
        <v>297</v>
      </c>
      <c r="B34" s="181">
        <f>'Ton-miles'!D7+'Ton-miles'!D8+'Ton-miles'!D6</f>
        <v>785675.27813234669</v>
      </c>
      <c r="C34" s="259">
        <f>B34*'Ton-miles'!B143</f>
        <v>349625498.76889426</v>
      </c>
      <c r="D34" s="182">
        <f>SUM('Ton-miles'!H6+'Ton-miles'!H7+'Ton-miles'!H8)</f>
        <v>420045101.32378095</v>
      </c>
      <c r="E34" s="262"/>
      <c r="F34" s="183"/>
      <c r="G34" s="264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 ht="13.5" thickBot="1">
      <c r="A35" s="248" t="s">
        <v>298</v>
      </c>
      <c r="B35" s="249"/>
      <c r="C35" s="260"/>
      <c r="D35" s="249"/>
      <c r="E35" s="263">
        <f>'Ton-miles'!B16*D40</f>
        <v>161820.59999999995</v>
      </c>
      <c r="F35" s="250">
        <f>'Ton-miles'!B141*E35</f>
        <v>63595495.799999982</v>
      </c>
      <c r="G35" s="330">
        <f>'Ton-miles'!F16*'Loss of Use'!D40</f>
        <v>115688807.1850536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</row>
    <row r="36" spans="1:48" ht="15.75" thickTop="1">
      <c r="A36" s="319" t="s">
        <v>299</v>
      </c>
      <c r="B36" s="246">
        <f t="shared" ref="B36:G36" si="2">SUM(B34:B35)</f>
        <v>785675.27813234669</v>
      </c>
      <c r="C36" s="261">
        <f t="shared" si="2"/>
        <v>349625498.76889426</v>
      </c>
      <c r="D36" s="247">
        <f t="shared" si="2"/>
        <v>420045101.32378095</v>
      </c>
      <c r="E36" s="261">
        <f>SUM(E34:E35)</f>
        <v>161820.59999999995</v>
      </c>
      <c r="F36" s="246">
        <f t="shared" si="2"/>
        <v>63595495.799999982</v>
      </c>
      <c r="G36" s="331">
        <f t="shared" si="2"/>
        <v>115688807.1850536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1:4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</row>
    <row r="38" spans="1:48">
      <c r="A38" s="56" t="s">
        <v>300</v>
      </c>
      <c r="B38" s="56" t="s">
        <v>301</v>
      </c>
      <c r="C38" s="56" t="s">
        <v>302</v>
      </c>
      <c r="D38" s="56" t="s">
        <v>303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</row>
    <row r="39" spans="1:48">
      <c r="A39" s="47" t="s">
        <v>304</v>
      </c>
      <c r="B39" s="357">
        <v>6</v>
      </c>
      <c r="C39" s="199">
        <v>2025</v>
      </c>
      <c r="D39" s="404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</row>
    <row r="40" spans="1:48">
      <c r="A40" s="59" t="s">
        <v>298</v>
      </c>
      <c r="B40" s="358">
        <v>16</v>
      </c>
      <c r="C40" s="200">
        <v>2025</v>
      </c>
      <c r="D40" s="413">
        <v>0.3</v>
      </c>
      <c r="E40" s="3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spans="1:48">
      <c r="A41" s="523" t="s">
        <v>305</v>
      </c>
      <c r="B41" s="524"/>
      <c r="C41" s="524"/>
      <c r="D41" s="52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spans="1:48">
      <c r="A42" s="507" t="s">
        <v>306</v>
      </c>
      <c r="B42" s="571"/>
      <c r="C42" s="571"/>
      <c r="D42" s="57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</row>
    <row r="43" spans="1:4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</row>
    <row r="44" spans="1:48">
      <c r="A44" s="17" t="s">
        <v>134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</row>
    <row r="45" spans="1:4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</row>
    <row r="47" spans="1:4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</row>
    <row r="49" spans="1:47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</row>
    <row r="50" spans="1:47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</row>
    <row r="51" spans="1:47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</row>
    <row r="52" spans="1:47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</row>
    <row r="53" spans="1:47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</row>
    <row r="54" spans="1:47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</row>
    <row r="55" spans="1:47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</row>
    <row r="56" spans="1:47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</row>
    <row r="57" spans="1:4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</row>
    <row r="58" spans="1:47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</row>
    <row r="59" spans="1:47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</row>
    <row r="60" spans="1:47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1:47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</row>
    <row r="62" spans="1:47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</row>
    <row r="63" spans="1:4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</row>
    <row r="64" spans="1:47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1:47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1:47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1:4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</row>
    <row r="68" spans="1:47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1:47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1:47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1:47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spans="1:47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</row>
    <row r="73" spans="1:47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</row>
    <row r="74" spans="1:47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</row>
    <row r="75" spans="1:47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</row>
    <row r="76" spans="1:47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spans="1:4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1:47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spans="1:47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1:47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1:47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</row>
    <row r="82" spans="1:4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</row>
    <row r="83" spans="1:47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</row>
    <row r="84" spans="1:4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</row>
    <row r="85" spans="1:4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</row>
    <row r="86" spans="1:4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</row>
    <row r="87" spans="1:4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</row>
    <row r="88" spans="1:4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</row>
    <row r="89" spans="1:4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</row>
    <row r="90" spans="1:4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</row>
    <row r="91" spans="1:47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</row>
    <row r="92" spans="1:4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</row>
    <row r="93" spans="1:4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</row>
    <row r="94" spans="1:4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</row>
    <row r="95" spans="1:4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</row>
    <row r="96" spans="1:4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</row>
    <row r="97" spans="1:4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</row>
    <row r="98" spans="1:4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</row>
    <row r="99" spans="1:47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</row>
    <row r="100" spans="1:47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</row>
    <row r="101" spans="1:47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</row>
    <row r="102" spans="1:47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</row>
    <row r="103" spans="1:47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</row>
    <row r="104" spans="1:47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</row>
    <row r="105" spans="1:47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</row>
    <row r="106" spans="1:47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</row>
    <row r="107" spans="1:4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</row>
    <row r="108" spans="1:47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</row>
    <row r="109" spans="1:47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</row>
    <row r="110" spans="1:47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</row>
    <row r="111" spans="1:47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</row>
    <row r="112" spans="1:47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</row>
    <row r="113" spans="1:47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</row>
    <row r="114" spans="1:47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</row>
    <row r="115" spans="1:47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</row>
    <row r="116" spans="1:47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</row>
    <row r="117" spans="1:4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</row>
    <row r="118" spans="1:47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</row>
    <row r="119" spans="1:47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</row>
    <row r="120" spans="1:47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</row>
    <row r="121" spans="1:47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</row>
    <row r="122" spans="1:47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</row>
    <row r="123" spans="1:47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</row>
    <row r="124" spans="1:47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</row>
    <row r="125" spans="1:47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</row>
    <row r="126" spans="1:47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</row>
    <row r="127" spans="1:4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</row>
    <row r="128" spans="1:47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</row>
    <row r="129" spans="1:47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</row>
    <row r="130" spans="1:47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</row>
    <row r="131" spans="1:47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</row>
    <row r="132" spans="1:47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</row>
    <row r="133" spans="1:47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</row>
    <row r="134" spans="1:47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</row>
    <row r="135" spans="1:47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</row>
    <row r="136" spans="1:47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</row>
    <row r="137" spans="1:4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</row>
    <row r="138" spans="1:47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</row>
    <row r="139" spans="1:47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</row>
    <row r="140" spans="1:47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</row>
    <row r="141" spans="1:47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</row>
    <row r="142" spans="1:47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</row>
    <row r="143" spans="1:47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</row>
    <row r="144" spans="1:47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</row>
    <row r="145" spans="1:47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</row>
    <row r="146" spans="1:47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</row>
    <row r="147" spans="1: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</row>
    <row r="148" spans="1:47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</row>
    <row r="149" spans="1:47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</row>
    <row r="150" spans="1:47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</row>
    <row r="151" spans="1:47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</row>
    <row r="152" spans="1:47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</row>
    <row r="153" spans="1:47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</row>
    <row r="154" spans="1:47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</row>
    <row r="155" spans="1:47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</row>
    <row r="156" spans="1:47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</row>
    <row r="157" spans="1:4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</row>
    <row r="158" spans="1:47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</row>
    <row r="159" spans="1:47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</row>
    <row r="160" spans="1:47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</row>
    <row r="161" spans="1:47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</row>
    <row r="162" spans="1:47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</row>
    <row r="163" spans="1:47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</row>
    <row r="164" spans="1:47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</row>
    <row r="165" spans="1:47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</row>
    <row r="166" spans="1:47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</row>
    <row r="167" spans="1:4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</row>
    <row r="168" spans="1:47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</row>
    <row r="169" spans="1:47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</row>
    <row r="170" spans="1:47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</row>
    <row r="171" spans="1:47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</row>
    <row r="172" spans="1:47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</row>
    <row r="173" spans="1:47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</row>
    <row r="174" spans="1:47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</row>
    <row r="175" spans="1:47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</row>
    <row r="176" spans="1:47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</row>
    <row r="177" spans="1:4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</row>
    <row r="178" spans="1:47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</row>
    <row r="179" spans="1:47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</row>
    <row r="180" spans="1:47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</row>
    <row r="181" spans="1:47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</row>
    <row r="182" spans="1:47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</row>
    <row r="183" spans="1:47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</row>
    <row r="184" spans="1:47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</row>
    <row r="185" spans="1:47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</row>
    <row r="186" spans="1:47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</row>
    <row r="187" spans="1:4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</row>
    <row r="188" spans="1:47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</row>
    <row r="189" spans="1:47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</row>
    <row r="190" spans="1:47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</row>
    <row r="191" spans="1:47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</row>
    <row r="192" spans="1:47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</row>
    <row r="193" spans="1:47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</row>
    <row r="194" spans="1:47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</row>
    <row r="195" spans="1:47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</row>
    <row r="196" spans="1:47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</row>
    <row r="197" spans="1:4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</row>
    <row r="198" spans="1:47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</row>
    <row r="199" spans="1:47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</row>
    <row r="200" spans="1:47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</row>
    <row r="201" spans="1:47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</row>
    <row r="202" spans="1:47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</row>
    <row r="203" spans="1:47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</row>
    <row r="204" spans="1:47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</row>
    <row r="205" spans="1:47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</row>
    <row r="206" spans="1:47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</row>
    <row r="207" spans="1:4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</row>
    <row r="208" spans="1:47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</row>
    <row r="209" spans="1:47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</row>
    <row r="210" spans="1:47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</row>
    <row r="211" spans="1:47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</row>
    <row r="212" spans="1:47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</row>
    <row r="213" spans="1:47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</row>
    <row r="214" spans="1:47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</row>
    <row r="215" spans="1:47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</row>
    <row r="216" spans="1:47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</row>
    <row r="217" spans="1:4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</row>
    <row r="218" spans="1:47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</row>
    <row r="219" spans="1:47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</row>
    <row r="220" spans="1:47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</row>
    <row r="221" spans="1:47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</row>
    <row r="222" spans="1:47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</row>
    <row r="223" spans="1:47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</row>
    <row r="224" spans="1:47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</row>
    <row r="225" spans="1:47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</row>
    <row r="226" spans="1:47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</row>
    <row r="227" spans="1:4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</row>
    <row r="228" spans="1:47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</row>
    <row r="229" spans="1:47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</row>
    <row r="230" spans="1:47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</row>
    <row r="231" spans="1:47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</row>
    <row r="232" spans="1:47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</row>
    <row r="233" spans="1:47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</row>
    <row r="234" spans="1:47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</row>
    <row r="235" spans="1:47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</row>
    <row r="236" spans="1:47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</row>
    <row r="237" spans="1:4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</row>
    <row r="238" spans="1:47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</row>
    <row r="239" spans="1:47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</row>
    <row r="240" spans="1:47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</row>
    <row r="241" spans="1:47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</row>
    <row r="242" spans="1:47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</row>
    <row r="243" spans="1:47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</row>
    <row r="244" spans="1:47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</row>
    <row r="245" spans="1:47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</row>
    <row r="246" spans="1:47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</row>
    <row r="247" spans="1: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</row>
    <row r="248" spans="1:47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</row>
    <row r="249" spans="1:47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</row>
    <row r="250" spans="1:47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</row>
    <row r="251" spans="1:47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</row>
    <row r="252" spans="1:47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</row>
    <row r="253" spans="1:47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</row>
    <row r="254" spans="1:47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</row>
    <row r="255" spans="1:47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</row>
    <row r="256" spans="1:47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</row>
    <row r="257" spans="1:4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</row>
    <row r="258" spans="1:47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</row>
    <row r="259" spans="1:47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</row>
    <row r="260" spans="1:47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</row>
    <row r="261" spans="1:47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</row>
    <row r="262" spans="1:47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</row>
    <row r="263" spans="1:47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</row>
    <row r="264" spans="1:47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</row>
    <row r="265" spans="1:47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</row>
    <row r="266" spans="1:47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</row>
    <row r="267" spans="1:4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</row>
    <row r="268" spans="1:47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</row>
    <row r="269" spans="1:47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</row>
    <row r="270" spans="1:47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</row>
    <row r="271" spans="1:47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</row>
    <row r="272" spans="1:47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</row>
    <row r="273" spans="1:47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</row>
    <row r="274" spans="1:47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</row>
    <row r="275" spans="1:47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</row>
    <row r="276" spans="1:47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</row>
    <row r="277" spans="1:4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</row>
    <row r="278" spans="1:47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</row>
    <row r="279" spans="1:47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</row>
    <row r="280" spans="1:47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</row>
    <row r="281" spans="1:47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</row>
    <row r="282" spans="1:47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</row>
    <row r="283" spans="1:47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</row>
    <row r="284" spans="1:47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</row>
    <row r="285" spans="1:47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</row>
    <row r="286" spans="1:47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</row>
    <row r="287" spans="1:4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</row>
    <row r="288" spans="1:47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</row>
    <row r="289" spans="1:47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</row>
    <row r="290" spans="1:47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</row>
    <row r="291" spans="1:47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</row>
    <row r="292" spans="1:47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</row>
    <row r="293" spans="1:47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</row>
    <row r="294" spans="1:47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</row>
    <row r="295" spans="1:47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</row>
    <row r="296" spans="1:47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</row>
    <row r="297" spans="1:4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</row>
    <row r="298" spans="1:47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</row>
    <row r="299" spans="1:47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</row>
    <row r="300" spans="1:47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</row>
    <row r="301" spans="1:47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</row>
    <row r="302" spans="1:47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</row>
    <row r="303" spans="1:47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</row>
    <row r="304" spans="1:47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</row>
    <row r="305" spans="1:47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</row>
    <row r="306" spans="1:47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</row>
    <row r="307" spans="1:4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</row>
    <row r="308" spans="1:47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</row>
    <row r="309" spans="1:47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</row>
    <row r="310" spans="1:47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</row>
    <row r="311" spans="1:47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</row>
    <row r="312" spans="1:47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</row>
    <row r="313" spans="1:47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</row>
    <row r="314" spans="1:47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</row>
    <row r="315" spans="1:47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</row>
    <row r="316" spans="1:47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</row>
    <row r="317" spans="1:4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</row>
    <row r="318" spans="1:47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</row>
    <row r="319" spans="1:47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</row>
    <row r="320" spans="1:47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</row>
    <row r="321" spans="1:47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</row>
    <row r="322" spans="1:47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</row>
    <row r="323" spans="1:47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</row>
    <row r="324" spans="1:47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</row>
    <row r="325" spans="1:47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</row>
    <row r="326" spans="1:47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</row>
    <row r="327" spans="1:4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</row>
    <row r="328" spans="1:47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</row>
    <row r="329" spans="1:47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</row>
    <row r="330" spans="1:47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</row>
    <row r="331" spans="1:47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</row>
    <row r="332" spans="1:47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</row>
    <row r="333" spans="1:47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</row>
    <row r="334" spans="1:47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</row>
    <row r="335" spans="1:47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</row>
    <row r="336" spans="1:47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</row>
    <row r="337" spans="1:4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</row>
    <row r="338" spans="1:47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</row>
    <row r="339" spans="1:47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</row>
    <row r="340" spans="1:47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</row>
    <row r="341" spans="1:47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</row>
    <row r="342" spans="1:47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</row>
    <row r="343" spans="1:47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</row>
    <row r="344" spans="1:47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</row>
    <row r="345" spans="1:47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</row>
    <row r="346" spans="1:47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</row>
    <row r="347" spans="1: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</row>
    <row r="348" spans="1:47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</row>
    <row r="349" spans="1:47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</row>
    <row r="350" spans="1:47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</row>
    <row r="351" spans="1:47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</row>
    <row r="352" spans="1:47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</row>
    <row r="353" spans="1:47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</row>
    <row r="354" spans="1:47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</row>
    <row r="355" spans="1:47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</row>
    <row r="356" spans="1:47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</row>
    <row r="357" spans="1:4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</row>
    <row r="358" spans="1:47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</row>
    <row r="359" spans="1:47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</row>
    <row r="360" spans="1:47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</row>
    <row r="361" spans="1:47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</row>
    <row r="362" spans="1:47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</row>
    <row r="363" spans="1:47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</row>
    <row r="364" spans="1:47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</row>
    <row r="365" spans="1:47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</row>
    <row r="366" spans="1:47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</row>
    <row r="367" spans="1:4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</row>
    <row r="368" spans="1:47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</row>
    <row r="369" spans="1:47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</row>
    <row r="370" spans="1:47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</row>
    <row r="371" spans="1:47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</row>
    <row r="372" spans="1:47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</row>
    <row r="373" spans="1:47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</row>
    <row r="374" spans="1:47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</row>
    <row r="375" spans="1:47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</row>
    <row r="376" spans="1:47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</row>
    <row r="377" spans="1:4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</row>
    <row r="378" spans="1:47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</row>
    <row r="379" spans="1:47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</row>
    <row r="380" spans="1:47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</row>
    <row r="381" spans="1:47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</row>
    <row r="382" spans="1:47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</row>
    <row r="383" spans="1:47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</row>
    <row r="384" spans="1:47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</row>
    <row r="385" spans="1:47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</row>
    <row r="386" spans="1:47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</row>
    <row r="387" spans="1:4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</row>
    <row r="388" spans="1:47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</row>
    <row r="389" spans="1:47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</row>
    <row r="390" spans="1:47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</row>
    <row r="391" spans="1:47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</row>
    <row r="392" spans="1:47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</row>
    <row r="393" spans="1:47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</row>
    <row r="394" spans="1:47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</row>
    <row r="395" spans="1:47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</row>
    <row r="396" spans="1:47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</row>
    <row r="397" spans="1:4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</row>
    <row r="398" spans="1:47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</row>
    <row r="399" spans="1:47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</row>
    <row r="400" spans="1:47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</row>
    <row r="401" spans="1:47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</row>
    <row r="402" spans="1:47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</row>
    <row r="403" spans="1:47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</row>
    <row r="404" spans="1:47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</row>
    <row r="405" spans="1:47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</row>
    <row r="406" spans="1:47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</row>
    <row r="407" spans="1:4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</row>
    <row r="408" spans="1:47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</row>
    <row r="409" spans="1:47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</row>
    <row r="410" spans="1:47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</row>
    <row r="411" spans="1:47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</row>
    <row r="412" spans="1:47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</row>
    <row r="413" spans="1:47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</row>
    <row r="414" spans="1:47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</row>
    <row r="415" spans="1:47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</row>
    <row r="416" spans="1:47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</row>
    <row r="417" spans="1:4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</row>
    <row r="418" spans="1:47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</row>
    <row r="419" spans="1:47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</row>
    <row r="420" spans="1:47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</row>
    <row r="421" spans="1:47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</row>
    <row r="422" spans="1:47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</row>
    <row r="423" spans="1:47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</row>
    <row r="424" spans="1:47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</row>
    <row r="425" spans="1:47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</row>
    <row r="426" spans="1:47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</row>
    <row r="427" spans="1:4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</row>
    <row r="428" spans="1:47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</row>
    <row r="429" spans="1:47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</row>
    <row r="430" spans="1:47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</row>
    <row r="431" spans="1:47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</row>
    <row r="432" spans="1:47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</row>
    <row r="433" spans="1:47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</row>
    <row r="434" spans="1:47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</row>
    <row r="435" spans="1:47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</row>
    <row r="436" spans="1:47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</row>
    <row r="437" spans="1:4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</row>
    <row r="438" spans="1:47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</row>
    <row r="439" spans="1:47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</row>
    <row r="440" spans="1:47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</row>
    <row r="441" spans="1:47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</row>
    <row r="442" spans="1:47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</row>
    <row r="443" spans="1:47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</row>
    <row r="444" spans="1:47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</row>
    <row r="445" spans="1:47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</row>
    <row r="446" spans="1:47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</row>
    <row r="447" spans="1: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</row>
    <row r="448" spans="1:47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</row>
    <row r="449" spans="1:47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</row>
    <row r="450" spans="1:47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</row>
    <row r="451" spans="1:47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</row>
    <row r="452" spans="1:47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</row>
    <row r="453" spans="1:47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</row>
    <row r="454" spans="1:47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</row>
    <row r="455" spans="1:47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</row>
    <row r="456" spans="1:47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</row>
    <row r="457" spans="1:4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</row>
    <row r="458" spans="1:47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</row>
    <row r="459" spans="1:47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</row>
    <row r="460" spans="1:47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</row>
    <row r="461" spans="1:47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</row>
    <row r="462" spans="1:47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</row>
    <row r="463" spans="1:47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</row>
    <row r="464" spans="1:47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</row>
    <row r="465" spans="1:47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</row>
    <row r="466" spans="1:47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</row>
    <row r="467" spans="1:4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</row>
    <row r="468" spans="1:47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</row>
    <row r="469" spans="1:47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</row>
    <row r="470" spans="1:47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</row>
    <row r="471" spans="1:47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</row>
    <row r="472" spans="1:47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</row>
    <row r="473" spans="1:47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</row>
    <row r="474" spans="1:47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</row>
    <row r="475" spans="1:47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</row>
    <row r="476" spans="1:47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</row>
    <row r="477" spans="1:4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</row>
    <row r="478" spans="1:47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</row>
    <row r="479" spans="1:47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</row>
    <row r="480" spans="1:47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</row>
    <row r="481" spans="1:47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</row>
    <row r="482" spans="1:47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</row>
    <row r="483" spans="1:47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</row>
    <row r="484" spans="1:47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</row>
    <row r="485" spans="1:47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</row>
    <row r="486" spans="1:47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</row>
    <row r="487" spans="1:4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</row>
    <row r="488" spans="1:47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</row>
    <row r="489" spans="1:47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</row>
    <row r="490" spans="1:47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</row>
    <row r="491" spans="1:47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</row>
    <row r="492" spans="1:47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</row>
    <row r="493" spans="1:47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</row>
    <row r="494" spans="1:47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</row>
    <row r="495" spans="1:47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</row>
    <row r="496" spans="1:47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</row>
    <row r="497" spans="1:4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</row>
    <row r="498" spans="1:47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</row>
    <row r="499" spans="1:47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</row>
    <row r="500" spans="1:47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</row>
    <row r="501" spans="1:47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</row>
    <row r="502" spans="1:47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</row>
    <row r="503" spans="1:47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</row>
    <row r="504" spans="1:47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</row>
    <row r="505" spans="1:47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</row>
    <row r="506" spans="1:47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</row>
    <row r="507" spans="1:4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</row>
    <row r="508" spans="1:47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</row>
    <row r="509" spans="1:47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</row>
    <row r="510" spans="1:47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</row>
    <row r="511" spans="1:47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</row>
    <row r="512" spans="1:47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</row>
    <row r="513" spans="1:47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</row>
    <row r="514" spans="1:47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</row>
    <row r="515" spans="1:47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</row>
    <row r="516" spans="1:47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</row>
    <row r="517" spans="1:4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</row>
    <row r="518" spans="1:47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</row>
    <row r="519" spans="1:47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</row>
    <row r="520" spans="1:47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</row>
    <row r="521" spans="1:47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</row>
    <row r="522" spans="1:47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</row>
    <row r="523" spans="1:47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</row>
    <row r="524" spans="1:47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</row>
    <row r="525" spans="1:47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</row>
    <row r="526" spans="1:47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</row>
    <row r="527" spans="1:4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</row>
    <row r="528" spans="1:47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</row>
    <row r="529" spans="1:47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</row>
    <row r="530" spans="1:47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</row>
    <row r="531" spans="1:47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</row>
    <row r="532" spans="1:47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</row>
    <row r="533" spans="1:47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</row>
    <row r="534" spans="1:47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</row>
    <row r="535" spans="1:47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</row>
    <row r="536" spans="1:47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</row>
    <row r="537" spans="1:4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</row>
    <row r="538" spans="1:47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</row>
    <row r="539" spans="1:47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</row>
    <row r="540" spans="1:47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</row>
    <row r="541" spans="1:47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</row>
    <row r="542" spans="1:47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</row>
    <row r="543" spans="1:47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</row>
    <row r="544" spans="1:47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</row>
    <row r="545" spans="1:47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</row>
    <row r="546" spans="1:47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</row>
    <row r="547" spans="1: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</row>
    <row r="548" spans="1:47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</row>
    <row r="549" spans="1:47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</row>
    <row r="550" spans="1:47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</row>
    <row r="551" spans="1:47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</row>
    <row r="552" spans="1:47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</row>
    <row r="553" spans="1:47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</row>
    <row r="554" spans="1:47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</row>
    <row r="555" spans="1:47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</row>
    <row r="556" spans="1:47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</row>
    <row r="557" spans="1:4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</row>
    <row r="558" spans="1:47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</row>
    <row r="559" spans="1:47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</row>
    <row r="560" spans="1:47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</row>
    <row r="561" spans="1:47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</row>
    <row r="562" spans="1:47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</row>
    <row r="563" spans="1:47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</row>
    <row r="564" spans="1:47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</row>
    <row r="565" spans="1:47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</row>
    <row r="566" spans="1:47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</row>
    <row r="567" spans="1:4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</row>
    <row r="568" spans="1:47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</row>
    <row r="569" spans="1:47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</row>
    <row r="570" spans="1:47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</row>
    <row r="571" spans="1:47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</row>
    <row r="572" spans="1:47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</row>
    <row r="573" spans="1:47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</row>
    <row r="574" spans="1:47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</row>
    <row r="575" spans="1:47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</row>
    <row r="576" spans="1:47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</row>
    <row r="577" spans="1:4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</row>
    <row r="578" spans="1:47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</row>
    <row r="579" spans="1:47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</row>
    <row r="580" spans="1:47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</row>
    <row r="581" spans="1:47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</row>
    <row r="582" spans="1:47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</row>
    <row r="583" spans="1:47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</row>
    <row r="584" spans="1:47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</row>
    <row r="585" spans="1:47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</row>
    <row r="586" spans="1:47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</row>
    <row r="587" spans="1:4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</row>
    <row r="588" spans="1:47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</row>
    <row r="589" spans="1:47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</row>
    <row r="590" spans="1:47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</row>
    <row r="591" spans="1:47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</row>
    <row r="592" spans="1:47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</row>
    <row r="593" spans="1:47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</row>
    <row r="594" spans="1:47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</row>
    <row r="595" spans="1:47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</row>
    <row r="596" spans="1:47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</row>
    <row r="597" spans="1:4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</row>
    <row r="598" spans="1:47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</row>
    <row r="599" spans="1:47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</row>
    <row r="600" spans="1:47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</row>
    <row r="601" spans="1:47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</row>
    <row r="602" spans="1:47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</row>
    <row r="603" spans="1:47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</row>
    <row r="604" spans="1:47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</row>
    <row r="605" spans="1:47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</row>
    <row r="606" spans="1:47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</row>
    <row r="607" spans="1:4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</row>
    <row r="608" spans="1:47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</row>
    <row r="609" spans="1:47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</row>
    <row r="610" spans="1:47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</row>
    <row r="611" spans="1:47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</row>
    <row r="612" spans="1:47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</row>
    <row r="613" spans="1:47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</row>
    <row r="614" spans="1:47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</row>
    <row r="615" spans="1:47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</row>
    <row r="616" spans="1:47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</row>
    <row r="617" spans="1:4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</row>
    <row r="618" spans="1:47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</row>
    <row r="619" spans="1:47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</row>
    <row r="620" spans="1:47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</row>
    <row r="621" spans="1:47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</row>
    <row r="622" spans="1:47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</row>
    <row r="623" spans="1:47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</row>
    <row r="624" spans="1:47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</row>
    <row r="625" spans="1:47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</row>
    <row r="626" spans="1:47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</row>
    <row r="627" spans="1:4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</row>
    <row r="628" spans="1:47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</row>
    <row r="629" spans="1:47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</row>
    <row r="630" spans="1:47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</row>
    <row r="631" spans="1:47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</row>
    <row r="632" spans="1:47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</row>
    <row r="633" spans="1:47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</row>
    <row r="634" spans="1:47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</row>
    <row r="635" spans="1:47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</row>
    <row r="636" spans="1:47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</row>
    <row r="637" spans="1:4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</row>
    <row r="638" spans="1:47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</row>
    <row r="639" spans="1:47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</row>
    <row r="640" spans="1:47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</row>
    <row r="641" spans="1:47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</row>
    <row r="642" spans="1:47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</row>
    <row r="643" spans="1:47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</row>
    <row r="644" spans="1:47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</row>
    <row r="645" spans="1:47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</row>
    <row r="646" spans="1:47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</row>
    <row r="647" spans="1: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</row>
    <row r="648" spans="1:47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</row>
    <row r="649" spans="1:47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</row>
    <row r="650" spans="1:47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</row>
    <row r="651" spans="1:47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</row>
    <row r="652" spans="1:47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</row>
    <row r="653" spans="1:47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</row>
    <row r="654" spans="1:47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</row>
    <row r="655" spans="1:47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</row>
    <row r="656" spans="1:47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</row>
    <row r="657" spans="1:4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</row>
    <row r="658" spans="1:47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</row>
    <row r="659" spans="1:47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</row>
    <row r="660" spans="1:47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</row>
    <row r="661" spans="1:47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</row>
    <row r="662" spans="1:47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</row>
    <row r="663" spans="1:47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</row>
    <row r="664" spans="1:47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</row>
    <row r="665" spans="1:47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</row>
    <row r="666" spans="1:47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</row>
    <row r="667" spans="1:4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</row>
    <row r="668" spans="1:47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</row>
    <row r="669" spans="1:47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</row>
    <row r="670" spans="1:47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</row>
    <row r="671" spans="1:47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</row>
    <row r="672" spans="1:47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</row>
    <row r="673" spans="1:47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</row>
    <row r="674" spans="1:47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</row>
    <row r="675" spans="1:47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</row>
    <row r="676" spans="1:47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</row>
    <row r="677" spans="1:4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</row>
    <row r="678" spans="1:47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</row>
    <row r="679" spans="1:47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</row>
    <row r="680" spans="1:47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</row>
    <row r="681" spans="1:47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</row>
    <row r="682" spans="1:47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</row>
    <row r="683" spans="1:47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</row>
    <row r="684" spans="1:47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</row>
    <row r="685" spans="1:47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</row>
    <row r="686" spans="1:47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</row>
    <row r="687" spans="1:4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</row>
    <row r="688" spans="1:47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</row>
    <row r="689" spans="1:47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</row>
    <row r="690" spans="1:47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</row>
    <row r="691" spans="1:47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</row>
    <row r="692" spans="1:47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</row>
    <row r="693" spans="1:47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</row>
    <row r="694" spans="1:47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</row>
    <row r="695" spans="1:47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</row>
    <row r="696" spans="1:47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</row>
    <row r="697" spans="1:4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</row>
    <row r="698" spans="1:47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</row>
    <row r="699" spans="1:47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</row>
    <row r="700" spans="1:47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</row>
    <row r="701" spans="1:47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</row>
    <row r="702" spans="1:47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</row>
    <row r="703" spans="1:47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</row>
    <row r="704" spans="1:47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</row>
  </sheetData>
  <mergeCells count="13">
    <mergeCell ref="A42:D42"/>
    <mergeCell ref="A29:F29"/>
    <mergeCell ref="A3:B3"/>
    <mergeCell ref="A1:C1"/>
    <mergeCell ref="A6:A7"/>
    <mergeCell ref="B6:F6"/>
    <mergeCell ref="A28:D28"/>
    <mergeCell ref="A2:B2"/>
    <mergeCell ref="A41:D41"/>
    <mergeCell ref="A31:G31"/>
    <mergeCell ref="B32:D32"/>
    <mergeCell ref="E32:G32"/>
    <mergeCell ref="A32:A3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ACF0-C378-4830-9D76-1E8C390C134C}">
  <dimension ref="A1:BK314"/>
  <sheetViews>
    <sheetView topLeftCell="A64" zoomScaleNormal="100" workbookViewId="0"/>
  </sheetViews>
  <sheetFormatPr defaultRowHeight="12.75"/>
  <cols>
    <col min="1" max="1" width="29.28515625" customWidth="1"/>
    <col min="2" max="2" width="16.5703125" customWidth="1"/>
    <col min="3" max="3" width="12.7109375" customWidth="1"/>
    <col min="4" max="5" width="15" customWidth="1"/>
    <col min="6" max="6" width="15.5703125" customWidth="1"/>
    <col min="7" max="13" width="12.7109375" customWidth="1"/>
    <col min="14" max="19" width="12.7109375" style="17" customWidth="1"/>
    <col min="20" max="63" width="8.85546875" style="17"/>
  </cols>
  <sheetData>
    <row r="1" spans="1:53" ht="20.25">
      <c r="A1" s="26" t="s">
        <v>307</v>
      </c>
      <c r="B1" s="26"/>
      <c r="C1" s="27"/>
      <c r="D1" s="27"/>
      <c r="E1" s="27"/>
      <c r="F1" s="26"/>
      <c r="G1" s="2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</row>
    <row r="2" spans="1:53" ht="16.5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9"/>
      <c r="N2" s="29"/>
      <c r="O2" s="29"/>
      <c r="P2" s="29"/>
      <c r="Q2" s="29"/>
      <c r="R2" s="29"/>
      <c r="S2" s="29"/>
      <c r="T2" s="29"/>
      <c r="U2" s="29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>
      <c r="A3" s="437" t="s">
        <v>29</v>
      </c>
      <c r="B3" s="447" t="s">
        <v>308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9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53" ht="25.5" customHeight="1">
      <c r="A4" s="520"/>
      <c r="B4" s="484" t="s">
        <v>137</v>
      </c>
      <c r="C4" s="484"/>
      <c r="D4" s="484" t="s">
        <v>138</v>
      </c>
      <c r="E4" s="484"/>
      <c r="F4" s="484" t="s">
        <v>139</v>
      </c>
      <c r="G4" s="484"/>
      <c r="H4" s="484" t="s">
        <v>140</v>
      </c>
      <c r="I4" s="484"/>
      <c r="J4" s="484" t="s">
        <v>141</v>
      </c>
      <c r="K4" s="484"/>
      <c r="L4" s="435" t="s">
        <v>142</v>
      </c>
      <c r="M4" s="435" t="s">
        <v>87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1:53" ht="13.5" thickBot="1">
      <c r="A5" s="438"/>
      <c r="B5" s="173" t="s">
        <v>123</v>
      </c>
      <c r="C5" s="174" t="s">
        <v>122</v>
      </c>
      <c r="D5" s="173" t="s">
        <v>123</v>
      </c>
      <c r="E5" s="174" t="s">
        <v>122</v>
      </c>
      <c r="F5" s="174" t="s">
        <v>143</v>
      </c>
      <c r="G5" s="175" t="s">
        <v>144</v>
      </c>
      <c r="H5" s="175" t="s">
        <v>145</v>
      </c>
      <c r="I5" s="175" t="s">
        <v>146</v>
      </c>
      <c r="J5" s="175" t="s">
        <v>145</v>
      </c>
      <c r="K5" s="175" t="s">
        <v>146</v>
      </c>
      <c r="L5" s="436"/>
      <c r="M5" s="43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53" ht="13.5" thickTop="1">
      <c r="A6" s="41">
        <v>2018</v>
      </c>
      <c r="B6" s="5">
        <f>'Loss of Use'!B34</f>
        <v>785675.27813234669</v>
      </c>
      <c r="C6" s="6">
        <f>'Loss of Use'!E35</f>
        <v>161820.59999999995</v>
      </c>
      <c r="D6" s="5">
        <f>B6*'Ton-miles'!$B$143</f>
        <v>349625498.76889426</v>
      </c>
      <c r="E6" s="6">
        <f>C6*'Ton-miles'!$B$141</f>
        <v>63595495.799999982</v>
      </c>
      <c r="F6" s="254">
        <f t="shared" ref="F6:F32" si="0">$B6*(1-$B$39)*$B$37*$E$44+$C6*(1-$B$39)*$B$37*$E$45</f>
        <v>132174452.43210848</v>
      </c>
      <c r="G6" s="6">
        <f t="shared" ref="G6:G32" si="1">$B6*(1-$B$39)*$B$38*$E$46+$C6*(1-$B$39)*$B$38*$E$47</f>
        <v>48139834.087298393</v>
      </c>
      <c r="H6" s="111">
        <f t="shared" ref="H6:H32" si="2">(D6+E6)*$E$76</f>
        <v>1.8969115297114653E-3</v>
      </c>
      <c r="I6" s="252">
        <f t="shared" ref="I6:I32" si="3">(D6+E6)*$F$76</f>
        <v>1.8969115297114653E-3</v>
      </c>
      <c r="J6" s="111">
        <f t="shared" ref="J6:J32" si="4">F6*$E$88+G6*$E$101</f>
        <v>0.31900574737461318</v>
      </c>
      <c r="K6" s="252">
        <f t="shared" ref="K6:K32" si="5">F6*$F$88+G6*$F$101</f>
        <v>23.203419315063954</v>
      </c>
      <c r="L6" s="255"/>
      <c r="M6" s="105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53">
      <c r="A7" s="18">
        <f>A6+1</f>
        <v>2019</v>
      </c>
      <c r="B7" s="5">
        <f t="shared" ref="B7:B32" si="6">$B6*(1+$B$51)^($A7-$A$6)</f>
        <v>789603.65452300839</v>
      </c>
      <c r="C7" s="6">
        <f t="shared" ref="C7:C32" si="7">$C$6*(1+$B$51)^($A7-$A$6)</f>
        <v>162629.70299999992</v>
      </c>
      <c r="D7" s="5">
        <f>B7*'Ton-miles'!$B$143</f>
        <v>351373626.2627387</v>
      </c>
      <c r="E7" s="6">
        <f>C7*'Ton-miles'!$B$141</f>
        <v>63913473.278999969</v>
      </c>
      <c r="F7" s="254">
        <f t="shared" si="0"/>
        <v>132835324.69426902</v>
      </c>
      <c r="G7" s="6">
        <f t="shared" si="1"/>
        <v>48380533.257734872</v>
      </c>
      <c r="H7" s="111">
        <f t="shared" si="2"/>
        <v>1.9063960873600223E-3</v>
      </c>
      <c r="I7" s="252">
        <f t="shared" si="3"/>
        <v>1.9063960873600223E-3</v>
      </c>
      <c r="J7" s="111">
        <f t="shared" si="4"/>
        <v>0.32060077611148619</v>
      </c>
      <c r="K7" s="252">
        <f t="shared" si="5"/>
        <v>23.319436411639266</v>
      </c>
      <c r="L7" s="255"/>
      <c r="M7" s="105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53">
      <c r="A8" s="18">
        <f>A7+1</f>
        <v>2020</v>
      </c>
      <c r="B8" s="5">
        <f t="shared" si="6"/>
        <v>797519.43115960131</v>
      </c>
      <c r="C8" s="6">
        <f t="shared" si="7"/>
        <v>163442.8515149999</v>
      </c>
      <c r="D8" s="5">
        <f>B8*'Ton-miles'!$B$143</f>
        <v>354896146.86602259</v>
      </c>
      <c r="E8" s="6">
        <f>C8*'Ton-miles'!$B$141</f>
        <v>64233040.645394959</v>
      </c>
      <c r="F8" s="254">
        <f t="shared" si="0"/>
        <v>134068626.65807341</v>
      </c>
      <c r="G8" s="6">
        <f t="shared" si="1"/>
        <v>48829999.283439137</v>
      </c>
      <c r="H8" s="111">
        <f t="shared" si="2"/>
        <v>1.9240333832952229E-3</v>
      </c>
      <c r="I8" s="252">
        <f t="shared" si="3"/>
        <v>1.9240333832952229E-3</v>
      </c>
      <c r="J8" s="111">
        <f t="shared" si="4"/>
        <v>0.32357886249193518</v>
      </c>
      <c r="K8" s="252">
        <f t="shared" si="5"/>
        <v>23.536075377961417</v>
      </c>
      <c r="L8" s="255"/>
      <c r="M8" s="105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53">
      <c r="A9" s="18">
        <f t="shared" ref="A9:A31" si="8">A8+1</f>
        <v>2021</v>
      </c>
      <c r="B9" s="5">
        <f t="shared" si="6"/>
        <v>809542.13627426093</v>
      </c>
      <c r="C9" s="6">
        <f t="shared" si="7"/>
        <v>164260.06577257489</v>
      </c>
      <c r="D9" s="5">
        <f>B9*'Ton-miles'!$B$143</f>
        <v>360246250.64204609</v>
      </c>
      <c r="E9" s="6">
        <f>C9*'Ton-miles'!$B$141</f>
        <v>64554205.848621935</v>
      </c>
      <c r="F9" s="254">
        <f t="shared" si="0"/>
        <v>135891505.58921301</v>
      </c>
      <c r="G9" s="6">
        <f t="shared" si="1"/>
        <v>49494485.864954285</v>
      </c>
      <c r="H9" s="111">
        <f t="shared" si="2"/>
        <v>1.9500676256406749E-3</v>
      </c>
      <c r="I9" s="252">
        <f t="shared" si="3"/>
        <v>1.9500676256406749E-3</v>
      </c>
      <c r="J9" s="111">
        <f t="shared" si="4"/>
        <v>0.32798143654681067</v>
      </c>
      <c r="K9" s="252">
        <f t="shared" si="5"/>
        <v>23.856350384669398</v>
      </c>
      <c r="L9" s="255"/>
      <c r="M9" s="105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53">
      <c r="A10" s="18">
        <f t="shared" si="8"/>
        <v>2022</v>
      </c>
      <c r="B10" s="5">
        <f t="shared" si="6"/>
        <v>825854.81559721869</v>
      </c>
      <c r="C10" s="6">
        <f t="shared" si="7"/>
        <v>165081.36610143771</v>
      </c>
      <c r="D10" s="5">
        <f>B10*'Ton-miles'!$B$143</f>
        <v>367505392.94076234</v>
      </c>
      <c r="E10" s="6">
        <f>C10*'Ton-miles'!$B$141</f>
        <v>64876976.877865024</v>
      </c>
      <c r="F10" s="254">
        <f t="shared" si="0"/>
        <v>138330219.55668664</v>
      </c>
      <c r="G10" s="6">
        <f t="shared" si="1"/>
        <v>50383569.466342047</v>
      </c>
      <c r="H10" s="111">
        <f t="shared" si="2"/>
        <v>1.984872775906778E-3</v>
      </c>
      <c r="I10" s="252">
        <f t="shared" si="3"/>
        <v>1.984872775906778E-3</v>
      </c>
      <c r="J10" s="111">
        <f t="shared" si="4"/>
        <v>0.33387194121901886</v>
      </c>
      <c r="K10" s="252">
        <f t="shared" si="5"/>
        <v>24.284877114307484</v>
      </c>
      <c r="L10" s="255"/>
      <c r="M10" s="105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53">
      <c r="A11" s="18">
        <v>2023</v>
      </c>
      <c r="B11" s="5">
        <f t="shared" si="6"/>
        <v>846708.68459294434</v>
      </c>
      <c r="C11" s="6">
        <f t="shared" si="7"/>
        <v>165906.77293194487</v>
      </c>
      <c r="D11" s="5">
        <f>B11*'Ton-miles'!$B$143</f>
        <v>376785364.64386022</v>
      </c>
      <c r="E11" s="6">
        <f>C11*'Ton-miles'!$B$141</f>
        <v>65201361.762254335</v>
      </c>
      <c r="F11" s="254">
        <f t="shared" si="0"/>
        <v>141420804.73798332</v>
      </c>
      <c r="G11" s="6">
        <f t="shared" si="1"/>
        <v>51510392.685308002</v>
      </c>
      <c r="H11" s="111">
        <f t="shared" si="2"/>
        <v>2.0289620525546694E-3</v>
      </c>
      <c r="I11" s="252">
        <f t="shared" si="3"/>
        <v>2.0289620525546694E-3</v>
      </c>
      <c r="J11" s="111">
        <f t="shared" si="4"/>
        <v>0.34133744466157445</v>
      </c>
      <c r="K11" s="252">
        <f t="shared" si="5"/>
        <v>24.827990061322861</v>
      </c>
      <c r="L11" s="255"/>
      <c r="M11" s="105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53">
      <c r="A12" s="18">
        <f t="shared" si="8"/>
        <v>2024</v>
      </c>
      <c r="B12" s="5">
        <f t="shared" si="6"/>
        <v>872429.58561294852</v>
      </c>
      <c r="C12" s="6">
        <f t="shared" si="7"/>
        <v>166736.30679660456</v>
      </c>
      <c r="D12" s="5">
        <f>B12*'Ton-miles'!$B$143</f>
        <v>388231165.59776211</v>
      </c>
      <c r="E12" s="6">
        <f>C12*'Ton-miles'!$B$141</f>
        <v>65527368.571065597</v>
      </c>
      <c r="F12" s="254">
        <f t="shared" si="0"/>
        <v>145210001.61699858</v>
      </c>
      <c r="G12" s="6">
        <f t="shared" si="1"/>
        <v>52892002.043029666</v>
      </c>
      <c r="H12" s="111">
        <f t="shared" si="2"/>
        <v>2.0830011216342406E-3</v>
      </c>
      <c r="I12" s="252">
        <f t="shared" si="3"/>
        <v>2.0830011216342406E-3</v>
      </c>
      <c r="J12" s="111">
        <f t="shared" si="4"/>
        <v>0.35049087805492352</v>
      </c>
      <c r="K12" s="252">
        <f t="shared" si="5"/>
        <v>25.493905340651885</v>
      </c>
      <c r="L12" s="255"/>
      <c r="M12" s="10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53">
      <c r="A13" s="18">
        <v>2025</v>
      </c>
      <c r="B13" s="5">
        <f t="shared" si="6"/>
        <v>903426.4826630305</v>
      </c>
      <c r="C13" s="6">
        <f t="shared" si="7"/>
        <v>167569.98833058757</v>
      </c>
      <c r="D13" s="5">
        <f>B13*'Ton-miles'!$B$143</f>
        <v>402024784.78504854</v>
      </c>
      <c r="E13" s="6">
        <f>C13*'Ton-miles'!$B$141</f>
        <v>65855005.413920917</v>
      </c>
      <c r="F13" s="254">
        <f t="shared" si="0"/>
        <v>149756473.45227292</v>
      </c>
      <c r="G13" s="6">
        <f t="shared" si="1"/>
        <v>54549792.366690338</v>
      </c>
      <c r="H13" s="111">
        <f t="shared" si="2"/>
        <v>2.1478254498500165E-3</v>
      </c>
      <c r="I13" s="252">
        <f t="shared" si="3"/>
        <v>2.1478254498500165E-3</v>
      </c>
      <c r="J13" s="111">
        <f t="shared" si="4"/>
        <v>0.36147397958822874</v>
      </c>
      <c r="K13" s="252">
        <f t="shared" si="5"/>
        <v>26.292934872062215</v>
      </c>
      <c r="L13" s="255">
        <f t="shared" ref="L13:L32" si="9">(J13*$B$64+K13*$B$65)-(H13*$B$64+I13*$B$65)</f>
        <v>9697135.903907774</v>
      </c>
      <c r="M13" s="105">
        <f>L13*NPV!C9</f>
        <v>6913923.8800611133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53">
      <c r="A14" s="18">
        <f t="shared" si="8"/>
        <v>2026</v>
      </c>
      <c r="B14" s="5">
        <f t="shared" si="6"/>
        <v>940202.30417619739</v>
      </c>
      <c r="C14" s="6">
        <f t="shared" si="7"/>
        <v>168407.83827224051</v>
      </c>
      <c r="D14" s="5">
        <f>B14*'Ton-miles'!$B$143</f>
        <v>418390025.35840786</v>
      </c>
      <c r="E14" s="6">
        <f>C14*'Ton-miles'!$B$141</f>
        <v>66184280.440990523</v>
      </c>
      <c r="F14" s="254">
        <f t="shared" si="0"/>
        <v>155132361.53729427</v>
      </c>
      <c r="G14" s="6">
        <f t="shared" si="1"/>
        <v>56510074.002059788</v>
      </c>
      <c r="H14" s="111">
        <f t="shared" si="2"/>
        <v>2.2244624541204313E-3</v>
      </c>
      <c r="I14" s="252">
        <f t="shared" si="3"/>
        <v>2.2244624541204313E-3</v>
      </c>
      <c r="J14" s="111">
        <f t="shared" si="4"/>
        <v>0.37446105217506498</v>
      </c>
      <c r="K14" s="252">
        <f t="shared" si="5"/>
        <v>27.237759766355381</v>
      </c>
      <c r="L14" s="255">
        <f t="shared" si="9"/>
        <v>10045577.515173392</v>
      </c>
      <c r="M14" s="105">
        <f>L14*NPV!C10</f>
        <v>6693792.4609817946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53">
      <c r="A15" s="18">
        <f t="shared" si="8"/>
        <v>2027</v>
      </c>
      <c r="B15" s="5">
        <f t="shared" si="6"/>
        <v>983367.53647445026</v>
      </c>
      <c r="C15" s="6">
        <f t="shared" si="7"/>
        <v>169249.8774636017</v>
      </c>
      <c r="D15" s="5">
        <f>B15*'Ton-miles'!$B$143</f>
        <v>437598553.73113036</v>
      </c>
      <c r="E15" s="6">
        <f>C15*'Ton-miles'!$B$141</f>
        <v>66515201.843195468</v>
      </c>
      <c r="F15" s="254">
        <f t="shared" si="0"/>
        <v>161425235.01273501</v>
      </c>
      <c r="G15" s="6">
        <f t="shared" si="1"/>
        <v>58804783.921486348</v>
      </c>
      <c r="H15" s="111">
        <f t="shared" si="2"/>
        <v>2.3141592702295615E-3</v>
      </c>
      <c r="I15" s="252">
        <f t="shared" si="3"/>
        <v>2.3141592702295615E-3</v>
      </c>
      <c r="J15" s="111">
        <f t="shared" si="4"/>
        <v>0.38966367445905237</v>
      </c>
      <c r="K15" s="252">
        <f t="shared" si="5"/>
        <v>28.34377306655454</v>
      </c>
      <c r="L15" s="255">
        <f t="shared" si="9"/>
        <v>10453463.184392234</v>
      </c>
      <c r="M15" s="105">
        <f>L15*NPV!C11</f>
        <v>6509891.49988034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53">
      <c r="A16" s="18">
        <f t="shared" si="8"/>
        <v>2028</v>
      </c>
      <c r="B16" s="5">
        <f t="shared" si="6"/>
        <v>1033657.0821343792</v>
      </c>
      <c r="C16" s="6">
        <f t="shared" si="7"/>
        <v>170096.12685091968</v>
      </c>
      <c r="D16" s="5">
        <f>B16*'Ton-miles'!$B$143</f>
        <v>459977401.54979873</v>
      </c>
      <c r="E16" s="6">
        <f>C16*'Ton-miles'!$B$141</f>
        <v>66847777.852411434</v>
      </c>
      <c r="F16" s="254">
        <f t="shared" si="0"/>
        <v>168740508.9883295</v>
      </c>
      <c r="G16" s="6">
        <f t="shared" si="1"/>
        <v>61472367.627169721</v>
      </c>
      <c r="H16" s="111">
        <f t="shared" si="2"/>
        <v>2.4184171910068535E-3</v>
      </c>
      <c r="I16" s="252">
        <f t="shared" si="3"/>
        <v>2.4184171910068535E-3</v>
      </c>
      <c r="J16" s="111">
        <f t="shared" si="4"/>
        <v>0.40733654331785429</v>
      </c>
      <c r="K16" s="252">
        <f t="shared" si="5"/>
        <v>29.629504809327656</v>
      </c>
      <c r="L16" s="255">
        <f t="shared" si="9"/>
        <v>10927626.531337768</v>
      </c>
      <c r="M16" s="105">
        <f>L16*NPV!C12</f>
        <v>6359978.132525051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>
      <c r="A17" s="18">
        <f t="shared" si="8"/>
        <v>2029</v>
      </c>
      <c r="B17" s="5">
        <f t="shared" si="6"/>
        <v>1091951.0340086261</v>
      </c>
      <c r="C17" s="6">
        <f t="shared" si="7"/>
        <v>170946.60748517426</v>
      </c>
      <c r="D17" s="5">
        <f>B17*'Ton-miles'!$B$143</f>
        <v>485918210.13383865</v>
      </c>
      <c r="E17" s="6">
        <f>C17*'Ton-miles'!$B$141</f>
        <v>67182016.741673484</v>
      </c>
      <c r="F17" s="254">
        <f t="shared" si="0"/>
        <v>177204424.3166402</v>
      </c>
      <c r="G17" s="6">
        <f t="shared" si="1"/>
        <v>64558865.892181337</v>
      </c>
      <c r="H17" s="111">
        <f t="shared" si="2"/>
        <v>2.5390341033876516E-3</v>
      </c>
      <c r="I17" s="252">
        <f t="shared" si="3"/>
        <v>2.5390341033876516E-3</v>
      </c>
      <c r="J17" s="111">
        <f t="shared" si="4"/>
        <v>0.42778467339282056</v>
      </c>
      <c r="K17" s="252">
        <f t="shared" si="5"/>
        <v>31.117145814499402</v>
      </c>
      <c r="L17" s="255">
        <f t="shared" si="9"/>
        <v>11476251.221674703</v>
      </c>
      <c r="M17" s="105">
        <f>L17*NPV!C13</f>
        <v>6242320.2778414227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>
      <c r="A18" s="18">
        <f t="shared" si="8"/>
        <v>2030</v>
      </c>
      <c r="B18" s="5">
        <f t="shared" si="6"/>
        <v>1159300.1844494538</v>
      </c>
      <c r="C18" s="6">
        <f t="shared" si="7"/>
        <v>171801.34052260008</v>
      </c>
      <c r="D18" s="5">
        <f>B18*'Ton-miles'!$B$143</f>
        <v>515888582.08000696</v>
      </c>
      <c r="E18" s="6">
        <f>C18*'Ton-miles'!$B$141</f>
        <v>67517926.82538183</v>
      </c>
      <c r="F18" s="254">
        <f t="shared" si="0"/>
        <v>186967706.57237649</v>
      </c>
      <c r="G18" s="6">
        <f t="shared" si="1"/>
        <v>68119249.211745158</v>
      </c>
      <c r="H18" s="111">
        <f t="shared" si="2"/>
        <v>2.6781565985191901E-3</v>
      </c>
      <c r="I18" s="252">
        <f t="shared" si="3"/>
        <v>2.6781565985191901E-3</v>
      </c>
      <c r="J18" s="111">
        <f t="shared" si="4"/>
        <v>0.45137223766956219</v>
      </c>
      <c r="K18" s="252">
        <f t="shared" si="5"/>
        <v>32.833190866427273</v>
      </c>
      <c r="L18" s="255">
        <f t="shared" si="9"/>
        <v>12109108.163301086</v>
      </c>
      <c r="M18" s="105">
        <f>L18*NPV!C14</f>
        <v>6155656.5631968398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>
      <c r="A19" s="18">
        <f t="shared" si="8"/>
        <v>2031</v>
      </c>
      <c r="B19" s="5">
        <f t="shared" si="6"/>
        <v>1236957.2995360065</v>
      </c>
      <c r="C19" s="6">
        <f t="shared" si="7"/>
        <v>172660.34722521305</v>
      </c>
      <c r="D19" s="5">
        <f>B19*'Ton-miles'!$B$143</f>
        <v>550445998.29352295</v>
      </c>
      <c r="E19" s="6">
        <f>C19*'Ton-miles'!$B$141</f>
        <v>67855516.459508732</v>
      </c>
      <c r="F19" s="254">
        <f t="shared" si="0"/>
        <v>198210051.94943094</v>
      </c>
      <c r="G19" s="6">
        <f t="shared" si="1"/>
        <v>72219053.836274117</v>
      </c>
      <c r="H19" s="111">
        <f t="shared" si="2"/>
        <v>2.8383438585852004E-3</v>
      </c>
      <c r="I19" s="252">
        <f t="shared" si="3"/>
        <v>2.8383438585852004E-3</v>
      </c>
      <c r="J19" s="111">
        <f t="shared" si="4"/>
        <v>0.47853340600168748</v>
      </c>
      <c r="K19" s="252">
        <f t="shared" si="5"/>
        <v>34.809227252328128</v>
      </c>
      <c r="L19" s="255">
        <f t="shared" si="9"/>
        <v>12837846.308311133</v>
      </c>
      <c r="M19" s="105">
        <f>L19*NPV!C15</f>
        <v>6099168.3022095924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>
      <c r="A20" s="18">
        <f t="shared" si="8"/>
        <v>2032</v>
      </c>
      <c r="B20" s="5">
        <f t="shared" si="6"/>
        <v>1326415.4515855955</v>
      </c>
      <c r="C20" s="6">
        <f t="shared" si="7"/>
        <v>173523.64896133909</v>
      </c>
      <c r="D20" s="5">
        <f>B20*'Ton-miles'!$B$143</f>
        <v>590254875.95559001</v>
      </c>
      <c r="E20" s="6">
        <f>C20*'Ton-miles'!$B$141</f>
        <v>68194794.041806266</v>
      </c>
      <c r="F20" s="254">
        <f t="shared" si="0"/>
        <v>211145625.58053002</v>
      </c>
      <c r="G20" s="6">
        <f t="shared" si="1"/>
        <v>76936387.040889725</v>
      </c>
      <c r="H20" s="111">
        <f t="shared" si="2"/>
        <v>3.0226459622552586E-3</v>
      </c>
      <c r="I20" s="252">
        <f t="shared" si="3"/>
        <v>3.0226459622552586E-3</v>
      </c>
      <c r="J20" s="111">
        <f t="shared" si="4"/>
        <v>0.50978562978219921</v>
      </c>
      <c r="K20" s="252">
        <f t="shared" si="5"/>
        <v>37.08290126590984</v>
      </c>
      <c r="L20" s="255">
        <f t="shared" si="9"/>
        <v>13676349.086086325</v>
      </c>
      <c r="M20" s="105">
        <f>L20*NPV!C16</f>
        <v>6072462.5529734287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>
      <c r="A21" s="18">
        <f t="shared" si="8"/>
        <v>2033</v>
      </c>
      <c r="B21" s="5">
        <f t="shared" si="6"/>
        <v>1429455.035043895</v>
      </c>
      <c r="C21" s="6">
        <f t="shared" si="7"/>
        <v>174391.26720614574</v>
      </c>
      <c r="D21" s="5">
        <f>B21*'Ton-miles'!$B$143</f>
        <v>636107490.59453332</v>
      </c>
      <c r="E21" s="6">
        <f>C21*'Ton-miles'!$B$141</f>
        <v>68535768.012015283</v>
      </c>
      <c r="F21" s="254">
        <f t="shared" si="0"/>
        <v>226029805.37904847</v>
      </c>
      <c r="G21" s="6">
        <f t="shared" si="1"/>
        <v>82364386.6442011</v>
      </c>
      <c r="H21" s="111">
        <f t="shared" si="2"/>
        <v>3.2346999284939945E-3</v>
      </c>
      <c r="I21" s="252">
        <f t="shared" si="3"/>
        <v>3.2346999284939945E-3</v>
      </c>
      <c r="J21" s="111">
        <f t="shared" si="4"/>
        <v>0.54574593596205778</v>
      </c>
      <c r="K21" s="252">
        <f t="shared" si="5"/>
        <v>39.699103650928258</v>
      </c>
      <c r="L21" s="255">
        <f t="shared" si="9"/>
        <v>14641171.578384591</v>
      </c>
      <c r="M21" s="105">
        <f>L21*NPV!C17</f>
        <v>6075565.6804657103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>
      <c r="A22" s="18">
        <f t="shared" si="8"/>
        <v>2034</v>
      </c>
      <c r="B22" s="5">
        <f t="shared" si="6"/>
        <v>1548201.5105022965</v>
      </c>
      <c r="C22" s="6">
        <f t="shared" si="7"/>
        <v>175263.22354217645</v>
      </c>
      <c r="D22" s="5">
        <f>B22*'Ton-miles'!$B$143</f>
        <v>688949672.173522</v>
      </c>
      <c r="E22" s="6">
        <f>C22*'Ton-miles'!$B$141</f>
        <v>68878446.852075338</v>
      </c>
      <c r="F22" s="254">
        <f t="shared" si="0"/>
        <v>243167464.69656268</v>
      </c>
      <c r="G22" s="6">
        <f t="shared" si="1"/>
        <v>88614241.742236063</v>
      </c>
      <c r="H22" s="111">
        <f t="shared" si="2"/>
        <v>3.4788476757308985E-3</v>
      </c>
      <c r="I22" s="252">
        <f t="shared" si="3"/>
        <v>3.4788476757308985E-3</v>
      </c>
      <c r="J22" s="111">
        <f t="shared" si="4"/>
        <v>0.58715093905218962</v>
      </c>
      <c r="K22" s="252">
        <f t="shared" si="5"/>
        <v>42.711425540294698</v>
      </c>
      <c r="L22" s="255">
        <f t="shared" si="9"/>
        <v>15752077.449424691</v>
      </c>
      <c r="M22" s="105">
        <f>L22*NPV!C18</f>
        <v>6108927.216727104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>
      <c r="A23" s="18">
        <f t="shared" si="8"/>
        <v>2035</v>
      </c>
      <c r="B23" s="5">
        <f t="shared" si="6"/>
        <v>1685196.4543489323</v>
      </c>
      <c r="C23" s="6">
        <f t="shared" si="7"/>
        <v>176139.53965988732</v>
      </c>
      <c r="D23" s="5">
        <f>B23*'Ton-miles'!$B$143</f>
        <v>749912422.18527484</v>
      </c>
      <c r="E23" s="6">
        <f>C23*'Ton-miles'!$B$141</f>
        <v>69222839.086335719</v>
      </c>
      <c r="F23" s="254">
        <f t="shared" si="0"/>
        <v>262923163.50723392</v>
      </c>
      <c r="G23" s="6">
        <f t="shared" si="1"/>
        <v>95818909.493333623</v>
      </c>
      <c r="H23" s="111">
        <f t="shared" si="2"/>
        <v>3.7602811617072122E-3</v>
      </c>
      <c r="I23" s="252">
        <f t="shared" si="3"/>
        <v>3.7602811617072122E-3</v>
      </c>
      <c r="J23" s="111">
        <f t="shared" si="4"/>
        <v>0.63488146438009618</v>
      </c>
      <c r="K23" s="252">
        <f t="shared" si="5"/>
        <v>46.183949879154774</v>
      </c>
      <c r="L23" s="255">
        <f t="shared" si="9"/>
        <v>17032699.597791251</v>
      </c>
      <c r="M23" s="105">
        <f>L23*NPV!C19</f>
        <v>6173434.1729834592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>
      <c r="A24" s="18">
        <f t="shared" si="8"/>
        <v>2036</v>
      </c>
      <c r="B24" s="5">
        <f t="shared" si="6"/>
        <v>1843485.1702689442</v>
      </c>
      <c r="C24" s="6">
        <f t="shared" si="7"/>
        <v>177020.23735818671</v>
      </c>
      <c r="D24" s="5">
        <f>B24*'Ton-miles'!$B$143</f>
        <v>820350900.76968014</v>
      </c>
      <c r="E24" s="6">
        <f>C24*'Ton-miles'!$B$141</f>
        <v>69568953.281767383</v>
      </c>
      <c r="F24" s="254">
        <f t="shared" si="0"/>
        <v>285733715.18244338</v>
      </c>
      <c r="G24" s="6">
        <f t="shared" si="1"/>
        <v>104137698.29477526</v>
      </c>
      <c r="H24" s="111">
        <f t="shared" si="2"/>
        <v>4.0852213557796054E-3</v>
      </c>
      <c r="I24" s="252">
        <f t="shared" si="3"/>
        <v>4.0852213557796054E-3</v>
      </c>
      <c r="J24" s="111">
        <f t="shared" si="4"/>
        <v>0.68999291108839844</v>
      </c>
      <c r="K24" s="252">
        <f t="shared" si="5"/>
        <v>50.193460433111596</v>
      </c>
      <c r="L24" s="255">
        <f t="shared" si="9"/>
        <v>18511354.807930626</v>
      </c>
      <c r="M24" s="105">
        <f>L24*NPV!C20</f>
        <v>6270436.3255344993</v>
      </c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>
      <c r="A25" s="18">
        <f t="shared" si="8"/>
        <v>2037</v>
      </c>
      <c r="B25" s="5">
        <f t="shared" si="6"/>
        <v>2026724.9863079384</v>
      </c>
      <c r="C25" s="6">
        <f t="shared" si="7"/>
        <v>177905.33854497763</v>
      </c>
      <c r="D25" s="5">
        <f>B25*'Ton-miles'!$B$143</f>
        <v>901892618.90703261</v>
      </c>
      <c r="E25" s="6">
        <f>C25*'Ton-miles'!$B$141</f>
        <v>69916798.048176214</v>
      </c>
      <c r="F25" s="254">
        <f t="shared" si="0"/>
        <v>312123720.3508966</v>
      </c>
      <c r="G25" s="6">
        <f t="shared" si="1"/>
        <v>113761933.07294056</v>
      </c>
      <c r="H25" s="111">
        <f t="shared" si="2"/>
        <v>4.461139467581348E-3</v>
      </c>
      <c r="I25" s="252">
        <f t="shared" si="3"/>
        <v>4.461139467581348E-3</v>
      </c>
      <c r="J25" s="111">
        <f t="shared" si="4"/>
        <v>0.75375278400641399</v>
      </c>
      <c r="K25" s="252">
        <f t="shared" si="5"/>
        <v>54.83217235559151</v>
      </c>
      <c r="L25" s="255">
        <f t="shared" si="9"/>
        <v>20222050.745401323</v>
      </c>
      <c r="M25" s="105">
        <f>L25*NPV!C21</f>
        <v>6401783.3886597287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>
      <c r="A26" s="18">
        <f t="shared" si="8"/>
        <v>2038</v>
      </c>
      <c r="B26" s="5">
        <f t="shared" si="6"/>
        <v>2239319.4735454717</v>
      </c>
      <c r="C26" s="6">
        <f t="shared" si="7"/>
        <v>178794.8652377025</v>
      </c>
      <c r="D26" s="5">
        <f>B26*'Ton-miles'!$B$143</f>
        <v>996497165.72773492</v>
      </c>
      <c r="E26" s="6">
        <f>C26*'Ton-miles'!$B$141</f>
        <v>70266382.038417086</v>
      </c>
      <c r="F26" s="254">
        <f t="shared" si="0"/>
        <v>342724818.88966703</v>
      </c>
      <c r="G26" s="6">
        <f t="shared" si="1"/>
        <v>124921976.59768756</v>
      </c>
      <c r="H26" s="111">
        <f t="shared" si="2"/>
        <v>4.8970311282093958E-3</v>
      </c>
      <c r="I26" s="252">
        <f t="shared" si="3"/>
        <v>4.8970311282093958E-3</v>
      </c>
      <c r="J26" s="111">
        <f t="shared" si="4"/>
        <v>0.82768720902048976</v>
      </c>
      <c r="K26" s="252">
        <f t="shared" si="5"/>
        <v>60.211116334354699</v>
      </c>
      <c r="L26" s="255">
        <f t="shared" si="9"/>
        <v>22205733.983018987</v>
      </c>
      <c r="M26" s="105">
        <f>L26*NPV!C22</f>
        <v>6569875.4210116006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>
      <c r="A27" s="18">
        <f t="shared" si="8"/>
        <v>2039</v>
      </c>
      <c r="B27" s="5">
        <f t="shared" si="6"/>
        <v>2486585.2531396444</v>
      </c>
      <c r="C27" s="6">
        <f t="shared" si="7"/>
        <v>179688.83956389097</v>
      </c>
      <c r="D27" s="5">
        <f>B27*'Ton-miles'!$B$143</f>
        <v>1106530437.6471417</v>
      </c>
      <c r="E27" s="6">
        <f>C27*'Ton-miles'!$B$141</f>
        <v>70617713.948609158</v>
      </c>
      <c r="F27" s="254">
        <f t="shared" si="0"/>
        <v>378299616.30972111</v>
      </c>
      <c r="G27" s="6">
        <f t="shared" si="1"/>
        <v>137895955.57589689</v>
      </c>
      <c r="H27" s="111">
        <f t="shared" si="2"/>
        <v>5.4037571427611271E-3</v>
      </c>
      <c r="I27" s="252">
        <f t="shared" si="3"/>
        <v>5.4037571427611271E-3</v>
      </c>
      <c r="J27" s="111">
        <f t="shared" si="4"/>
        <v>0.9136387424029655</v>
      </c>
      <c r="K27" s="252">
        <f t="shared" si="5"/>
        <v>66.464344410721964</v>
      </c>
      <c r="L27" s="255">
        <f t="shared" si="9"/>
        <v>24511841.048466079</v>
      </c>
      <c r="M27" s="105">
        <f>L27*NPV!C23</f>
        <v>6777728.3073380236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>
      <c r="A28" s="18">
        <f t="shared" si="8"/>
        <v>2040</v>
      </c>
      <c r="B28" s="5">
        <f t="shared" si="6"/>
        <v>2774959.9044028609</v>
      </c>
      <c r="C28" s="6">
        <f t="shared" si="7"/>
        <v>180587.28376171039</v>
      </c>
      <c r="D28" s="5">
        <f>B28*'Ton-miles'!$B$143</f>
        <v>1234857157.4592731</v>
      </c>
      <c r="E28" s="6">
        <f>C28*'Ton-miles'!$B$141</f>
        <v>70970802.518352181</v>
      </c>
      <c r="F28" s="254">
        <f t="shared" si="0"/>
        <v>419771505.57060122</v>
      </c>
      <c r="G28" s="6">
        <f t="shared" si="1"/>
        <v>153020636.84270906</v>
      </c>
      <c r="H28" s="111">
        <f t="shared" si="2"/>
        <v>5.9944682038370507E-3</v>
      </c>
      <c r="I28" s="252">
        <f t="shared" si="3"/>
        <v>5.9944682038370507E-3</v>
      </c>
      <c r="J28" s="111">
        <f t="shared" si="4"/>
        <v>1.0138384242819085</v>
      </c>
      <c r="K28" s="252">
        <f t="shared" si="5"/>
        <v>73.754172106992755</v>
      </c>
      <c r="L28" s="255">
        <f t="shared" si="9"/>
        <v>27200231.647942938</v>
      </c>
      <c r="M28" s="105">
        <f>L28*NPV!C24</f>
        <v>7029056.7387676463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>
      <c r="A29" s="18">
        <f t="shared" si="8"/>
        <v>2041</v>
      </c>
      <c r="B29" s="5">
        <f t="shared" si="6"/>
        <v>3112261.8754484104</v>
      </c>
      <c r="C29" s="6">
        <f t="shared" si="7"/>
        <v>181490.2201805189</v>
      </c>
      <c r="D29" s="5">
        <f>B29*'Ton-miles'!$B$143</f>
        <v>1384956534.5745425</v>
      </c>
      <c r="E29" s="6">
        <f>C29*'Ton-miles'!$B$141</f>
        <v>71325656.53094393</v>
      </c>
      <c r="F29" s="254">
        <f t="shared" si="0"/>
        <v>468261948.01386136</v>
      </c>
      <c r="G29" s="6">
        <f t="shared" si="1"/>
        <v>170705023.93724757</v>
      </c>
      <c r="H29" s="111">
        <f t="shared" si="2"/>
        <v>6.6851358356161761E-3</v>
      </c>
      <c r="I29" s="252">
        <f t="shared" si="3"/>
        <v>6.6851358356161761E-3</v>
      </c>
      <c r="J29" s="111">
        <f t="shared" si="4"/>
        <v>1.1309958543336065</v>
      </c>
      <c r="K29" s="252">
        <f t="shared" si="5"/>
        <v>82.277731729971677</v>
      </c>
      <c r="L29" s="255">
        <f t="shared" si="9"/>
        <v>30343605.433323503</v>
      </c>
      <c r="M29" s="105">
        <f>L29*NPV!C25</f>
        <v>7328377.8110812595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>
      <c r="A30" s="18">
        <f t="shared" si="8"/>
        <v>2042</v>
      </c>
      <c r="B30" s="5">
        <f t="shared" si="6"/>
        <v>3508016.3990229908</v>
      </c>
      <c r="C30" s="6">
        <f t="shared" si="7"/>
        <v>182397.6712814215</v>
      </c>
      <c r="D30" s="5">
        <f>B30*'Ton-miles'!$B$143</f>
        <v>1561067297.5652308</v>
      </c>
      <c r="E30" s="6">
        <f>C30*'Ton-miles'!$B$141</f>
        <v>71682284.813598648</v>
      </c>
      <c r="F30" s="254">
        <f t="shared" si="0"/>
        <v>525137221.91536134</v>
      </c>
      <c r="G30" s="6">
        <f t="shared" si="1"/>
        <v>191447406.57463205</v>
      </c>
      <c r="H30" s="111">
        <f t="shared" si="2"/>
        <v>7.495218172971131E-3</v>
      </c>
      <c r="I30" s="252">
        <f t="shared" si="3"/>
        <v>7.495218172971131E-3</v>
      </c>
      <c r="J30" s="111">
        <f t="shared" si="4"/>
        <v>1.2684121425011512</v>
      </c>
      <c r="K30" s="252">
        <f t="shared" si="5"/>
        <v>92.275189908041256</v>
      </c>
      <c r="L30" s="255">
        <f t="shared" si="9"/>
        <v>34030532.515486196</v>
      </c>
      <c r="M30" s="105">
        <f>L30*NPV!C26</f>
        <v>7681139.2068100944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>
      <c r="A31" s="18">
        <f t="shared" si="8"/>
        <v>2043</v>
      </c>
      <c r="B31" s="5">
        <f t="shared" si="6"/>
        <v>3973865.4541438217</v>
      </c>
      <c r="C31" s="6">
        <f t="shared" si="7"/>
        <v>183309.65963782859</v>
      </c>
      <c r="D31" s="5">
        <f>B31*'Ton-miles'!$B$143</f>
        <v>1768370127.0940006</v>
      </c>
      <c r="E31" s="6">
        <f>C31*'Ton-miles'!$B$141</f>
        <v>72040696.237666637</v>
      </c>
      <c r="F31" s="254">
        <f t="shared" si="0"/>
        <v>592067226.35765803</v>
      </c>
      <c r="G31" s="6">
        <f t="shared" si="1"/>
        <v>215856806.76414421</v>
      </c>
      <c r="H31" s="111">
        <f t="shared" si="2"/>
        <v>8.4484974289019497E-3</v>
      </c>
      <c r="I31" s="252">
        <f t="shared" si="3"/>
        <v>8.4484974289019497E-3</v>
      </c>
      <c r="J31" s="111">
        <f t="shared" si="4"/>
        <v>1.4301219869693944</v>
      </c>
      <c r="K31" s="252">
        <f t="shared" si="5"/>
        <v>104.04008423214184</v>
      </c>
      <c r="L31" s="255">
        <f t="shared" si="9"/>
        <v>38369265.473679841</v>
      </c>
      <c r="M31" s="105">
        <f>L31*NPV!C27</f>
        <v>8093876.9679178158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ht="13.5" thickBot="1">
      <c r="A32" s="44">
        <f>A31+1</f>
        <v>2044</v>
      </c>
      <c r="B32" s="11">
        <f t="shared" si="6"/>
        <v>4524085.0884551005</v>
      </c>
      <c r="C32" s="12">
        <f t="shared" si="7"/>
        <v>184226.20793601772</v>
      </c>
      <c r="D32" s="11">
        <f>B32*'Ton-miles'!$B$143</f>
        <v>2013217864.3625197</v>
      </c>
      <c r="E32" s="12">
        <f>C32*'Ton-miles'!$B$141</f>
        <v>72400899.718854964</v>
      </c>
      <c r="F32" s="258">
        <f t="shared" si="0"/>
        <v>671099684.65557659</v>
      </c>
      <c r="G32" s="12">
        <f t="shared" si="1"/>
        <v>244680041.23502424</v>
      </c>
      <c r="H32" s="112">
        <f t="shared" si="2"/>
        <v>9.5741366778713671E-3</v>
      </c>
      <c r="I32" s="253">
        <f t="shared" si="3"/>
        <v>9.5741366778713671E-3</v>
      </c>
      <c r="J32" s="112">
        <f t="shared" si="4"/>
        <v>1.6210729595080924</v>
      </c>
      <c r="K32" s="253">
        <f t="shared" si="5"/>
        <v>117.9323668554262</v>
      </c>
      <c r="L32" s="256">
        <f t="shared" si="9"/>
        <v>43492549.653583333</v>
      </c>
      <c r="M32" s="105">
        <f>L32*NPV!C28</f>
        <v>8574409.1571591478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1:53" ht="13.5" thickTop="1">
      <c r="A33" s="478" t="s">
        <v>19</v>
      </c>
      <c r="B33" s="479"/>
      <c r="C33" s="479"/>
      <c r="D33" s="479"/>
      <c r="E33" s="479"/>
      <c r="F33" s="479"/>
      <c r="G33" s="479"/>
      <c r="H33" s="479"/>
      <c r="I33" s="479"/>
      <c r="J33" s="479"/>
      <c r="K33" s="480"/>
      <c r="L33" s="257">
        <f>SUM(L6:L32)</f>
        <v>397536471.84861779</v>
      </c>
      <c r="M33" s="186">
        <f>SUM(M6:M32)</f>
        <v>134131804.06412567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53">
      <c r="A34" s="518" t="s">
        <v>147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19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7"/>
      <c r="Z34" s="34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</row>
    <row r="35" spans="1:53">
      <c r="A35" s="185"/>
      <c r="B35" s="185"/>
      <c r="C35" s="185"/>
      <c r="D35" s="185"/>
      <c r="E35" s="185"/>
      <c r="F35" s="185"/>
      <c r="G35" s="185"/>
      <c r="H35" s="27"/>
      <c r="I35" s="27"/>
      <c r="J35" s="27"/>
      <c r="K35" s="27"/>
      <c r="L35" s="27"/>
      <c r="M35" s="27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7"/>
      <c r="Z35" s="34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</row>
    <row r="36" spans="1:53">
      <c r="A36" s="454" t="s">
        <v>148</v>
      </c>
      <c r="B36" s="456"/>
      <c r="C36" s="185"/>
      <c r="D36" s="185"/>
      <c r="E36" s="185"/>
      <c r="F36" s="185"/>
      <c r="G36" s="185"/>
      <c r="H36" s="185"/>
      <c r="I36" s="185"/>
      <c r="J36" s="27"/>
      <c r="K36" s="27"/>
      <c r="L36" s="27"/>
      <c r="M36" s="27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7"/>
      <c r="Z36" s="34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53">
      <c r="A37" s="116" t="s">
        <v>149</v>
      </c>
      <c r="B37" s="403">
        <v>0.75</v>
      </c>
      <c r="C37" s="185"/>
      <c r="D37" s="185"/>
      <c r="E37" s="185"/>
      <c r="F37" s="185"/>
      <c r="G37" s="185"/>
      <c r="H37" s="185"/>
      <c r="I37" s="185"/>
      <c r="J37" s="27"/>
      <c r="K37" s="27"/>
      <c r="L37" s="27"/>
      <c r="M37" s="27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7"/>
      <c r="Z37" s="34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</row>
    <row r="38" spans="1:53">
      <c r="A38" s="117" t="s">
        <v>150</v>
      </c>
      <c r="B38" s="403">
        <f>1-B37</f>
        <v>0.25</v>
      </c>
      <c r="C38" s="185"/>
      <c r="D38" s="185"/>
      <c r="E38" s="185"/>
      <c r="F38" s="185"/>
      <c r="G38" s="185"/>
      <c r="H38" s="185"/>
      <c r="I38" s="185"/>
      <c r="J38" s="27"/>
      <c r="K38" s="27"/>
      <c r="L38" s="27"/>
      <c r="M38" s="27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7"/>
      <c r="Z38" s="34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3">
      <c r="A39" s="317" t="s">
        <v>151</v>
      </c>
      <c r="B39" s="403">
        <v>0.25</v>
      </c>
      <c r="C39" s="185"/>
      <c r="D39" s="185"/>
      <c r="E39" s="185"/>
      <c r="F39" s="185"/>
      <c r="G39" s="185"/>
      <c r="H39" s="185"/>
      <c r="I39" s="185"/>
      <c r="J39" s="27"/>
      <c r="K39" s="27"/>
      <c r="L39" s="27"/>
      <c r="M39" s="27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7"/>
      <c r="Z39" s="34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</row>
    <row r="40" spans="1:53">
      <c r="A40" s="512" t="s">
        <v>152</v>
      </c>
      <c r="B40" s="513"/>
      <c r="C40" s="185"/>
      <c r="D40" s="185"/>
      <c r="E40" s="185"/>
      <c r="F40" s="185"/>
      <c r="G40" s="185"/>
      <c r="H40" s="185"/>
      <c r="I40" s="185"/>
      <c r="J40" s="27"/>
      <c r="K40" s="27"/>
      <c r="L40" s="27"/>
      <c r="M40" s="27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7"/>
      <c r="Z40" s="34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</row>
    <row r="41" spans="1:53">
      <c r="A41" s="514" t="s">
        <v>153</v>
      </c>
      <c r="B41" s="515"/>
      <c r="C41" s="30"/>
      <c r="D41" s="30"/>
      <c r="E41" s="30"/>
      <c r="F41" s="17"/>
      <c r="G41" s="17"/>
      <c r="H41" s="17"/>
      <c r="I41" s="17"/>
      <c r="J41" s="30"/>
      <c r="K41" s="30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0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spans="1:53">
      <c r="A42" s="31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</row>
    <row r="43" spans="1:53">
      <c r="A43" s="114" t="s">
        <v>154</v>
      </c>
      <c r="B43" s="114" t="s">
        <v>155</v>
      </c>
      <c r="C43" s="114" t="s">
        <v>156</v>
      </c>
      <c r="D43" s="114" t="s">
        <v>157</v>
      </c>
      <c r="E43" s="114" t="s">
        <v>158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</row>
    <row r="44" spans="1:53">
      <c r="A44" s="115" t="s">
        <v>159</v>
      </c>
      <c r="B44" s="314" t="s">
        <v>160</v>
      </c>
      <c r="C44" s="315" t="s">
        <v>161</v>
      </c>
      <c r="D44" s="315" t="s">
        <v>162</v>
      </c>
      <c r="E44" s="315">
        <v>255</v>
      </c>
      <c r="F44" s="27" t="s">
        <v>163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</row>
    <row r="45" spans="1:53">
      <c r="A45" s="115" t="s">
        <v>164</v>
      </c>
      <c r="B45" s="314" t="s">
        <v>160</v>
      </c>
      <c r="C45" s="315" t="s">
        <v>122</v>
      </c>
      <c r="D45" s="315" t="s">
        <v>162</v>
      </c>
      <c r="E45" s="315">
        <v>214</v>
      </c>
      <c r="F45" s="27" t="s">
        <v>163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</row>
    <row r="46" spans="1:53">
      <c r="A46" s="115" t="s">
        <v>165</v>
      </c>
      <c r="B46" s="314" t="s">
        <v>160</v>
      </c>
      <c r="C46" s="315" t="s">
        <v>123</v>
      </c>
      <c r="D46" s="315"/>
      <c r="E46" s="315">
        <v>279</v>
      </c>
      <c r="F46" s="27" t="s">
        <v>166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</row>
    <row r="47" spans="1:53">
      <c r="A47" s="115" t="s">
        <v>167</v>
      </c>
      <c r="B47" s="314" t="s">
        <v>160</v>
      </c>
      <c r="C47" s="315" t="s">
        <v>122</v>
      </c>
      <c r="D47" s="315"/>
      <c r="E47" s="315">
        <v>232</v>
      </c>
      <c r="F47" s="27" t="s">
        <v>166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</row>
    <row r="48" spans="1:53">
      <c r="A48" s="502" t="s">
        <v>168</v>
      </c>
      <c r="B48" s="503"/>
      <c r="C48" s="503"/>
      <c r="D48" s="503"/>
      <c r="E48" s="504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</row>
    <row r="49" spans="1:53">
      <c r="A49" s="31"/>
      <c r="B49" s="31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</row>
    <row r="50" spans="1:53">
      <c r="A50" s="454" t="s">
        <v>169</v>
      </c>
      <c r="B50" s="45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</row>
    <row r="51" spans="1:53">
      <c r="A51" s="115" t="s">
        <v>170</v>
      </c>
      <c r="B51" s="316">
        <v>5.0000000000000001E-3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</row>
    <row r="52" spans="1:53">
      <c r="A52" s="31"/>
      <c r="B52" s="31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</row>
    <row r="53" spans="1:53">
      <c r="A53" s="454" t="s">
        <v>171</v>
      </c>
      <c r="B53" s="456"/>
      <c r="C53" s="27"/>
      <c r="D53" s="120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</row>
    <row r="54" spans="1:53">
      <c r="A54" s="113"/>
      <c r="B54" s="243" t="s">
        <v>309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</row>
    <row r="55" spans="1:53">
      <c r="A55" s="115" t="s">
        <v>173</v>
      </c>
      <c r="B55" s="332">
        <v>4600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</row>
    <row r="56" spans="1:53">
      <c r="A56" s="581" t="s">
        <v>282</v>
      </c>
      <c r="B56" s="582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</row>
    <row r="57" spans="1:53">
      <c r="A57" s="31"/>
      <c r="B57" s="31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</row>
    <row r="58" spans="1:53">
      <c r="A58" s="454" t="s">
        <v>175</v>
      </c>
      <c r="B58" s="45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</row>
    <row r="59" spans="1:53">
      <c r="A59" s="243" t="s">
        <v>176</v>
      </c>
      <c r="B59" s="243" t="s">
        <v>177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</row>
    <row r="60" spans="1:53">
      <c r="A60" s="116" t="s">
        <v>178</v>
      </c>
      <c r="B60" s="333">
        <v>3900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</row>
    <row r="61" spans="1:53">
      <c r="A61" s="117" t="s">
        <v>179</v>
      </c>
      <c r="B61" s="334">
        <v>77200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</row>
    <row r="62" spans="1:53">
      <c r="A62" s="117" t="s">
        <v>180</v>
      </c>
      <c r="B62" s="334">
        <v>151100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</row>
    <row r="63" spans="1:53">
      <c r="A63" s="117" t="s">
        <v>181</v>
      </c>
      <c r="B63" s="334">
        <v>554800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</row>
    <row r="64" spans="1:53">
      <c r="A64" s="117" t="s">
        <v>182</v>
      </c>
      <c r="B64" s="334">
        <v>11600000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</row>
    <row r="65" spans="1:53">
      <c r="A65" s="46" t="s">
        <v>183</v>
      </c>
      <c r="B65" s="335">
        <v>210300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</row>
    <row r="66" spans="1:53" ht="25.5">
      <c r="A66" s="118" t="s">
        <v>184</v>
      </c>
      <c r="B66" s="336">
        <v>159800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</row>
    <row r="67" spans="1:53">
      <c r="A67" s="581" t="s">
        <v>282</v>
      </c>
      <c r="B67" s="582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</row>
    <row r="68" spans="1:5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3"/>
      <c r="O68" s="27"/>
      <c r="P68" s="27"/>
      <c r="Q68" s="33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3">
      <c r="A69" s="505" t="s">
        <v>186</v>
      </c>
      <c r="B69" s="506"/>
      <c r="C69" s="505" t="s">
        <v>187</v>
      </c>
      <c r="D69" s="506"/>
      <c r="E69" s="505" t="s">
        <v>188</v>
      </c>
      <c r="F69" s="506"/>
      <c r="G69" s="27"/>
      <c r="H69" s="67"/>
      <c r="I69" s="67"/>
      <c r="J69" s="176"/>
      <c r="K69" s="176"/>
      <c r="L69" s="176"/>
      <c r="M69" s="176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</row>
    <row r="70" spans="1:53" ht="38.25">
      <c r="A70" s="57" t="s">
        <v>29</v>
      </c>
      <c r="B70" s="280" t="s">
        <v>189</v>
      </c>
      <c r="C70" s="57" t="s">
        <v>190</v>
      </c>
      <c r="D70" s="57" t="s">
        <v>191</v>
      </c>
      <c r="E70" s="57" t="s">
        <v>190</v>
      </c>
      <c r="F70" s="57" t="s">
        <v>191</v>
      </c>
      <c r="G70" s="27"/>
      <c r="H70" s="67"/>
      <c r="I70" s="67"/>
      <c r="J70" s="176"/>
      <c r="K70" s="176"/>
      <c r="L70" s="176"/>
      <c r="M70" s="176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</row>
    <row r="71" spans="1:53">
      <c r="A71" s="268">
        <v>2015</v>
      </c>
      <c r="B71" s="69">
        <v>267197000000</v>
      </c>
      <c r="C71" s="69">
        <v>0</v>
      </c>
      <c r="D71" s="69">
        <v>0</v>
      </c>
      <c r="E71" s="107"/>
      <c r="F71" s="107"/>
      <c r="G71" s="27"/>
      <c r="H71" s="127"/>
      <c r="I71" s="127"/>
      <c r="J71" s="127"/>
      <c r="K71" s="127"/>
      <c r="L71" s="127"/>
      <c r="M71" s="1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</row>
    <row r="72" spans="1:53">
      <c r="A72" s="268">
        <v>2016</v>
      </c>
      <c r="B72" s="69">
        <v>261385000000</v>
      </c>
      <c r="C72" s="69">
        <v>2</v>
      </c>
      <c r="D72" s="69">
        <v>2</v>
      </c>
      <c r="E72" s="107"/>
      <c r="F72" s="107"/>
      <c r="G72" s="27"/>
      <c r="H72" s="127"/>
      <c r="I72" s="127"/>
      <c r="J72" s="127"/>
      <c r="K72" s="127"/>
      <c r="L72" s="127"/>
      <c r="M72" s="1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</row>
    <row r="73" spans="1:53">
      <c r="A73" s="268">
        <v>2017</v>
      </c>
      <c r="B73" s="69">
        <v>264176000000</v>
      </c>
      <c r="C73" s="69">
        <v>1</v>
      </c>
      <c r="D73" s="69">
        <v>3</v>
      </c>
      <c r="E73" s="107"/>
      <c r="F73" s="107"/>
      <c r="G73" s="27"/>
      <c r="H73" s="127"/>
      <c r="I73" s="127"/>
      <c r="J73" s="127"/>
      <c r="K73" s="127"/>
      <c r="L73" s="127"/>
      <c r="M73" s="1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</row>
    <row r="74" spans="1:53">
      <c r="A74" s="268">
        <v>2018</v>
      </c>
      <c r="B74" s="69">
        <v>270160000000</v>
      </c>
      <c r="C74" s="69">
        <v>1</v>
      </c>
      <c r="D74" s="69">
        <v>1</v>
      </c>
      <c r="E74" s="107"/>
      <c r="F74" s="107"/>
      <c r="G74" s="27"/>
      <c r="H74" s="127"/>
      <c r="I74" s="127"/>
      <c r="J74" s="127"/>
      <c r="K74" s="127"/>
      <c r="L74" s="127"/>
      <c r="M74" s="1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</row>
    <row r="75" spans="1:53" ht="13.5" thickBot="1">
      <c r="A75" s="269">
        <v>2019</v>
      </c>
      <c r="B75" s="72">
        <v>244115000000</v>
      </c>
      <c r="C75" s="72">
        <v>2</v>
      </c>
      <c r="D75" s="72">
        <v>0</v>
      </c>
      <c r="E75" s="109"/>
      <c r="F75" s="109"/>
      <c r="G75" s="27"/>
      <c r="H75" s="127"/>
      <c r="I75" s="127"/>
      <c r="J75" s="127"/>
      <c r="K75" s="127"/>
      <c r="L75" s="127"/>
      <c r="M75" s="1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</row>
    <row r="76" spans="1:53" ht="13.5" thickTop="1">
      <c r="A76" s="293" t="s">
        <v>192</v>
      </c>
      <c r="B76" s="70">
        <f>AVERAGE(B71:B75)</f>
        <v>261406600000</v>
      </c>
      <c r="C76" s="110">
        <f>AVERAGE(C71:C75)</f>
        <v>1.2</v>
      </c>
      <c r="D76" s="110">
        <f t="shared" ref="D76" si="10">AVERAGE(D71:D75)</f>
        <v>1.2</v>
      </c>
      <c r="E76" s="108">
        <f>C76/$B$76</f>
        <v>4.5905497412842672E-12</v>
      </c>
      <c r="F76" s="108">
        <f>D76/$B$76</f>
        <v>4.5905497412842672E-12</v>
      </c>
      <c r="G76" s="27"/>
      <c r="H76" s="127"/>
      <c r="I76" s="127"/>
      <c r="J76" s="128"/>
      <c r="K76" s="128"/>
      <c r="L76" s="129"/>
      <c r="M76" s="129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</row>
    <row r="77" spans="1:53">
      <c r="A77" s="490" t="s">
        <v>193</v>
      </c>
      <c r="B77" s="491"/>
      <c r="C77" s="491"/>
      <c r="D77" s="491"/>
      <c r="E77" s="491"/>
      <c r="F77" s="492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</row>
    <row r="78" spans="1:53" ht="33" customHeight="1">
      <c r="A78" s="578" t="s">
        <v>194</v>
      </c>
      <c r="B78" s="579"/>
      <c r="C78" s="579"/>
      <c r="D78" s="579"/>
      <c r="E78" s="579"/>
      <c r="F78" s="580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</row>
    <row r="79" spans="1:53">
      <c r="A79" s="17"/>
      <c r="B79" s="17"/>
      <c r="C79" s="17"/>
      <c r="D79" s="17"/>
      <c r="E79" s="17"/>
      <c r="F79" s="1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</row>
    <row r="80" spans="1:53" ht="16.5">
      <c r="A80" s="505" t="s">
        <v>195</v>
      </c>
      <c r="B80" s="506"/>
      <c r="C80" s="505" t="s">
        <v>188</v>
      </c>
      <c r="D80" s="510"/>
      <c r="E80" s="510"/>
      <c r="F80" s="506"/>
      <c r="G80" s="27"/>
      <c r="H80" s="130"/>
      <c r="I80" s="130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</row>
    <row r="81" spans="1:53" ht="27">
      <c r="A81" s="57" t="s">
        <v>29</v>
      </c>
      <c r="B81" s="279" t="s">
        <v>196</v>
      </c>
      <c r="C81" s="57" t="s">
        <v>190</v>
      </c>
      <c r="D81" s="57" t="s">
        <v>191</v>
      </c>
      <c r="E81" s="57" t="s">
        <v>190</v>
      </c>
      <c r="F81" s="57" t="s">
        <v>191</v>
      </c>
      <c r="G81" s="27"/>
      <c r="H81" s="130"/>
      <c r="I81" s="130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</row>
    <row r="82" spans="1:53" ht="16.5">
      <c r="A82" s="268">
        <v>2015</v>
      </c>
      <c r="B82" s="69">
        <v>1738283000000</v>
      </c>
      <c r="C82" s="69">
        <f>11+749</f>
        <v>760</v>
      </c>
      <c r="D82" s="69">
        <f>564+9130</f>
        <v>9694</v>
      </c>
      <c r="E82" s="107"/>
      <c r="F82" s="107"/>
      <c r="G82" s="27"/>
      <c r="H82" s="126"/>
      <c r="I82" s="126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</row>
    <row r="83" spans="1:53" ht="16.5">
      <c r="A83" s="268">
        <v>2016</v>
      </c>
      <c r="B83" s="69">
        <v>1585440000000</v>
      </c>
      <c r="C83" s="69">
        <f>760+7</f>
        <v>767</v>
      </c>
      <c r="D83" s="69">
        <f>8702+433</f>
        <v>9135</v>
      </c>
      <c r="E83" s="107"/>
      <c r="F83" s="107"/>
      <c r="G83" s="27"/>
      <c r="H83" s="126"/>
      <c r="I83" s="126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</row>
    <row r="84" spans="1:53">
      <c r="A84" s="268">
        <v>2017</v>
      </c>
      <c r="B84" s="69">
        <v>1674784000000</v>
      </c>
      <c r="C84" s="69">
        <f>817+7</f>
        <v>824</v>
      </c>
      <c r="D84" s="69">
        <f>8889+319</f>
        <v>9208</v>
      </c>
      <c r="E84" s="107"/>
      <c r="F84" s="10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</row>
    <row r="85" spans="1:53">
      <c r="A85" s="268">
        <v>2018</v>
      </c>
      <c r="B85" s="69">
        <v>1729638000000</v>
      </c>
      <c r="C85" s="69">
        <f>805+7</f>
        <v>812</v>
      </c>
      <c r="D85" s="69">
        <f>204+8303</f>
        <v>8507</v>
      </c>
      <c r="E85" s="107"/>
      <c r="F85" s="10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</row>
    <row r="86" spans="1:53">
      <c r="A86" s="268">
        <v>2019</v>
      </c>
      <c r="B86" s="69">
        <v>1614498000000</v>
      </c>
      <c r="C86" s="69">
        <f>863+3</f>
        <v>866</v>
      </c>
      <c r="D86" s="69">
        <f>57+7958</f>
        <v>8015</v>
      </c>
      <c r="E86" s="107"/>
      <c r="F86" s="10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</row>
    <row r="87" spans="1:53" ht="13.5" thickBot="1">
      <c r="A87" s="269">
        <v>2020</v>
      </c>
      <c r="B87" s="72" t="s">
        <v>49</v>
      </c>
      <c r="C87" s="72">
        <f>752+1</f>
        <v>753</v>
      </c>
      <c r="D87" s="72">
        <f>67+5402</f>
        <v>5469</v>
      </c>
      <c r="E87" s="109"/>
      <c r="F87" s="109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</row>
    <row r="88" spans="1:53" ht="13.5" thickTop="1">
      <c r="A88" s="293" t="s">
        <v>192</v>
      </c>
      <c r="B88" s="70">
        <f>AVERAGE(B82:B86)</f>
        <v>1668528600000</v>
      </c>
      <c r="C88" s="70">
        <f>AVERAGE(C82:C87)</f>
        <v>797</v>
      </c>
      <c r="D88" s="70">
        <f>AVERAGE(D82:D87)</f>
        <v>8338</v>
      </c>
      <c r="E88" s="108">
        <f>C88/$B$88</f>
        <v>4.776663702378251E-10</v>
      </c>
      <c r="F88" s="108">
        <f>D88/$B$88</f>
        <v>4.9972173087114003E-9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</row>
    <row r="89" spans="1:53">
      <c r="A89" s="490" t="s">
        <v>193</v>
      </c>
      <c r="B89" s="491"/>
      <c r="C89" s="491"/>
      <c r="D89" s="491"/>
      <c r="E89" s="491"/>
      <c r="F89" s="492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</row>
    <row r="90" spans="1:53">
      <c r="A90" s="493" t="s">
        <v>197</v>
      </c>
      <c r="B90" s="494"/>
      <c r="C90" s="494"/>
      <c r="D90" s="494"/>
      <c r="E90" s="494"/>
      <c r="F90" s="495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</row>
    <row r="91" spans="1:53">
      <c r="A91" s="507" t="s">
        <v>198</v>
      </c>
      <c r="B91" s="508"/>
      <c r="C91" s="508"/>
      <c r="D91" s="508"/>
      <c r="E91" s="508"/>
      <c r="F91" s="509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</row>
    <row r="92" spans="1:53">
      <c r="A92" s="17"/>
      <c r="B92" s="17"/>
      <c r="C92" s="17"/>
      <c r="D92" s="17"/>
      <c r="E92" s="17"/>
      <c r="F92" s="1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</row>
    <row r="93" spans="1:53">
      <c r="A93" s="546" t="s">
        <v>29</v>
      </c>
      <c r="B93" s="57" t="s">
        <v>199</v>
      </c>
      <c r="C93" s="505" t="s">
        <v>188</v>
      </c>
      <c r="D93" s="510"/>
      <c r="E93" s="510"/>
      <c r="F93" s="506"/>
      <c r="G93" s="27"/>
      <c r="H93" s="67"/>
      <c r="I93" s="67"/>
      <c r="J93" s="176"/>
      <c r="K93" s="176"/>
      <c r="L93" s="176"/>
      <c r="M93" s="176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</row>
    <row r="94" spans="1:53">
      <c r="A94" s="561"/>
      <c r="B94" s="57" t="s">
        <v>200</v>
      </c>
      <c r="C94" s="57" t="s">
        <v>190</v>
      </c>
      <c r="D94" s="57" t="s">
        <v>191</v>
      </c>
      <c r="E94" s="57" t="s">
        <v>190</v>
      </c>
      <c r="F94" s="57" t="s">
        <v>191</v>
      </c>
      <c r="G94" s="27"/>
      <c r="H94" s="67"/>
      <c r="I94" s="67"/>
      <c r="J94" s="176"/>
      <c r="K94" s="176"/>
      <c r="L94" s="176"/>
      <c r="M94" s="176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</row>
    <row r="95" spans="1:53">
      <c r="A95" s="268">
        <v>2014</v>
      </c>
      <c r="B95" s="69">
        <v>1956805000000</v>
      </c>
      <c r="C95" s="69">
        <v>9759</v>
      </c>
      <c r="D95" s="69">
        <v>811000</v>
      </c>
      <c r="E95" s="107"/>
      <c r="F95" s="107"/>
      <c r="G95" s="27"/>
      <c r="H95" s="127"/>
      <c r="I95" s="127"/>
      <c r="J95" s="127"/>
      <c r="K95" s="127"/>
      <c r="L95" s="127"/>
      <c r="M95" s="1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</row>
    <row r="96" spans="1:53">
      <c r="A96" s="268">
        <v>2015</v>
      </c>
      <c r="B96" s="69">
        <v>1985827000000</v>
      </c>
      <c r="C96" s="69">
        <v>10543</v>
      </c>
      <c r="D96" s="69">
        <v>839000</v>
      </c>
      <c r="E96" s="107"/>
      <c r="F96" s="107"/>
      <c r="G96" s="27"/>
      <c r="H96" s="127"/>
      <c r="I96" s="127"/>
      <c r="J96" s="127"/>
      <c r="K96" s="127"/>
      <c r="L96" s="127"/>
      <c r="M96" s="1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</row>
    <row r="97" spans="1:53">
      <c r="A97" s="268">
        <v>2016</v>
      </c>
      <c r="B97" s="69">
        <v>2060780000000</v>
      </c>
      <c r="C97" s="69">
        <v>11094</v>
      </c>
      <c r="D97" s="69">
        <v>1071000</v>
      </c>
      <c r="E97" s="107"/>
      <c r="F97" s="107"/>
      <c r="G97" s="27"/>
      <c r="H97" s="127"/>
      <c r="I97" s="127"/>
      <c r="J97" s="127"/>
      <c r="K97" s="127"/>
      <c r="L97" s="127"/>
      <c r="M97" s="1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</row>
    <row r="98" spans="1:53">
      <c r="A98" s="268">
        <v>2017</v>
      </c>
      <c r="B98" s="69">
        <v>2024314000000</v>
      </c>
      <c r="C98" s="69">
        <v>11064</v>
      </c>
      <c r="D98" s="69">
        <v>977000</v>
      </c>
      <c r="E98" s="107"/>
      <c r="F98" s="107"/>
      <c r="G98" s="27"/>
      <c r="H98" s="127"/>
      <c r="I98" s="127"/>
      <c r="J98" s="127"/>
      <c r="K98" s="127"/>
      <c r="L98" s="127"/>
      <c r="M98" s="1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</row>
    <row r="99" spans="1:53">
      <c r="A99" s="268">
        <v>2018</v>
      </c>
      <c r="B99" s="69">
        <v>2033921000000</v>
      </c>
      <c r="C99" s="69">
        <v>10847</v>
      </c>
      <c r="D99" s="69">
        <v>960000</v>
      </c>
      <c r="E99" s="107"/>
      <c r="F99" s="107"/>
      <c r="G99" s="27"/>
      <c r="H99" s="127"/>
      <c r="I99" s="127"/>
      <c r="J99" s="127"/>
      <c r="K99" s="127"/>
      <c r="L99" s="127"/>
      <c r="M99" s="1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</row>
    <row r="100" spans="1:53" ht="13.5" thickBot="1">
      <c r="A100" s="269">
        <v>2019</v>
      </c>
      <c r="B100" s="72" t="s">
        <v>49</v>
      </c>
      <c r="C100" s="72">
        <v>10868</v>
      </c>
      <c r="D100" s="72">
        <v>996000</v>
      </c>
      <c r="E100" s="109"/>
      <c r="F100" s="109"/>
      <c r="G100" s="27"/>
      <c r="H100" s="127"/>
      <c r="I100" s="127"/>
      <c r="J100" s="127"/>
      <c r="K100" s="127"/>
      <c r="L100" s="127"/>
      <c r="M100" s="1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</row>
    <row r="101" spans="1:53" ht="13.5" thickTop="1">
      <c r="A101" s="293" t="s">
        <v>192</v>
      </c>
      <c r="B101" s="70">
        <f>AVERAGE(B95:B99)</f>
        <v>2012329400000</v>
      </c>
      <c r="C101" s="70">
        <f>AVERAGE(C95:C100)</f>
        <v>10695.833333333334</v>
      </c>
      <c r="D101" s="70">
        <f>AVERAGE(D95:D100)</f>
        <v>942333.33333333337</v>
      </c>
      <c r="E101" s="108">
        <f>C101/$B$101</f>
        <v>5.3151503592470172E-9</v>
      </c>
      <c r="F101" s="108">
        <f>D101/$B$101</f>
        <v>4.6827986180261214E-7</v>
      </c>
      <c r="G101" s="27"/>
      <c r="H101" s="127"/>
      <c r="I101" s="127"/>
      <c r="J101" s="128"/>
      <c r="K101" s="128"/>
      <c r="L101" s="129"/>
      <c r="M101" s="129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</row>
    <row r="102" spans="1:53">
      <c r="A102" s="490" t="s">
        <v>193</v>
      </c>
      <c r="B102" s="491"/>
      <c r="C102" s="491"/>
      <c r="D102" s="491"/>
      <c r="E102" s="491"/>
      <c r="F102" s="492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</row>
    <row r="103" spans="1:53">
      <c r="A103" s="493" t="s">
        <v>201</v>
      </c>
      <c r="B103" s="494"/>
      <c r="C103" s="494"/>
      <c r="D103" s="494"/>
      <c r="E103" s="494"/>
      <c r="F103" s="495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</row>
    <row r="104" spans="1:53">
      <c r="A104" s="496" t="s">
        <v>310</v>
      </c>
      <c r="B104" s="497"/>
      <c r="C104" s="497"/>
      <c r="D104" s="497"/>
      <c r="E104" s="497"/>
      <c r="F104" s="49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</row>
    <row r="105" spans="1:53">
      <c r="A105" s="499" t="s">
        <v>203</v>
      </c>
      <c r="B105" s="500"/>
      <c r="C105" s="500"/>
      <c r="D105" s="500"/>
      <c r="E105" s="500"/>
      <c r="F105" s="501"/>
      <c r="G105" s="120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</row>
    <row r="106" spans="1:5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</row>
    <row r="107" spans="1:5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</row>
    <row r="108" spans="1:5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</row>
    <row r="109" spans="1:5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</row>
    <row r="110" spans="1:5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</row>
    <row r="111" spans="1:5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</row>
    <row r="112" spans="1:5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</row>
    <row r="113" spans="1:5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</row>
    <row r="114" spans="1:5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</row>
    <row r="115" spans="1:5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</row>
    <row r="116" spans="1:53" s="17" customForma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</row>
    <row r="117" spans="1:53" s="17" customForma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</row>
    <row r="118" spans="1:53" s="17" customFormat="1"/>
    <row r="119" spans="1:53" s="17" customFormat="1"/>
    <row r="120" spans="1:53" s="17" customFormat="1"/>
    <row r="121" spans="1:53" s="17" customFormat="1"/>
    <row r="122" spans="1:53" s="17" customFormat="1"/>
    <row r="123" spans="1:53" s="17" customFormat="1"/>
    <row r="124" spans="1:53" s="17" customFormat="1"/>
    <row r="125" spans="1:53" s="17" customFormat="1"/>
    <row r="126" spans="1:53" s="17" customFormat="1"/>
    <row r="127" spans="1:53" s="17" customFormat="1"/>
    <row r="128" spans="1:53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</sheetData>
  <mergeCells count="36">
    <mergeCell ref="B4:C4"/>
    <mergeCell ref="F4:G4"/>
    <mergeCell ref="D4:E4"/>
    <mergeCell ref="A56:B56"/>
    <mergeCell ref="A67:B67"/>
    <mergeCell ref="A3:A5"/>
    <mergeCell ref="B3:M3"/>
    <mergeCell ref="A53:B53"/>
    <mergeCell ref="A58:B58"/>
    <mergeCell ref="A33:K33"/>
    <mergeCell ref="L4:L5"/>
    <mergeCell ref="M4:M5"/>
    <mergeCell ref="H4:I4"/>
    <mergeCell ref="J4:K4"/>
    <mergeCell ref="A34:M34"/>
    <mergeCell ref="A50:B50"/>
    <mergeCell ref="A36:B36"/>
    <mergeCell ref="A48:E48"/>
    <mergeCell ref="A80:B80"/>
    <mergeCell ref="C93:F93"/>
    <mergeCell ref="C80:F80"/>
    <mergeCell ref="A69:B69"/>
    <mergeCell ref="C69:D69"/>
    <mergeCell ref="E69:F69"/>
    <mergeCell ref="A77:F77"/>
    <mergeCell ref="A78:F78"/>
    <mergeCell ref="A89:F89"/>
    <mergeCell ref="A90:F90"/>
    <mergeCell ref="A91:F91"/>
    <mergeCell ref="A93:A94"/>
    <mergeCell ref="A40:B40"/>
    <mergeCell ref="A102:F102"/>
    <mergeCell ref="A103:F103"/>
    <mergeCell ref="A104:F104"/>
    <mergeCell ref="A105:F105"/>
    <mergeCell ref="A41:B41"/>
  </mergeCells>
  <hyperlinks>
    <hyperlink ref="A77" r:id="rId1" xr:uid="{35EF156C-296D-48C3-A24C-A0CC106F98D9}"/>
    <hyperlink ref="A105" r:id="rId2" xr:uid="{BF17A1B9-82FF-40E2-8638-824FEEB482E0}"/>
    <hyperlink ref="A102" r:id="rId3" xr:uid="{5842D224-6AED-45DB-8F51-70A22000D5E7}"/>
  </hyperlinks>
  <pageMargins left="0.7" right="0.7" top="0.75" bottom="0.75" header="0.3" footer="0.3"/>
  <pageSetup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M321"/>
  <sheetViews>
    <sheetView workbookViewId="0">
      <selection activeCell="K26" sqref="K26:L26"/>
    </sheetView>
  </sheetViews>
  <sheetFormatPr defaultRowHeight="12.75"/>
  <cols>
    <col min="1" max="1" width="25.7109375" customWidth="1"/>
    <col min="2" max="2" width="18.7109375" customWidth="1"/>
    <col min="3" max="3" width="19.28515625" customWidth="1"/>
    <col min="4" max="4" width="15.140625" customWidth="1"/>
    <col min="9" max="9" width="14.5703125" bestFit="1" customWidth="1"/>
    <col min="10" max="10" width="14" bestFit="1" customWidth="1"/>
    <col min="11" max="11" width="10.7109375" bestFit="1" customWidth="1"/>
    <col min="12" max="12" width="10.42578125" bestFit="1" customWidth="1"/>
    <col min="14" max="65" width="8.85546875" style="17"/>
  </cols>
  <sheetData>
    <row r="1" spans="1:13" ht="20.25">
      <c r="A1" s="26" t="s">
        <v>307</v>
      </c>
      <c r="B1" s="40"/>
      <c r="C1" s="39"/>
      <c r="D1" s="39"/>
      <c r="E1" s="17"/>
      <c r="F1" s="17"/>
      <c r="G1" s="17"/>
      <c r="H1" s="17"/>
      <c r="I1" s="17"/>
      <c r="J1" s="17"/>
      <c r="K1" s="17"/>
      <c r="L1" s="17"/>
      <c r="M1" s="17"/>
    </row>
    <row r="2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536" t="s">
        <v>29</v>
      </c>
      <c r="B3" s="447" t="s">
        <v>311</v>
      </c>
      <c r="C3" s="448"/>
      <c r="D3" s="448"/>
      <c r="E3" s="448"/>
      <c r="F3" s="448"/>
      <c r="G3" s="448"/>
      <c r="H3" s="448"/>
      <c r="I3" s="448"/>
      <c r="J3" s="448"/>
      <c r="K3" s="448"/>
      <c r="L3" s="449"/>
      <c r="M3" s="17"/>
    </row>
    <row r="4" spans="1:13">
      <c r="A4" s="537"/>
      <c r="B4" s="167"/>
      <c r="C4" s="447" t="s">
        <v>139</v>
      </c>
      <c r="D4" s="449"/>
      <c r="E4" s="447" t="s">
        <v>207</v>
      </c>
      <c r="F4" s="448"/>
      <c r="G4" s="448"/>
      <c r="H4" s="449"/>
      <c r="I4" s="451" t="s">
        <v>208</v>
      </c>
      <c r="J4" s="451"/>
      <c r="K4" s="451" t="s">
        <v>87</v>
      </c>
      <c r="L4" s="451"/>
      <c r="M4" s="17"/>
    </row>
    <row r="5" spans="1:13">
      <c r="A5" s="538"/>
      <c r="B5" s="184" t="s">
        <v>206</v>
      </c>
      <c r="C5" s="56" t="s">
        <v>143</v>
      </c>
      <c r="D5" s="184" t="s">
        <v>144</v>
      </c>
      <c r="E5" s="56" t="s">
        <v>209</v>
      </c>
      <c r="F5" s="56" t="s">
        <v>210</v>
      </c>
      <c r="G5" s="56" t="s">
        <v>211</v>
      </c>
      <c r="H5" s="56" t="s">
        <v>212</v>
      </c>
      <c r="I5" s="56" t="s">
        <v>213</v>
      </c>
      <c r="J5" s="56" t="s">
        <v>214</v>
      </c>
      <c r="K5" s="56" t="s">
        <v>213</v>
      </c>
      <c r="L5" s="56" t="s">
        <v>214</v>
      </c>
      <c r="M5" s="17"/>
    </row>
    <row r="6" spans="1:13">
      <c r="A6" s="18">
        <v>2025</v>
      </c>
      <c r="B6" s="245">
        <f>LoU_Safety!D13+LoU_Safety!E13</f>
        <v>467879790.19896948</v>
      </c>
      <c r="C6" s="6">
        <f>LoU_Safety!F13</f>
        <v>149756473.45227292</v>
      </c>
      <c r="D6" s="5">
        <f>LoU_Safety!G13</f>
        <v>54549792.366690338</v>
      </c>
      <c r="E6" s="6">
        <f t="shared" ref="E6:E25" si="0">($C6/1000000*$C$60)+($D6/1000000*$D$60)-($B6/1000000*$B$60)</f>
        <v>-984.36579151915521</v>
      </c>
      <c r="F6" s="5">
        <f t="shared" ref="F6:F25" si="1">(($C6/1000000*$C$63)+($D6/1000000*$D$63)-($B6/1000000*$B$63))</f>
        <v>263.46919014680373</v>
      </c>
      <c r="G6" s="6">
        <f t="shared" ref="G6:G25" si="2">(($C6/1000000*$C$69)+($D6/1000000*$D$69)-($B6/1000000*$B$69))</f>
        <v>24.544752948901749</v>
      </c>
      <c r="H6" s="5">
        <f t="shared" ref="H6:H25" si="3">(($C6/1000000*$C$66)+($D6/1000000*$D$66)-($B6/1000000*$B$66))</f>
        <v>-2.0366720606542339</v>
      </c>
      <c r="I6" s="105">
        <f t="shared" ref="I6:I20" si="4">F6*B32+G6*C32+H6*D32</f>
        <v>3816501.0538014509</v>
      </c>
      <c r="J6" s="255">
        <f t="shared" ref="J6:J20" si="5">E6*E32</f>
        <v>-55124.484325072692</v>
      </c>
      <c r="K6" s="105">
        <f>I6*NPV!C9</f>
        <v>2721112.505345291</v>
      </c>
      <c r="L6" s="255">
        <f>J6*NPV!D9</f>
        <v>-47550.864413454867</v>
      </c>
      <c r="M6" s="17"/>
    </row>
    <row r="7" spans="1:13">
      <c r="A7" s="18">
        <f t="shared" ref="A7:A25" si="6">A6+1</f>
        <v>2026</v>
      </c>
      <c r="B7" s="245">
        <f>LoU_Safety!D14+LoU_Safety!E14</f>
        <v>484574305.79939836</v>
      </c>
      <c r="C7" s="6">
        <f>LoU_Safety!F14</f>
        <v>155132361.53729427</v>
      </c>
      <c r="D7" s="5">
        <f>LoU_Safety!G14</f>
        <v>56510074.002059788</v>
      </c>
      <c r="E7" s="6">
        <f t="shared" si="0"/>
        <v>-1017.7962735764258</v>
      </c>
      <c r="F7" s="5">
        <f t="shared" si="1"/>
        <v>272.96100558849844</v>
      </c>
      <c r="G7" s="6">
        <f t="shared" si="2"/>
        <v>25.43182962801394</v>
      </c>
      <c r="H7" s="5">
        <f t="shared" si="3"/>
        <v>-2.1085680069483805</v>
      </c>
      <c r="I7" s="105">
        <f t="shared" si="4"/>
        <v>4030550.8662275556</v>
      </c>
      <c r="J7" s="255">
        <f t="shared" si="5"/>
        <v>-58014.387593856271</v>
      </c>
      <c r="K7" s="105">
        <f>I7*NPV!C10</f>
        <v>2685726.2274076403</v>
      </c>
      <c r="L7" s="255">
        <f>J7*NPV!D10</f>
        <v>-48586.13627099814</v>
      </c>
      <c r="M7" s="17"/>
    </row>
    <row r="8" spans="1:13">
      <c r="A8" s="18">
        <f t="shared" si="6"/>
        <v>2027</v>
      </c>
      <c r="B8" s="245">
        <f>LoU_Safety!D15+LoU_Safety!E15</f>
        <v>504113755.5743258</v>
      </c>
      <c r="C8" s="6">
        <f>LoU_Safety!F15</f>
        <v>161425235.01273501</v>
      </c>
      <c r="D8" s="5">
        <f>LoU_Safety!G15</f>
        <v>58804783.921486348</v>
      </c>
      <c r="E8" s="6">
        <f t="shared" si="0"/>
        <v>-1056.8780537061302</v>
      </c>
      <c r="F8" s="5">
        <f t="shared" si="1"/>
        <v>284.07278447098759</v>
      </c>
      <c r="G8" s="6">
        <f t="shared" si="2"/>
        <v>26.470378546490384</v>
      </c>
      <c r="H8" s="5">
        <f t="shared" si="3"/>
        <v>-2.1926949447419637</v>
      </c>
      <c r="I8" s="105">
        <f t="shared" si="4"/>
        <v>4274281.4195861891</v>
      </c>
      <c r="J8" s="255">
        <f t="shared" si="5"/>
        <v>-61298.927114955557</v>
      </c>
      <c r="K8" s="105">
        <f>I8*NPV!C11</f>
        <v>2661807.6507894029</v>
      </c>
      <c r="L8" s="255">
        <f>J8*NPV!D11</f>
        <v>-49841.637291625302</v>
      </c>
      <c r="M8" s="17"/>
    </row>
    <row r="9" spans="1:13">
      <c r="A9" s="18">
        <f t="shared" si="6"/>
        <v>2028</v>
      </c>
      <c r="B9" s="245">
        <f>LoU_Safety!D16+LoU_Safety!E16</f>
        <v>526825179.40221018</v>
      </c>
      <c r="C9" s="6">
        <f>LoU_Safety!F16</f>
        <v>168740508.9883295</v>
      </c>
      <c r="D9" s="5">
        <f>LoU_Safety!G16</f>
        <v>61472367.627169721</v>
      </c>
      <c r="E9" s="6">
        <f t="shared" si="0"/>
        <v>-1102.2606261395085</v>
      </c>
      <c r="F9" s="5">
        <f t="shared" si="1"/>
        <v>296.99075810515541</v>
      </c>
      <c r="G9" s="6">
        <f t="shared" si="2"/>
        <v>27.677813232204617</v>
      </c>
      <c r="H9" s="5">
        <f t="shared" si="3"/>
        <v>-2.2904588202518501</v>
      </c>
      <c r="I9" s="105">
        <f t="shared" si="4"/>
        <v>4551440.0726092774</v>
      </c>
      <c r="J9" s="255">
        <f t="shared" si="5"/>
        <v>-66135.637568370512</v>
      </c>
      <c r="K9" s="105">
        <f>I9*NPV!C12</f>
        <v>2648979.5611407589</v>
      </c>
      <c r="L9" s="255">
        <f>J9*NPV!D12</f>
        <v>-52208.08301371133</v>
      </c>
      <c r="M9" s="17"/>
    </row>
    <row r="10" spans="1:13">
      <c r="A10" s="18">
        <f t="shared" si="6"/>
        <v>2029</v>
      </c>
      <c r="B10" s="245">
        <f>LoU_Safety!D17+LoU_Safety!E17</f>
        <v>553100226.87551212</v>
      </c>
      <c r="C10" s="6">
        <f>LoU_Safety!F17</f>
        <v>177204424.3166402</v>
      </c>
      <c r="D10" s="5">
        <f>LoU_Safety!G17</f>
        <v>64558865.892181337</v>
      </c>
      <c r="E10" s="6">
        <f t="shared" si="0"/>
        <v>-1154.7217972952549</v>
      </c>
      <c r="F10" s="5">
        <f t="shared" si="1"/>
        <v>311.93794956904787</v>
      </c>
      <c r="G10" s="6">
        <f t="shared" si="2"/>
        <v>29.074987423311896</v>
      </c>
      <c r="H10" s="5">
        <f t="shared" si="3"/>
        <v>-2.4035433365989594</v>
      </c>
      <c r="I10" s="105">
        <f t="shared" si="4"/>
        <v>4870090.09172027</v>
      </c>
      <c r="J10" s="255">
        <f t="shared" si="5"/>
        <v>-70438.029635010549</v>
      </c>
      <c r="K10" s="105">
        <f>I10*NPV!C13</f>
        <v>2649006.3303113836</v>
      </c>
      <c r="L10" s="255">
        <f>J10*NPV!D13</f>
        <v>-53984.884505588343</v>
      </c>
      <c r="M10" s="17"/>
    </row>
    <row r="11" spans="1:13">
      <c r="A11" s="18">
        <f t="shared" si="6"/>
        <v>2030</v>
      </c>
      <c r="B11" s="245">
        <f>LoU_Safety!D18+LoU_Safety!E18</f>
        <v>583406508.90538883</v>
      </c>
      <c r="C11" s="6">
        <f>LoU_Safety!F18</f>
        <v>186967706.57237649</v>
      </c>
      <c r="D11" s="5">
        <f>LoU_Safety!G18</f>
        <v>68119249.211745158</v>
      </c>
      <c r="E11" s="6">
        <f t="shared" si="0"/>
        <v>-1215.1902295853743</v>
      </c>
      <c r="F11" s="5">
        <f t="shared" si="1"/>
        <v>329.18063783828563</v>
      </c>
      <c r="G11" s="6">
        <f t="shared" si="2"/>
        <v>30.686799496086731</v>
      </c>
      <c r="H11" s="5">
        <f t="shared" si="3"/>
        <v>-2.53395875430909</v>
      </c>
      <c r="I11" s="105">
        <f t="shared" si="4"/>
        <v>5266428.7848922629</v>
      </c>
      <c r="J11" s="255">
        <f t="shared" si="5"/>
        <v>-75341.794234293207</v>
      </c>
      <c r="K11" s="105">
        <f>I11*NPV!C14</f>
        <v>2677185.3448778838</v>
      </c>
      <c r="L11" s="255">
        <f>J11*NPV!D14</f>
        <v>-56061.370627138749</v>
      </c>
      <c r="M11" s="17"/>
    </row>
    <row r="12" spans="1:13">
      <c r="A12" s="18">
        <f t="shared" si="6"/>
        <v>2031</v>
      </c>
      <c r="B12" s="245">
        <f>LoU_Safety!D19+LoU_Safety!E19</f>
        <v>618301514.75303173</v>
      </c>
      <c r="C12" s="6">
        <f>LoU_Safety!F19</f>
        <v>198210051.94943094</v>
      </c>
      <c r="D12" s="5">
        <f>LoU_Safety!G19</f>
        <v>72219053.836274117</v>
      </c>
      <c r="E12" s="6">
        <f t="shared" si="0"/>
        <v>-1284.773080049592</v>
      </c>
      <c r="F12" s="5">
        <f t="shared" si="1"/>
        <v>349.036282789442</v>
      </c>
      <c r="G12" s="6">
        <f t="shared" si="2"/>
        <v>32.542933491534264</v>
      </c>
      <c r="H12" s="5">
        <f t="shared" si="3"/>
        <v>-2.6841017205720794</v>
      </c>
      <c r="I12" s="105">
        <f t="shared" si="4"/>
        <v>5586688.1001548963</v>
      </c>
      <c r="J12" s="255">
        <f t="shared" si="5"/>
        <v>-80940.704043124293</v>
      </c>
      <c r="K12" s="105">
        <f>I12*NPV!C15</f>
        <v>2654195.2720478433</v>
      </c>
      <c r="L12" s="255">
        <f>J12*NPV!D15</f>
        <v>-58473.286743636454</v>
      </c>
      <c r="M12" s="17"/>
    </row>
    <row r="13" spans="1:13">
      <c r="A13" s="18">
        <f t="shared" si="6"/>
        <v>2032</v>
      </c>
      <c r="B13" s="245">
        <f>LoU_Safety!D20+LoU_Safety!E20</f>
        <v>658449669.99739623</v>
      </c>
      <c r="C13" s="6">
        <f>LoU_Safety!F20</f>
        <v>211145625.58053002</v>
      </c>
      <c r="D13" s="5">
        <f>LoU_Safety!G20</f>
        <v>76936387.040889725</v>
      </c>
      <c r="E13" s="6">
        <f t="shared" si="0"/>
        <v>-1364.7898767562983</v>
      </c>
      <c r="F13" s="5">
        <f t="shared" si="1"/>
        <v>371.88323879834093</v>
      </c>
      <c r="G13" s="6">
        <f t="shared" si="2"/>
        <v>34.678767384382283</v>
      </c>
      <c r="H13" s="5">
        <f t="shared" si="3"/>
        <v>-2.8568286013732846</v>
      </c>
      <c r="I13" s="105">
        <f t="shared" si="4"/>
        <v>5955229.6062716804</v>
      </c>
      <c r="J13" s="255">
        <f t="shared" si="5"/>
        <v>-87346.552112403093</v>
      </c>
      <c r="K13" s="105">
        <f>I13*NPV!C16</f>
        <v>2644193.1652091215</v>
      </c>
      <c r="L13" s="255">
        <f>J13*NPV!D16</f>
        <v>-61263.114255866574</v>
      </c>
      <c r="M13" s="17"/>
    </row>
    <row r="14" spans="1:13">
      <c r="A14" s="18">
        <f t="shared" si="6"/>
        <v>2033</v>
      </c>
      <c r="B14" s="245">
        <f>LoU_Safety!D21+LoU_Safety!E21</f>
        <v>704643258.60654855</v>
      </c>
      <c r="C14" s="6">
        <f>LoU_Safety!F21</f>
        <v>226029805.37904847</v>
      </c>
      <c r="D14" s="5">
        <f>LoU_Safety!G21</f>
        <v>82364386.6442011</v>
      </c>
      <c r="E14" s="6">
        <f t="shared" si="0"/>
        <v>-1456.8140691494555</v>
      </c>
      <c r="F14" s="5">
        <f t="shared" si="1"/>
        <v>398.17266873824667</v>
      </c>
      <c r="G14" s="6">
        <f t="shared" si="2"/>
        <v>37.136487100235001</v>
      </c>
      <c r="H14" s="5">
        <f t="shared" si="3"/>
        <v>-3.0555454253902301</v>
      </c>
      <c r="I14" s="105">
        <f t="shared" si="4"/>
        <v>6379335.6097152401</v>
      </c>
      <c r="J14" s="255">
        <f t="shared" si="5"/>
        <v>-94692.914494714612</v>
      </c>
      <c r="K14" s="105">
        <f>I14*NPV!C17</f>
        <v>2647197.4791811719</v>
      </c>
      <c r="L14" s="255">
        <f>J14*NPV!D17</f>
        <v>-64481.267013035336</v>
      </c>
      <c r="M14" s="17"/>
    </row>
    <row r="15" spans="1:13">
      <c r="A15" s="18">
        <f t="shared" si="6"/>
        <v>2034</v>
      </c>
      <c r="B15" s="245">
        <f>LoU_Safety!D22+LoU_Safety!E22</f>
        <v>757828119.02559733</v>
      </c>
      <c r="C15" s="6">
        <f>LoU_Safety!F22</f>
        <v>243167464.69656268</v>
      </c>
      <c r="D15" s="5">
        <f>LoU_Safety!G22</f>
        <v>88614241.742236063</v>
      </c>
      <c r="E15" s="6">
        <f t="shared" si="0"/>
        <v>-1562.7240593900387</v>
      </c>
      <c r="F15" s="5">
        <f t="shared" si="1"/>
        <v>428.44317652460921</v>
      </c>
      <c r="G15" s="6">
        <f t="shared" si="2"/>
        <v>39.966454730138125</v>
      </c>
      <c r="H15" s="5">
        <f t="shared" si="3"/>
        <v>-3.284318351366422</v>
      </c>
      <c r="I15" s="105">
        <f t="shared" si="4"/>
        <v>6867699.820699702</v>
      </c>
      <c r="J15" s="255">
        <f t="shared" si="5"/>
        <v>-103139.78791974255</v>
      </c>
      <c r="K15" s="105">
        <f>I15*NPV!C18</f>
        <v>2663412.3965989351</v>
      </c>
      <c r="L15" s="255">
        <f>J15*NPV!D18</f>
        <v>-68187.550282097931</v>
      </c>
      <c r="M15" s="17"/>
    </row>
    <row r="16" spans="1:13">
      <c r="A16" s="18">
        <f t="shared" si="6"/>
        <v>2035</v>
      </c>
      <c r="B16" s="245">
        <f>LoU_Safety!D23+LoU_Safety!E23</f>
        <v>819135261.2716105</v>
      </c>
      <c r="C16" s="6">
        <f>LoU_Safety!F23</f>
        <v>262923163.50723392</v>
      </c>
      <c r="D16" s="5">
        <f>LoU_Safety!G23</f>
        <v>95818909.493333623</v>
      </c>
      <c r="E16" s="6">
        <f t="shared" si="0"/>
        <v>-1684.7659925663775</v>
      </c>
      <c r="F16" s="5">
        <f t="shared" si="1"/>
        <v>463.33881135591957</v>
      </c>
      <c r="G16" s="6">
        <f t="shared" si="2"/>
        <v>43.228892015235587</v>
      </c>
      <c r="H16" s="5">
        <f t="shared" si="3"/>
        <v>-3.5480095898692774</v>
      </c>
      <c r="I16" s="105">
        <f t="shared" si="4"/>
        <v>7430717.9633196266</v>
      </c>
      <c r="J16" s="255">
        <f t="shared" si="5"/>
        <v>-112879.32150194728</v>
      </c>
      <c r="K16" s="105">
        <f>I16*NPV!C19</f>
        <v>2693234.14889018</v>
      </c>
      <c r="L16" s="255">
        <f>J16*NPV!D19</f>
        <v>-72452.941120060073</v>
      </c>
      <c r="M16" s="17"/>
    </row>
    <row r="17" spans="1:13">
      <c r="A17" s="18">
        <f t="shared" si="6"/>
        <v>2036</v>
      </c>
      <c r="B17" s="245">
        <f>LoU_Safety!D24+LoU_Safety!E24</f>
        <v>889919854.05144751</v>
      </c>
      <c r="C17" s="6">
        <f>LoU_Safety!F24</f>
        <v>285733715.18244338</v>
      </c>
      <c r="D17" s="5">
        <f>LoU_Safety!G24</f>
        <v>104137698.29477526</v>
      </c>
      <c r="E17" s="6">
        <f t="shared" si="0"/>
        <v>-1825.631183457519</v>
      </c>
      <c r="F17" s="5">
        <f t="shared" si="1"/>
        <v>503.63126878757737</v>
      </c>
      <c r="G17" s="6">
        <f t="shared" si="2"/>
        <v>46.995956255858204</v>
      </c>
      <c r="H17" s="5">
        <f t="shared" si="3"/>
        <v>-3.8524450087454873</v>
      </c>
      <c r="I17" s="105">
        <f t="shared" si="4"/>
        <v>8080846.127630204</v>
      </c>
      <c r="J17" s="255">
        <f t="shared" si="5"/>
        <v>-125968.55165856882</v>
      </c>
      <c r="K17" s="105">
        <f>I17*NPV!C20</f>
        <v>2737262.1628990127</v>
      </c>
      <c r="L17" s="255">
        <f>J17*NPV!D20</f>
        <v>-78499.436775061185</v>
      </c>
      <c r="M17" s="17"/>
    </row>
    <row r="18" spans="1:13">
      <c r="A18" s="18">
        <f t="shared" si="6"/>
        <v>2037</v>
      </c>
      <c r="B18" s="245">
        <f>LoU_Safety!D25+LoU_Safety!E25</f>
        <v>971809416.95520878</v>
      </c>
      <c r="C18" s="6">
        <f>LoU_Safety!F25</f>
        <v>312123720.3508966</v>
      </c>
      <c r="D18" s="5">
        <f>LoU_Safety!G25</f>
        <v>113761933.07294056</v>
      </c>
      <c r="E18" s="6">
        <f t="shared" si="0"/>
        <v>-1988.5518241865611</v>
      </c>
      <c r="F18" s="5">
        <f t="shared" si="1"/>
        <v>550.24733360292737</v>
      </c>
      <c r="G18" s="6">
        <f t="shared" si="2"/>
        <v>51.354306354307987</v>
      </c>
      <c r="H18" s="5">
        <f t="shared" si="3"/>
        <v>-4.2046213111576671</v>
      </c>
      <c r="I18" s="105">
        <f t="shared" si="4"/>
        <v>8833043.7306491155</v>
      </c>
      <c r="J18" s="255">
        <f t="shared" si="5"/>
        <v>-139198.62769305927</v>
      </c>
      <c r="K18" s="105">
        <f>I18*NPV!C21</f>
        <v>2796315.4349730737</v>
      </c>
      <c r="L18" s="255">
        <f>J18*NPV!D21</f>
        <v>-84217.458993324268</v>
      </c>
      <c r="M18" s="17"/>
    </row>
    <row r="19" spans="1:13">
      <c r="A19" s="18">
        <f t="shared" si="6"/>
        <v>2038</v>
      </c>
      <c r="B19" s="245">
        <f>LoU_Safety!D26+LoU_Safety!E26</f>
        <v>1066763547.766152</v>
      </c>
      <c r="C19" s="6">
        <f>LoU_Safety!F26</f>
        <v>342724818.88966703</v>
      </c>
      <c r="D19" s="5">
        <f>LoU_Safety!G26</f>
        <v>124921976.59768756</v>
      </c>
      <c r="E19" s="6">
        <f t="shared" si="0"/>
        <v>-2177.4196001262717</v>
      </c>
      <c r="F19" s="5">
        <f t="shared" si="1"/>
        <v>604.30289131483539</v>
      </c>
      <c r="G19" s="6">
        <f t="shared" si="2"/>
        <v>56.408283056753774</v>
      </c>
      <c r="H19" s="5">
        <f t="shared" si="3"/>
        <v>-4.6129628030381316</v>
      </c>
      <c r="I19" s="105">
        <f t="shared" si="4"/>
        <v>9705322.5029692464</v>
      </c>
      <c r="J19" s="255">
        <f t="shared" si="5"/>
        <v>-154596.79160896529</v>
      </c>
      <c r="K19" s="105">
        <f>I19*NPV!C22</f>
        <v>2871454.7248926177</v>
      </c>
      <c r="L19" s="255">
        <f>J19*NPV!D22</f>
        <v>-90809.321745884386</v>
      </c>
      <c r="M19" s="17"/>
    </row>
    <row r="20" spans="1:13">
      <c r="A20" s="18">
        <f t="shared" si="6"/>
        <v>2039</v>
      </c>
      <c r="B20" s="245">
        <f>LoU_Safety!D27+LoU_Safety!E27</f>
        <v>1177148151.5957508</v>
      </c>
      <c r="C20" s="6">
        <f>LoU_Safety!F27</f>
        <v>378299616.30972111</v>
      </c>
      <c r="D20" s="5">
        <f>LoU_Safety!G27</f>
        <v>137895955.57589689</v>
      </c>
      <c r="E20" s="6">
        <f t="shared" si="0"/>
        <v>-2396.933105814649</v>
      </c>
      <c r="F20" s="5">
        <f t="shared" si="1"/>
        <v>667.14519767937941</v>
      </c>
      <c r="G20" s="6">
        <f t="shared" si="2"/>
        <v>62.283861359685247</v>
      </c>
      <c r="H20" s="5">
        <f t="shared" si="3"/>
        <v>-5.0876405038278154</v>
      </c>
      <c r="I20" s="105">
        <f t="shared" si="4"/>
        <v>10719428.769636301</v>
      </c>
      <c r="J20" s="255">
        <f t="shared" si="5"/>
        <v>-172579.18361865473</v>
      </c>
      <c r="K20" s="105">
        <f>I20*NPV!C23</f>
        <v>2964011.3799205679</v>
      </c>
      <c r="L20" s="255">
        <f>J20*NPV!D23</f>
        <v>-98419.496936328258</v>
      </c>
      <c r="M20" s="17"/>
    </row>
    <row r="21" spans="1:13">
      <c r="A21" s="18">
        <f t="shared" si="6"/>
        <v>2040</v>
      </c>
      <c r="B21" s="245">
        <f>LoU_Safety!D28+LoU_Safety!E28</f>
        <v>1305827959.9776254</v>
      </c>
      <c r="C21" s="6">
        <f>LoU_Safety!F28</f>
        <v>419771505.57060122</v>
      </c>
      <c r="D21" s="5">
        <f>LoU_Safety!G28</f>
        <v>153020636.84270906</v>
      </c>
      <c r="E21" s="6">
        <f t="shared" si="0"/>
        <v>-2652.7815839534123</v>
      </c>
      <c r="F21" s="5">
        <f t="shared" si="1"/>
        <v>740.4055633607652</v>
      </c>
      <c r="G21" s="6">
        <f t="shared" si="2"/>
        <v>69.13357678399295</v>
      </c>
      <c r="H21" s="5">
        <f t="shared" si="3"/>
        <v>-5.6409698856713497</v>
      </c>
      <c r="I21" s="105">
        <f>F21*B46+G21*C46+H21*D46</f>
        <v>11901693.844115444</v>
      </c>
      <c r="J21" s="255">
        <f>E21*E46</f>
        <v>-191000.27404464569</v>
      </c>
      <c r="K21" s="105">
        <f>I21*NPV!C24</f>
        <v>3075623.8549922728</v>
      </c>
      <c r="L21" s="255">
        <f>J21*NPV!D24</f>
        <v>-105752.22078146586</v>
      </c>
      <c r="M21" s="17"/>
    </row>
    <row r="22" spans="1:13">
      <c r="A22" s="18">
        <f t="shared" si="6"/>
        <v>2041</v>
      </c>
      <c r="B22" s="245">
        <f>LoU_Safety!D29+LoU_Safety!E29</f>
        <v>1456282191.1054864</v>
      </c>
      <c r="C22" s="6">
        <f>LoU_Safety!F29</f>
        <v>468261948.01386136</v>
      </c>
      <c r="D22" s="5">
        <f>LoU_Safety!G29</f>
        <v>170705023.93724757</v>
      </c>
      <c r="E22" s="6">
        <f t="shared" si="0"/>
        <v>-2951.8746217374719</v>
      </c>
      <c r="F22" s="5">
        <f t="shared" si="1"/>
        <v>826.06521623738615</v>
      </c>
      <c r="G22" s="6">
        <f t="shared" si="2"/>
        <v>77.142683823003964</v>
      </c>
      <c r="H22" s="5">
        <f t="shared" si="3"/>
        <v>-6.2879080962927141</v>
      </c>
      <c r="I22" s="105">
        <f>F22*B47+G22*C47+H22*D47</f>
        <v>13284097.125262624</v>
      </c>
      <c r="J22" s="255">
        <f>E22*E47</f>
        <v>-215486.84738683543</v>
      </c>
      <c r="K22" s="105">
        <f>I22*NPV!C25</f>
        <v>3208283.3013018197</v>
      </c>
      <c r="L22" s="255">
        <f>J22*NPV!D25</f>
        <v>-115834.79878072017</v>
      </c>
      <c r="M22" s="17"/>
    </row>
    <row r="23" spans="1:13">
      <c r="A23" s="18">
        <f t="shared" si="6"/>
        <v>2042</v>
      </c>
      <c r="B23" s="245">
        <f>LoU_Safety!D30+LoU_Safety!E30</f>
        <v>1632749582.3788295</v>
      </c>
      <c r="C23" s="6">
        <f>LoU_Safety!F30</f>
        <v>525137221.91536134</v>
      </c>
      <c r="D23" s="5">
        <f>LoU_Safety!G30</f>
        <v>191447406.57463205</v>
      </c>
      <c r="E23" s="6">
        <f t="shared" si="0"/>
        <v>-3302.6301793424682</v>
      </c>
      <c r="F23" s="5">
        <f t="shared" si="1"/>
        <v>926.53788966277159</v>
      </c>
      <c r="G23" s="6">
        <f t="shared" si="2"/>
        <v>86.536878349179503</v>
      </c>
      <c r="H23" s="5">
        <f t="shared" si="3"/>
        <v>-7.0466774532981908</v>
      </c>
      <c r="I23" s="105">
        <f>F23*B48+G23*C48+H23*D48</f>
        <v>14905599.171359368</v>
      </c>
      <c r="J23" s="255">
        <f>E23*E48</f>
        <v>-244394.63327134264</v>
      </c>
      <c r="K23" s="105">
        <f>I23*NPV!C26</f>
        <v>3364389.9678626214</v>
      </c>
      <c r="L23" s="255">
        <f>J23*NPV!D26</f>
        <v>-127547.72636026336</v>
      </c>
      <c r="M23" s="17"/>
    </row>
    <row r="24" spans="1:13">
      <c r="A24" s="18">
        <f t="shared" si="6"/>
        <v>2043</v>
      </c>
      <c r="B24" s="245">
        <f>LoU_Safety!D31+LoU_Safety!E31</f>
        <v>1840410823.3316672</v>
      </c>
      <c r="C24" s="6">
        <f>LoU_Safety!F31</f>
        <v>592067226.35765803</v>
      </c>
      <c r="D24" s="5">
        <f>LoU_Safety!G31</f>
        <v>215856806.76414421</v>
      </c>
      <c r="E24" s="6">
        <f t="shared" si="0"/>
        <v>-3715.3368939872962</v>
      </c>
      <c r="F24" s="5">
        <f t="shared" si="1"/>
        <v>1044.7737082400038</v>
      </c>
      <c r="G24" s="6">
        <f t="shared" si="2"/>
        <v>97.592011442580784</v>
      </c>
      <c r="H24" s="5">
        <f t="shared" si="3"/>
        <v>-7.9395497225683727</v>
      </c>
      <c r="I24" s="105">
        <f>F24*B49+G24*C49+H24*D49</f>
        <v>16813818.541674465</v>
      </c>
      <c r="J24" s="255">
        <f>E24*E49</f>
        <v>-278650.26704904722</v>
      </c>
      <c r="K24" s="105">
        <f>I24*NPV!C27</f>
        <v>3546822.618498168</v>
      </c>
      <c r="L24" s="255">
        <f>J24*NPV!D27</f>
        <v>-141189.79101148306</v>
      </c>
      <c r="M24" s="17"/>
    </row>
    <row r="25" spans="1:13" ht="13.5" thickBot="1">
      <c r="A25" s="18">
        <f t="shared" si="6"/>
        <v>2044</v>
      </c>
      <c r="B25" s="245">
        <f>LoU_Safety!D32+LoU_Safety!E32</f>
        <v>2085618764.0813746</v>
      </c>
      <c r="C25" s="6">
        <f>LoU_Safety!F32</f>
        <v>671099684.65557659</v>
      </c>
      <c r="D25" s="5">
        <f>LoU_Safety!G32</f>
        <v>244680041.23502424</v>
      </c>
      <c r="E25" s="6">
        <f t="shared" si="0"/>
        <v>-4202.6112641544241</v>
      </c>
      <c r="F25" s="5">
        <f t="shared" si="1"/>
        <v>1184.3902791940438</v>
      </c>
      <c r="G25" s="6">
        <f t="shared" si="2"/>
        <v>110.64634707592064</v>
      </c>
      <c r="H25" s="5">
        <f t="shared" si="3"/>
        <v>-8.9938357834098674</v>
      </c>
      <c r="I25" s="323">
        <f>F25*B50+G25*C50+H25*D50</f>
        <v>19067147.769153498</v>
      </c>
      <c r="J25" s="256">
        <f>E25*E50</f>
        <v>-323601.06733989064</v>
      </c>
      <c r="K25" s="105">
        <f>I25*NPV!C28</f>
        <v>3759023.734752845</v>
      </c>
      <c r="L25" s="255">
        <f>J25*NPV!D28</f>
        <v>-159190.28213996559</v>
      </c>
      <c r="M25" s="17"/>
    </row>
    <row r="26" spans="1:13" ht="13.5" thickTop="1">
      <c r="A26" s="478" t="s">
        <v>19</v>
      </c>
      <c r="B26" s="479"/>
      <c r="C26" s="479"/>
      <c r="D26" s="479"/>
      <c r="E26" s="479"/>
      <c r="F26" s="479"/>
      <c r="G26" s="479"/>
      <c r="H26" s="480"/>
      <c r="I26" s="186">
        <f>SUM(I6:I25)</f>
        <v>172339960.97144842</v>
      </c>
      <c r="J26" s="257">
        <f>SUM(J6:J25)</f>
        <v>-2710828.7842145003</v>
      </c>
      <c r="K26" s="186">
        <f>SUM(K6:K25)</f>
        <v>57669237.261892602</v>
      </c>
      <c r="L26" s="257">
        <f>SUM(L6:L25)</f>
        <v>-1634551.669061709</v>
      </c>
      <c r="M26" s="17"/>
    </row>
    <row r="27" spans="1:13">
      <c r="A27" s="585" t="s">
        <v>312</v>
      </c>
      <c r="B27" s="585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17"/>
    </row>
    <row r="28" spans="1:1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>
      <c r="A29" s="535" t="s">
        <v>216</v>
      </c>
      <c r="B29" s="535"/>
      <c r="C29" s="535"/>
      <c r="D29" s="535"/>
      <c r="E29" s="535"/>
      <c r="F29" s="17"/>
      <c r="G29" s="17"/>
      <c r="H29" s="17"/>
      <c r="I29" s="17"/>
      <c r="J29" s="17"/>
      <c r="K29" s="17"/>
      <c r="L29" s="17"/>
      <c r="M29" s="17"/>
    </row>
    <row r="30" spans="1:13">
      <c r="A30" s="437" t="s">
        <v>29</v>
      </c>
      <c r="B30" s="535" t="s">
        <v>217</v>
      </c>
      <c r="C30" s="535"/>
      <c r="D30" s="535"/>
      <c r="E30" s="535"/>
      <c r="F30" s="17"/>
      <c r="G30" s="17"/>
      <c r="H30" s="17"/>
      <c r="I30" s="17"/>
      <c r="J30" s="17"/>
      <c r="K30" s="17"/>
      <c r="L30" s="17"/>
      <c r="M30" s="17"/>
    </row>
    <row r="31" spans="1:13">
      <c r="A31" s="539"/>
      <c r="B31" s="121" t="s">
        <v>218</v>
      </c>
      <c r="C31" s="56" t="s">
        <v>219</v>
      </c>
      <c r="D31" s="56" t="s">
        <v>212</v>
      </c>
      <c r="E31" s="56" t="s">
        <v>214</v>
      </c>
      <c r="F31" s="17"/>
      <c r="G31" s="17"/>
      <c r="H31" s="17"/>
      <c r="I31" s="17"/>
      <c r="J31" s="17"/>
      <c r="K31" s="17"/>
      <c r="L31" s="17"/>
      <c r="M31" s="17"/>
    </row>
    <row r="32" spans="1:13">
      <c r="A32" s="41">
        <v>2025</v>
      </c>
      <c r="B32" s="324">
        <v>16500</v>
      </c>
      <c r="C32" s="325">
        <v>44900</v>
      </c>
      <c r="D32" s="324">
        <v>801700</v>
      </c>
      <c r="E32" s="325">
        <v>56</v>
      </c>
      <c r="F32" s="17"/>
      <c r="G32" s="17"/>
      <c r="H32" s="17"/>
      <c r="I32" s="17"/>
      <c r="J32" s="17"/>
      <c r="K32" s="17"/>
      <c r="L32" s="17"/>
      <c r="M32" s="17"/>
    </row>
    <row r="33" spans="1:13">
      <c r="A33" s="41">
        <v>2026</v>
      </c>
      <c r="B33" s="324">
        <v>16800</v>
      </c>
      <c r="C33" s="325">
        <v>45700</v>
      </c>
      <c r="D33" s="324">
        <v>814500</v>
      </c>
      <c r="E33" s="325">
        <v>57</v>
      </c>
      <c r="F33" s="17"/>
      <c r="G33" s="17"/>
      <c r="H33" s="17"/>
      <c r="I33" s="17"/>
      <c r="J33" s="17"/>
      <c r="K33" s="17"/>
      <c r="L33" s="17"/>
      <c r="M33" s="17"/>
    </row>
    <row r="34" spans="1:13">
      <c r="A34" s="41">
        <v>2027</v>
      </c>
      <c r="B34" s="324">
        <v>17100</v>
      </c>
      <c r="C34" s="325">
        <v>46500</v>
      </c>
      <c r="D34" s="324">
        <v>827400</v>
      </c>
      <c r="E34" s="325">
        <v>58</v>
      </c>
      <c r="F34" s="17"/>
      <c r="G34" s="17"/>
      <c r="H34" s="17"/>
      <c r="I34" s="17"/>
      <c r="J34" s="17"/>
      <c r="K34" s="17"/>
      <c r="L34" s="17"/>
      <c r="M34" s="17"/>
    </row>
    <row r="35" spans="1:13">
      <c r="A35" s="41">
        <v>2028</v>
      </c>
      <c r="B35" s="324">
        <v>17400</v>
      </c>
      <c r="C35" s="325">
        <v>47300</v>
      </c>
      <c r="D35" s="324">
        <v>840600</v>
      </c>
      <c r="E35" s="325">
        <v>60</v>
      </c>
      <c r="F35" s="17"/>
      <c r="G35" s="17"/>
      <c r="H35" s="17"/>
      <c r="I35" s="17"/>
      <c r="J35" s="17"/>
      <c r="K35" s="17"/>
      <c r="L35" s="17"/>
      <c r="M35" s="17"/>
    </row>
    <row r="36" spans="1:13">
      <c r="A36" s="41">
        <v>2029</v>
      </c>
      <c r="B36" s="324">
        <v>17700</v>
      </c>
      <c r="C36" s="325">
        <v>48200</v>
      </c>
      <c r="D36" s="324">
        <v>854000</v>
      </c>
      <c r="E36" s="325">
        <v>61</v>
      </c>
      <c r="F36" s="17"/>
      <c r="G36" s="17"/>
      <c r="H36" s="17"/>
      <c r="I36" s="17"/>
      <c r="J36" s="17"/>
      <c r="K36" s="17"/>
      <c r="L36" s="17"/>
      <c r="M36" s="17"/>
    </row>
    <row r="37" spans="1:13">
      <c r="A37" s="41">
        <v>2030</v>
      </c>
      <c r="B37" s="324">
        <v>18100</v>
      </c>
      <c r="C37" s="325">
        <v>49100</v>
      </c>
      <c r="D37" s="324">
        <v>867600</v>
      </c>
      <c r="E37" s="325">
        <v>62</v>
      </c>
      <c r="F37" s="17"/>
      <c r="G37" s="17"/>
      <c r="H37" s="17"/>
      <c r="I37" s="17"/>
      <c r="J37" s="17"/>
      <c r="K37" s="17"/>
      <c r="L37" s="17"/>
      <c r="M37" s="17"/>
    </row>
    <row r="38" spans="1:13">
      <c r="A38" s="41">
        <v>2031</v>
      </c>
      <c r="B38" s="324">
        <v>18100</v>
      </c>
      <c r="C38" s="325">
        <v>49100</v>
      </c>
      <c r="D38" s="324">
        <v>867600</v>
      </c>
      <c r="E38" s="325">
        <v>63</v>
      </c>
      <c r="F38" s="17"/>
      <c r="G38" s="17"/>
      <c r="H38" s="17"/>
      <c r="I38" s="17"/>
      <c r="J38" s="17"/>
      <c r="K38" s="17"/>
      <c r="L38" s="17"/>
      <c r="M38" s="17"/>
    </row>
    <row r="39" spans="1:13">
      <c r="A39" s="41">
        <v>2032</v>
      </c>
      <c r="B39" s="324">
        <v>18100</v>
      </c>
      <c r="C39" s="325">
        <v>49100</v>
      </c>
      <c r="D39" s="324">
        <v>867600</v>
      </c>
      <c r="E39" s="325">
        <v>64</v>
      </c>
      <c r="F39" s="17"/>
      <c r="G39" s="17"/>
      <c r="H39" s="17"/>
      <c r="I39" s="17"/>
      <c r="J39" s="17"/>
      <c r="K39" s="17"/>
      <c r="L39" s="17"/>
      <c r="M39" s="17"/>
    </row>
    <row r="40" spans="1:13">
      <c r="A40" s="41">
        <v>2033</v>
      </c>
      <c r="B40" s="324">
        <v>18100</v>
      </c>
      <c r="C40" s="325">
        <v>49100</v>
      </c>
      <c r="D40" s="324">
        <v>867600</v>
      </c>
      <c r="E40" s="325">
        <v>65</v>
      </c>
      <c r="F40" s="17"/>
      <c r="G40" s="17"/>
      <c r="H40" s="17"/>
      <c r="I40" s="17"/>
      <c r="J40" s="17"/>
      <c r="K40" s="17"/>
      <c r="L40" s="17"/>
      <c r="M40" s="17"/>
    </row>
    <row r="41" spans="1:13">
      <c r="A41" s="41">
        <v>2034</v>
      </c>
      <c r="B41" s="324">
        <v>18100</v>
      </c>
      <c r="C41" s="325">
        <v>49100</v>
      </c>
      <c r="D41" s="324">
        <v>867600</v>
      </c>
      <c r="E41" s="325">
        <v>66</v>
      </c>
      <c r="F41" s="17"/>
      <c r="G41" s="17"/>
      <c r="H41" s="17"/>
      <c r="I41" s="17"/>
      <c r="J41" s="17"/>
      <c r="K41" s="17"/>
      <c r="L41" s="17"/>
      <c r="M41" s="17"/>
    </row>
    <row r="42" spans="1:13">
      <c r="A42" s="41">
        <v>2035</v>
      </c>
      <c r="B42" s="324">
        <v>18100</v>
      </c>
      <c r="C42" s="325">
        <v>49100</v>
      </c>
      <c r="D42" s="324">
        <v>867600</v>
      </c>
      <c r="E42" s="325">
        <v>67</v>
      </c>
      <c r="F42" s="17"/>
      <c r="G42" s="17"/>
      <c r="H42" s="17"/>
      <c r="I42" s="17"/>
      <c r="J42" s="17"/>
      <c r="K42" s="17"/>
      <c r="L42" s="17"/>
      <c r="M42" s="17"/>
    </row>
    <row r="43" spans="1:13">
      <c r="A43" s="41">
        <v>2036</v>
      </c>
      <c r="B43" s="324">
        <v>18100</v>
      </c>
      <c r="C43" s="325">
        <v>49100</v>
      </c>
      <c r="D43" s="324">
        <v>867600</v>
      </c>
      <c r="E43" s="325">
        <v>69</v>
      </c>
      <c r="F43" s="17"/>
      <c r="G43" s="17"/>
      <c r="H43" s="17"/>
      <c r="I43" s="17"/>
      <c r="J43" s="17"/>
      <c r="K43" s="17"/>
      <c r="L43" s="17"/>
      <c r="M43" s="17"/>
    </row>
    <row r="44" spans="1:13">
      <c r="A44" s="41">
        <v>2037</v>
      </c>
      <c r="B44" s="324">
        <v>18100</v>
      </c>
      <c r="C44" s="325">
        <v>49100</v>
      </c>
      <c r="D44" s="324">
        <v>867600</v>
      </c>
      <c r="E44" s="325">
        <v>70</v>
      </c>
      <c r="F44" s="17"/>
      <c r="G44" s="17"/>
      <c r="H44" s="17"/>
      <c r="I44" s="17"/>
      <c r="J44" s="17"/>
      <c r="K44" s="17"/>
      <c r="L44" s="17"/>
      <c r="M44" s="17"/>
    </row>
    <row r="45" spans="1:13">
      <c r="A45" s="41">
        <v>2038</v>
      </c>
      <c r="B45" s="324">
        <v>18100</v>
      </c>
      <c r="C45" s="325">
        <v>49100</v>
      </c>
      <c r="D45" s="324">
        <v>867600</v>
      </c>
      <c r="E45" s="325">
        <v>71</v>
      </c>
      <c r="F45" s="17"/>
      <c r="G45" s="17"/>
      <c r="H45" s="17"/>
      <c r="I45" s="17"/>
      <c r="J45" s="17"/>
      <c r="K45" s="17"/>
      <c r="L45" s="17"/>
      <c r="M45" s="17"/>
    </row>
    <row r="46" spans="1:13">
      <c r="A46" s="41">
        <v>2039</v>
      </c>
      <c r="B46" s="324">
        <v>18100</v>
      </c>
      <c r="C46" s="325">
        <v>49100</v>
      </c>
      <c r="D46" s="324">
        <v>867600</v>
      </c>
      <c r="E46" s="325">
        <v>72</v>
      </c>
      <c r="F46" s="17"/>
      <c r="G46" s="17"/>
      <c r="H46" s="17"/>
      <c r="I46" s="17"/>
      <c r="J46" s="17"/>
      <c r="K46" s="17"/>
      <c r="L46" s="17"/>
      <c r="M46" s="17"/>
    </row>
    <row r="47" spans="1:13">
      <c r="A47" s="41">
        <v>2040</v>
      </c>
      <c r="B47" s="324">
        <v>18100</v>
      </c>
      <c r="C47" s="325">
        <v>49100</v>
      </c>
      <c r="D47" s="324">
        <v>867600</v>
      </c>
      <c r="E47" s="325">
        <v>73</v>
      </c>
      <c r="F47" s="17"/>
      <c r="G47" s="17"/>
      <c r="H47" s="17"/>
      <c r="I47" s="17"/>
      <c r="J47" s="17"/>
      <c r="K47" s="17"/>
      <c r="L47" s="17"/>
      <c r="M47" s="17"/>
    </row>
    <row r="48" spans="1:13">
      <c r="A48" s="41">
        <v>2041</v>
      </c>
      <c r="B48" s="324">
        <v>18100</v>
      </c>
      <c r="C48" s="325">
        <v>49100</v>
      </c>
      <c r="D48" s="324">
        <v>867600</v>
      </c>
      <c r="E48" s="325">
        <v>74</v>
      </c>
      <c r="F48" s="17"/>
      <c r="G48" s="17"/>
      <c r="H48" s="17"/>
      <c r="I48" s="17"/>
      <c r="J48" s="17"/>
      <c r="K48" s="17"/>
      <c r="L48" s="17"/>
      <c r="M48" s="17"/>
    </row>
    <row r="49" spans="1:13">
      <c r="A49" s="41">
        <v>2042</v>
      </c>
      <c r="B49" s="324">
        <v>18100</v>
      </c>
      <c r="C49" s="325">
        <v>49100</v>
      </c>
      <c r="D49" s="324">
        <v>867600</v>
      </c>
      <c r="E49" s="325">
        <v>75</v>
      </c>
      <c r="F49" s="17"/>
      <c r="G49" s="17"/>
      <c r="H49" s="17"/>
      <c r="I49" s="17"/>
      <c r="J49" s="17"/>
      <c r="K49" s="17"/>
      <c r="L49" s="17"/>
      <c r="M49" s="17"/>
    </row>
    <row r="50" spans="1:13">
      <c r="A50" s="41">
        <v>2043</v>
      </c>
      <c r="B50" s="324">
        <v>18100</v>
      </c>
      <c r="C50" s="325">
        <v>49100</v>
      </c>
      <c r="D50" s="324">
        <v>867600</v>
      </c>
      <c r="E50" s="325">
        <v>77</v>
      </c>
      <c r="F50" s="17"/>
      <c r="G50" s="17"/>
      <c r="H50" s="17"/>
      <c r="I50" s="17"/>
      <c r="J50" s="17"/>
      <c r="K50" s="17"/>
      <c r="L50" s="17"/>
      <c r="M50" s="17"/>
    </row>
    <row r="51" spans="1:13">
      <c r="A51" s="41">
        <v>2044</v>
      </c>
      <c r="B51" s="324">
        <v>18100</v>
      </c>
      <c r="C51" s="325">
        <v>49100</v>
      </c>
      <c r="D51" s="324">
        <v>867600</v>
      </c>
      <c r="E51" s="325">
        <v>78</v>
      </c>
      <c r="F51" s="17"/>
      <c r="G51" s="17"/>
      <c r="H51" s="17"/>
      <c r="I51" s="17"/>
      <c r="J51" s="17"/>
      <c r="K51" s="17"/>
      <c r="L51" s="17"/>
      <c r="M51" s="17"/>
    </row>
    <row r="52" spans="1:13">
      <c r="A52" s="523" t="s">
        <v>220</v>
      </c>
      <c r="B52" s="524"/>
      <c r="C52" s="524"/>
      <c r="D52" s="524"/>
      <c r="E52" s="525"/>
      <c r="F52" s="17"/>
      <c r="G52" s="17"/>
      <c r="H52" s="17"/>
      <c r="I52" s="17"/>
      <c r="J52" s="17"/>
      <c r="K52" s="17"/>
      <c r="L52" s="17"/>
      <c r="M52" s="17"/>
    </row>
    <row r="53" spans="1:13">
      <c r="A53" s="526" t="s">
        <v>221</v>
      </c>
      <c r="B53" s="527"/>
      <c r="C53" s="527"/>
      <c r="D53" s="527"/>
      <c r="E53" s="528"/>
      <c r="F53" s="17"/>
      <c r="G53" s="17"/>
      <c r="H53" s="17"/>
      <c r="I53" s="17"/>
      <c r="J53" s="17"/>
      <c r="K53" s="17"/>
      <c r="L53" s="17"/>
      <c r="M53" s="17"/>
    </row>
    <row r="54" spans="1:13">
      <c r="A54" s="529" t="s">
        <v>222</v>
      </c>
      <c r="B54" s="530"/>
      <c r="C54" s="530"/>
      <c r="D54" s="530"/>
      <c r="E54" s="531"/>
      <c r="F54" s="17"/>
      <c r="G54" s="17"/>
      <c r="H54" s="17"/>
      <c r="I54" s="17"/>
      <c r="J54" s="17"/>
      <c r="K54" s="17"/>
      <c r="L54" s="17"/>
      <c r="M54" s="17"/>
    </row>
    <row r="55" spans="1:1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>
      <c r="A56" s="505" t="s">
        <v>223</v>
      </c>
      <c r="B56" s="510"/>
      <c r="C56" s="510"/>
      <c r="D56" s="506"/>
      <c r="E56" s="17"/>
      <c r="F56" s="17"/>
      <c r="G56" s="17"/>
      <c r="H56" s="17"/>
      <c r="I56" s="17"/>
      <c r="J56" s="17"/>
      <c r="K56" s="17"/>
      <c r="L56" s="17"/>
      <c r="M56" s="17"/>
    </row>
    <row r="57" spans="1:13">
      <c r="A57" s="583"/>
      <c r="B57" s="57" t="s">
        <v>224</v>
      </c>
      <c r="C57" s="57" t="s">
        <v>143</v>
      </c>
      <c r="D57" s="57" t="s">
        <v>144</v>
      </c>
      <c r="E57" s="17"/>
      <c r="F57" s="17"/>
      <c r="G57" s="17"/>
      <c r="H57" s="17"/>
      <c r="I57" s="17"/>
      <c r="J57" s="17"/>
      <c r="K57" s="17"/>
      <c r="L57" s="17"/>
      <c r="M57" s="17"/>
    </row>
    <row r="58" spans="1:13">
      <c r="A58" s="584"/>
      <c r="B58" s="505" t="s">
        <v>214</v>
      </c>
      <c r="C58" s="510"/>
      <c r="D58" s="506"/>
      <c r="E58" s="17"/>
      <c r="F58" s="17"/>
      <c r="G58" s="17"/>
      <c r="H58" s="17"/>
      <c r="I58" s="17"/>
      <c r="J58" s="17"/>
      <c r="K58" s="17"/>
      <c r="L58" s="17"/>
      <c r="M58" s="17"/>
    </row>
    <row r="59" spans="1:13">
      <c r="A59" s="14" t="s">
        <v>225</v>
      </c>
      <c r="B59" s="60">
        <v>19.27</v>
      </c>
      <c r="C59" s="60">
        <v>26.88</v>
      </c>
      <c r="D59" s="60">
        <v>71.61</v>
      </c>
      <c r="E59" s="122" t="s">
        <v>226</v>
      </c>
      <c r="F59" s="17"/>
      <c r="G59" s="17"/>
      <c r="H59" s="17"/>
      <c r="I59" s="17"/>
      <c r="J59" s="17"/>
      <c r="K59" s="17"/>
      <c r="L59" s="17"/>
      <c r="M59" s="17"/>
    </row>
    <row r="60" spans="1:13">
      <c r="A60" s="14" t="s">
        <v>227</v>
      </c>
      <c r="B60" s="124">
        <f>B59/1.1015</f>
        <v>17.494325919201088</v>
      </c>
      <c r="C60" s="124">
        <f>C59/1.1015</f>
        <v>24.40308669995461</v>
      </c>
      <c r="D60" s="124">
        <f>D59/1.1015</f>
        <v>65.011348161597823</v>
      </c>
      <c r="F60" s="17"/>
      <c r="G60" s="17"/>
      <c r="H60" s="17"/>
      <c r="I60" s="17"/>
      <c r="J60" s="17"/>
      <c r="K60" s="17"/>
      <c r="L60" s="17"/>
      <c r="M60" s="17"/>
    </row>
    <row r="61" spans="1:13">
      <c r="A61" s="14"/>
      <c r="B61" s="505" t="s">
        <v>228</v>
      </c>
      <c r="C61" s="510"/>
      <c r="D61" s="506"/>
      <c r="E61" s="17"/>
      <c r="F61" s="17"/>
      <c r="G61" s="17"/>
      <c r="H61" s="17"/>
      <c r="I61" s="17"/>
      <c r="J61" s="17"/>
      <c r="K61" s="17"/>
      <c r="L61" s="17"/>
      <c r="M61" s="17"/>
    </row>
    <row r="62" spans="1:13">
      <c r="A62" s="14" t="s">
        <v>229</v>
      </c>
      <c r="B62" s="60">
        <v>0.53</v>
      </c>
      <c r="C62" s="60">
        <v>1.83</v>
      </c>
      <c r="D62" s="60">
        <v>10.17</v>
      </c>
      <c r="E62" s="62" t="s">
        <v>230</v>
      </c>
      <c r="F62" s="17"/>
      <c r="G62" s="17"/>
      <c r="H62" s="17"/>
      <c r="I62" s="17"/>
      <c r="J62" s="17"/>
      <c r="K62" s="17"/>
      <c r="L62" s="17"/>
      <c r="M62" s="17"/>
    </row>
    <row r="63" spans="1:13">
      <c r="A63" s="14" t="s">
        <v>227</v>
      </c>
      <c r="B63" s="124">
        <f>B62*1000/2204.62</f>
        <v>0.24040424200088906</v>
      </c>
      <c r="C63" s="124">
        <f t="shared" ref="C63:D63" si="7">C62*1000/2204.62</f>
        <v>0.83007502426722068</v>
      </c>
      <c r="D63" s="124">
        <f t="shared" si="7"/>
        <v>4.613039888960456</v>
      </c>
      <c r="E63" s="122"/>
      <c r="F63" s="17"/>
      <c r="G63" s="17"/>
      <c r="H63" s="17"/>
      <c r="I63" s="17"/>
      <c r="J63" s="17"/>
      <c r="K63" s="17"/>
      <c r="L63" s="17"/>
      <c r="M63" s="17"/>
    </row>
    <row r="64" spans="1:13">
      <c r="A64" s="14"/>
      <c r="B64" s="505" t="s">
        <v>231</v>
      </c>
      <c r="C64" s="510"/>
      <c r="D64" s="506"/>
      <c r="E64" s="122"/>
      <c r="F64" s="17"/>
      <c r="G64" s="17"/>
      <c r="H64" s="17"/>
      <c r="I64" s="17"/>
      <c r="J64" s="17"/>
      <c r="K64" s="17"/>
      <c r="L64" s="17"/>
      <c r="M64" s="17"/>
    </row>
    <row r="65" spans="1:13">
      <c r="A65" s="14" t="s">
        <v>232</v>
      </c>
      <c r="B65" s="60">
        <v>1.1639999999999999E-2</v>
      </c>
      <c r="C65" s="60">
        <v>1.6209999999999999E-2</v>
      </c>
      <c r="D65" s="60">
        <v>1.7999999999999999E-2</v>
      </c>
      <c r="E65" s="122" t="s">
        <v>233</v>
      </c>
      <c r="F65" s="17"/>
      <c r="G65" s="17"/>
      <c r="H65" s="17"/>
      <c r="I65" s="17"/>
      <c r="J65" s="17"/>
      <c r="K65" s="17"/>
      <c r="L65" s="17"/>
      <c r="M65" s="17"/>
    </row>
    <row r="66" spans="1:13">
      <c r="A66" s="14" t="s">
        <v>227</v>
      </c>
      <c r="B66" s="60">
        <f>B65/1000000*1000000</f>
        <v>1.1639999999999999E-2</v>
      </c>
      <c r="C66" s="60">
        <f t="shared" ref="C66:D66" si="8">C65/1000000*1000000</f>
        <v>1.6209999999999999E-2</v>
      </c>
      <c r="D66" s="60">
        <f t="shared" si="8"/>
        <v>1.7999999999999999E-2</v>
      </c>
      <c r="E66" s="122"/>
      <c r="F66" s="17"/>
      <c r="G66" s="17"/>
      <c r="H66" s="17"/>
      <c r="I66" s="17"/>
      <c r="J66" s="17"/>
      <c r="K66" s="17"/>
      <c r="L66" s="17"/>
      <c r="M66" s="17"/>
    </row>
    <row r="67" spans="1:13">
      <c r="A67" s="14"/>
      <c r="B67" s="505" t="s">
        <v>234</v>
      </c>
      <c r="C67" s="510"/>
      <c r="D67" s="506"/>
      <c r="E67" s="122"/>
      <c r="F67" s="17"/>
      <c r="G67" s="17"/>
      <c r="H67" s="17"/>
      <c r="I67" s="17"/>
      <c r="J67" s="17"/>
      <c r="K67" s="17"/>
      <c r="L67" s="17"/>
      <c r="M67" s="17"/>
    </row>
    <row r="68" spans="1:13">
      <c r="A68" s="14" t="s">
        <v>235</v>
      </c>
      <c r="B68" s="60">
        <v>3.5000000000000003E-2</v>
      </c>
      <c r="C68" s="60">
        <v>0.125</v>
      </c>
      <c r="D68" s="60">
        <v>0.26500000000000001</v>
      </c>
      <c r="E68" s="122" t="s">
        <v>236</v>
      </c>
      <c r="F68" s="17"/>
      <c r="G68" s="17"/>
      <c r="H68" s="17"/>
      <c r="I68" s="32" t="s">
        <v>237</v>
      </c>
      <c r="J68" s="17"/>
      <c r="K68" s="17"/>
      <c r="L68" s="17"/>
      <c r="M68" s="17"/>
    </row>
    <row r="69" spans="1:13">
      <c r="A69" s="14" t="s">
        <v>227</v>
      </c>
      <c r="B69" s="123">
        <f>B68*1.60934/1.1015</f>
        <v>5.1136541080344995E-2</v>
      </c>
      <c r="C69" s="123">
        <f>C68*1.60934/1.1015</f>
        <v>0.18263050385837495</v>
      </c>
      <c r="D69" s="123">
        <f>D68*1.60934/1.1015</f>
        <v>0.38717666817975488</v>
      </c>
      <c r="E69" s="17"/>
      <c r="F69" s="17"/>
      <c r="G69" s="17"/>
      <c r="H69" s="17"/>
      <c r="I69" s="17"/>
      <c r="J69" s="17"/>
      <c r="K69" s="17"/>
      <c r="L69" s="17"/>
      <c r="M69" s="17"/>
    </row>
    <row r="70" spans="1:13">
      <c r="A70" s="14"/>
      <c r="B70" s="505" t="s">
        <v>238</v>
      </c>
      <c r="C70" s="510"/>
      <c r="D70" s="506"/>
      <c r="E70" s="17"/>
      <c r="F70" s="17"/>
      <c r="G70" s="17"/>
      <c r="H70" s="17"/>
      <c r="I70" s="17"/>
      <c r="J70" s="17"/>
      <c r="K70" s="17"/>
      <c r="L70" s="17"/>
      <c r="M70" s="17"/>
    </row>
    <row r="71" spans="1:13">
      <c r="A71" s="14" t="s">
        <v>239</v>
      </c>
      <c r="B71" s="60">
        <v>7.4999999999999997E-2</v>
      </c>
      <c r="C71" s="60">
        <v>0.08</v>
      </c>
      <c r="D71" s="60">
        <v>1.1000000000000001</v>
      </c>
      <c r="E71" s="122" t="s">
        <v>236</v>
      </c>
      <c r="F71" s="17"/>
      <c r="G71" s="17"/>
      <c r="H71" s="17"/>
      <c r="I71" s="32" t="s">
        <v>237</v>
      </c>
      <c r="J71" s="17"/>
      <c r="K71" s="17"/>
      <c r="L71" s="17"/>
      <c r="M71" s="17"/>
    </row>
    <row r="72" spans="1:13">
      <c r="A72" s="14" t="s">
        <v>227</v>
      </c>
      <c r="B72" s="124">
        <f>B71*1.60934/1.1015</f>
        <v>0.10957830231502497</v>
      </c>
      <c r="C72" s="124">
        <f>C71*1.60934/1.1015</f>
        <v>0.11688352246935997</v>
      </c>
      <c r="D72" s="124">
        <f>D71*1.60934/1.1015</f>
        <v>1.6071484339536997</v>
      </c>
      <c r="E72" s="17"/>
      <c r="F72" s="17"/>
      <c r="G72" s="17"/>
      <c r="H72" s="17"/>
      <c r="I72" s="17"/>
      <c r="J72" s="17"/>
      <c r="K72" s="17"/>
      <c r="L72" s="17"/>
      <c r="M72" s="17"/>
    </row>
    <row r="73" spans="1:13">
      <c r="A73" s="294" t="s">
        <v>240</v>
      </c>
      <c r="B73" s="295"/>
      <c r="C73" s="295"/>
      <c r="D73" s="296"/>
      <c r="E73" s="17"/>
      <c r="F73" s="17"/>
      <c r="G73" s="17"/>
      <c r="H73" s="17"/>
      <c r="I73" s="17"/>
      <c r="J73" s="17"/>
      <c r="K73" s="17"/>
      <c r="L73" s="17"/>
      <c r="M73" s="17"/>
    </row>
    <row r="74" spans="1:13">
      <c r="A74" s="297" t="s">
        <v>241</v>
      </c>
      <c r="B74" s="17"/>
      <c r="C74" s="17"/>
      <c r="D74" s="298"/>
      <c r="E74" s="17"/>
      <c r="F74" s="17"/>
      <c r="G74" s="17"/>
      <c r="H74" s="17"/>
      <c r="I74" s="17"/>
      <c r="J74" s="17"/>
      <c r="K74" s="17"/>
      <c r="L74" s="17"/>
      <c r="M74" s="17"/>
    </row>
    <row r="75" spans="1:13">
      <c r="A75" s="297" t="s">
        <v>242</v>
      </c>
      <c r="B75" s="17"/>
      <c r="C75" s="17"/>
      <c r="D75" s="298"/>
      <c r="E75" s="17"/>
      <c r="F75" s="17"/>
      <c r="G75" s="17"/>
      <c r="H75" s="17"/>
      <c r="I75" s="17"/>
      <c r="J75" s="17"/>
      <c r="K75" s="17"/>
      <c r="L75" s="17"/>
      <c r="M75" s="17"/>
    </row>
    <row r="76" spans="1:13">
      <c r="A76" s="297" t="s">
        <v>243</v>
      </c>
      <c r="B76" s="17"/>
      <c r="C76" s="17"/>
      <c r="D76" s="298"/>
      <c r="E76" s="17"/>
      <c r="F76" s="17"/>
      <c r="G76" s="17"/>
      <c r="H76" s="17"/>
      <c r="I76" s="17"/>
      <c r="J76" s="17"/>
      <c r="K76" s="17"/>
      <c r="L76" s="17"/>
      <c r="M76" s="17"/>
    </row>
    <row r="77" spans="1:13">
      <c r="A77" s="299" t="s">
        <v>244</v>
      </c>
      <c r="B77" s="300"/>
      <c r="C77" s="300"/>
      <c r="D77" s="301"/>
      <c r="E77" s="17"/>
      <c r="F77" s="17"/>
      <c r="G77" s="17"/>
      <c r="H77" s="17"/>
      <c r="I77" s="17"/>
      <c r="J77" s="17"/>
      <c r="K77" s="17"/>
      <c r="L77" s="17"/>
      <c r="M77" s="17"/>
    </row>
    <row r="78" spans="1:1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>
      <c r="A109" s="17"/>
      <c r="B109" s="372"/>
      <c r="C109" s="372"/>
      <c r="D109" s="372"/>
      <c r="E109" s="372"/>
      <c r="F109" s="17"/>
      <c r="G109" s="17"/>
      <c r="H109" s="17"/>
      <c r="I109" s="17"/>
      <c r="J109" s="17"/>
      <c r="K109" s="17"/>
      <c r="L109" s="17"/>
      <c r="M109" s="17"/>
    </row>
    <row r="110" spans="1:13">
      <c r="A110" s="17"/>
      <c r="B110" s="372"/>
      <c r="C110" s="372"/>
      <c r="D110" s="372"/>
      <c r="E110" s="372"/>
      <c r="F110" s="17"/>
      <c r="G110" s="17"/>
      <c r="H110" s="17"/>
      <c r="I110" s="17"/>
      <c r="J110" s="17"/>
      <c r="K110" s="17"/>
      <c r="L110" s="17"/>
      <c r="M110" s="17"/>
    </row>
    <row r="111" spans="1:13">
      <c r="A111" s="17"/>
      <c r="B111" s="372"/>
      <c r="C111" s="372"/>
      <c r="D111" s="372"/>
      <c r="E111" s="372"/>
      <c r="F111" s="17"/>
      <c r="G111" s="17"/>
      <c r="H111" s="17"/>
      <c r="I111" s="17"/>
      <c r="J111" s="17"/>
      <c r="K111" s="17"/>
      <c r="L111" s="17"/>
      <c r="M111" s="17"/>
    </row>
    <row r="112" spans="1:13">
      <c r="A112" s="17"/>
      <c r="B112" s="372"/>
      <c r="C112" s="372"/>
      <c r="D112" s="372"/>
      <c r="E112" s="372"/>
      <c r="F112" s="17"/>
      <c r="G112" s="17"/>
      <c r="H112" s="17"/>
      <c r="I112" s="17"/>
      <c r="J112" s="17"/>
      <c r="K112" s="17"/>
      <c r="L112" s="17"/>
      <c r="M112" s="17"/>
    </row>
    <row r="113" spans="1:13">
      <c r="A113" s="17"/>
      <c r="B113" s="372"/>
      <c r="C113" s="372"/>
      <c r="D113" s="372"/>
      <c r="E113" s="372"/>
      <c r="F113" s="17"/>
      <c r="G113" s="17"/>
      <c r="H113" s="17"/>
      <c r="I113" s="17"/>
      <c r="J113" s="17"/>
      <c r="K113" s="17"/>
      <c r="L113" s="17"/>
      <c r="M113" s="17"/>
    </row>
    <row r="114" spans="1:13">
      <c r="A114" s="17"/>
      <c r="B114" s="372"/>
      <c r="C114" s="372"/>
      <c r="D114" s="372"/>
      <c r="E114" s="372"/>
      <c r="F114" s="17"/>
      <c r="G114" s="17"/>
      <c r="H114" s="17"/>
      <c r="I114" s="17"/>
      <c r="J114" s="17"/>
      <c r="K114" s="17"/>
      <c r="L114" s="17"/>
      <c r="M114" s="17"/>
    </row>
    <row r="115" spans="1:13">
      <c r="A115" s="17"/>
      <c r="B115" s="372"/>
      <c r="C115" s="372"/>
      <c r="D115" s="372"/>
      <c r="E115" s="372"/>
      <c r="F115" s="17"/>
      <c r="G115" s="17"/>
      <c r="H115" s="17"/>
      <c r="I115" s="17"/>
      <c r="J115" s="17"/>
      <c r="K115" s="17"/>
      <c r="L115" s="17"/>
      <c r="M115" s="17"/>
    </row>
    <row r="116" spans="1:13" s="17" customFormat="1">
      <c r="B116" s="372"/>
      <c r="C116" s="372"/>
      <c r="D116" s="372"/>
      <c r="E116" s="372"/>
    </row>
    <row r="117" spans="1:13" s="17" customFormat="1">
      <c r="B117" s="372"/>
      <c r="C117" s="372"/>
      <c r="D117" s="372"/>
      <c r="E117" s="372"/>
    </row>
    <row r="118" spans="1:13" s="17" customFormat="1">
      <c r="B118" s="372"/>
      <c r="C118" s="372"/>
      <c r="D118" s="372"/>
      <c r="E118" s="372"/>
    </row>
    <row r="119" spans="1:13" s="17" customFormat="1">
      <c r="B119" s="372"/>
      <c r="C119" s="372"/>
      <c r="D119" s="372"/>
      <c r="E119" s="372"/>
    </row>
    <row r="120" spans="1:13" s="17" customFormat="1">
      <c r="B120" s="372"/>
      <c r="C120" s="372"/>
      <c r="D120" s="372"/>
      <c r="E120" s="372"/>
    </row>
    <row r="121" spans="1:13" s="17" customFormat="1">
      <c r="B121" s="372"/>
      <c r="C121" s="372"/>
      <c r="D121" s="372"/>
      <c r="E121" s="372"/>
    </row>
    <row r="122" spans="1:13" s="17" customFormat="1">
      <c r="B122" s="372"/>
      <c r="C122" s="372"/>
      <c r="D122" s="372"/>
      <c r="E122" s="372"/>
    </row>
    <row r="123" spans="1:13" s="17" customFormat="1">
      <c r="B123" s="372"/>
      <c r="C123" s="372"/>
      <c r="D123" s="372"/>
      <c r="E123" s="372"/>
    </row>
    <row r="124" spans="1:13" s="17" customFormat="1">
      <c r="B124" s="372"/>
      <c r="C124" s="372"/>
      <c r="D124" s="372"/>
      <c r="E124" s="372"/>
    </row>
    <row r="125" spans="1:13" s="17" customFormat="1">
      <c r="B125" s="372"/>
      <c r="C125" s="372"/>
      <c r="D125" s="372"/>
      <c r="E125" s="372"/>
    </row>
    <row r="126" spans="1:13" s="17" customFormat="1">
      <c r="B126" s="372"/>
      <c r="C126" s="372"/>
      <c r="D126" s="372"/>
      <c r="E126" s="372"/>
    </row>
    <row r="127" spans="1:13" s="17" customFormat="1">
      <c r="B127" s="372"/>
      <c r="C127" s="372"/>
      <c r="D127" s="372"/>
      <c r="E127" s="372"/>
    </row>
    <row r="128" spans="1:13" s="17" customFormat="1">
      <c r="B128" s="372"/>
      <c r="C128" s="372"/>
      <c r="D128" s="372"/>
      <c r="E128" s="372"/>
    </row>
    <row r="129" spans="2:5" s="17" customFormat="1">
      <c r="B129" s="372"/>
      <c r="C129" s="372"/>
      <c r="D129" s="372"/>
      <c r="E129" s="372"/>
    </row>
    <row r="130" spans="2:5" s="17" customFormat="1">
      <c r="B130" s="372"/>
      <c r="C130" s="372"/>
      <c r="D130" s="372"/>
      <c r="E130" s="372"/>
    </row>
    <row r="131" spans="2:5" s="17" customFormat="1">
      <c r="B131" s="372"/>
      <c r="C131" s="372"/>
      <c r="D131" s="372"/>
      <c r="E131" s="372"/>
    </row>
    <row r="132" spans="2:5" s="17" customFormat="1">
      <c r="B132" s="372"/>
      <c r="C132" s="372"/>
      <c r="D132" s="372"/>
      <c r="E132" s="372"/>
    </row>
    <row r="133" spans="2:5" s="17" customFormat="1">
      <c r="B133" s="372"/>
      <c r="C133" s="372"/>
      <c r="D133" s="372"/>
      <c r="E133" s="372"/>
    </row>
    <row r="134" spans="2:5" s="17" customFormat="1">
      <c r="B134" s="372"/>
      <c r="C134" s="372"/>
      <c r="D134" s="372"/>
      <c r="E134" s="372"/>
    </row>
    <row r="135" spans="2:5" s="17" customFormat="1">
      <c r="B135" s="372"/>
      <c r="C135" s="372"/>
      <c r="D135" s="372"/>
      <c r="E135" s="372"/>
    </row>
    <row r="136" spans="2:5" s="17" customFormat="1">
      <c r="B136" s="372"/>
      <c r="C136" s="372"/>
      <c r="D136" s="372"/>
      <c r="E136" s="372"/>
    </row>
    <row r="137" spans="2:5" s="17" customFormat="1">
      <c r="B137" s="372"/>
      <c r="C137" s="372"/>
      <c r="D137" s="372"/>
      <c r="E137" s="372"/>
    </row>
    <row r="138" spans="2:5" s="17" customFormat="1">
      <c r="B138" s="372"/>
      <c r="C138" s="372"/>
      <c r="D138" s="372"/>
      <c r="E138" s="372"/>
    </row>
    <row r="139" spans="2:5" s="17" customFormat="1"/>
    <row r="140" spans="2:5" s="17" customFormat="1"/>
    <row r="141" spans="2:5" s="17" customFormat="1"/>
    <row r="142" spans="2:5" s="17" customFormat="1"/>
    <row r="143" spans="2:5" s="17" customFormat="1"/>
    <row r="144" spans="2:5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pans="11:13" s="17" customFormat="1"/>
    <row r="306" spans="11:13" s="17" customFormat="1"/>
    <row r="307" spans="11:13" s="17" customFormat="1"/>
    <row r="308" spans="11:13" s="17" customFormat="1"/>
    <row r="309" spans="11:13" s="17" customFormat="1"/>
    <row r="310" spans="11:13" s="17" customFormat="1"/>
    <row r="311" spans="11:13" s="17" customFormat="1"/>
    <row r="312" spans="11:13" s="17" customFormat="1"/>
    <row r="318" spans="11:13">
      <c r="K318" s="17"/>
      <c r="L318" s="17"/>
      <c r="M318" s="17"/>
    </row>
    <row r="319" spans="11:13">
      <c r="K319" s="17"/>
      <c r="L319" s="17"/>
      <c r="M319" s="17"/>
    </row>
    <row r="320" spans="11:13">
      <c r="K320" s="17"/>
      <c r="L320" s="17"/>
      <c r="M320" s="17"/>
    </row>
    <row r="321" spans="11:13">
      <c r="K321" s="17"/>
      <c r="L321" s="17"/>
      <c r="M321" s="17"/>
    </row>
  </sheetData>
  <mergeCells count="21">
    <mergeCell ref="K4:L4"/>
    <mergeCell ref="B3:L3"/>
    <mergeCell ref="A29:E29"/>
    <mergeCell ref="A26:H26"/>
    <mergeCell ref="A27:L27"/>
    <mergeCell ref="C4:D4"/>
    <mergeCell ref="E4:H4"/>
    <mergeCell ref="A3:A5"/>
    <mergeCell ref="A52:E52"/>
    <mergeCell ref="B58:D58"/>
    <mergeCell ref="I4:J4"/>
    <mergeCell ref="B30:E30"/>
    <mergeCell ref="A30:A31"/>
    <mergeCell ref="A57:A58"/>
    <mergeCell ref="A56:D56"/>
    <mergeCell ref="B61:D61"/>
    <mergeCell ref="B70:D70"/>
    <mergeCell ref="B67:D67"/>
    <mergeCell ref="B64:D64"/>
    <mergeCell ref="A53:E53"/>
    <mergeCell ref="A54:E5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308"/>
  <sheetViews>
    <sheetView zoomScaleNormal="100" workbookViewId="0"/>
  </sheetViews>
  <sheetFormatPr defaultRowHeight="12.75"/>
  <cols>
    <col min="1" max="1" width="28.140625" customWidth="1"/>
    <col min="2" max="2" width="14.85546875" customWidth="1"/>
    <col min="3" max="4" width="13.140625" bestFit="1" customWidth="1"/>
    <col min="7" max="7" width="10.28515625" customWidth="1"/>
    <col min="8" max="8" width="10.7109375" customWidth="1"/>
    <col min="17" max="105" width="8.85546875" style="17"/>
  </cols>
  <sheetData>
    <row r="1" spans="1:32" ht="20.25">
      <c r="A1" s="26" t="s">
        <v>307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>
      <c r="A2" s="24"/>
      <c r="B2" s="19"/>
      <c r="C2" s="20"/>
      <c r="D2" s="21"/>
      <c r="E2" s="21"/>
      <c r="F2" s="19"/>
      <c r="G2" s="20"/>
      <c r="H2" s="21"/>
      <c r="I2" s="21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>
      <c r="A3" s="437" t="s">
        <v>29</v>
      </c>
      <c r="B3" s="447" t="s">
        <v>313</v>
      </c>
      <c r="C3" s="448"/>
      <c r="D3" s="448"/>
      <c r="E3" s="448"/>
      <c r="F3" s="448"/>
      <c r="G3" s="448"/>
      <c r="H3" s="449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32">
      <c r="A4" s="520"/>
      <c r="B4" s="435" t="s">
        <v>206</v>
      </c>
      <c r="C4" s="451" t="s">
        <v>139</v>
      </c>
      <c r="D4" s="451"/>
      <c r="E4" s="435" t="s">
        <v>314</v>
      </c>
      <c r="F4" s="435" t="s">
        <v>315</v>
      </c>
      <c r="G4" s="451" t="s">
        <v>316</v>
      </c>
      <c r="H4" s="451"/>
      <c r="I4" s="22"/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32" ht="13.5" thickBot="1">
      <c r="A5" s="438"/>
      <c r="B5" s="436"/>
      <c r="C5" s="2" t="s">
        <v>143</v>
      </c>
      <c r="D5" s="82" t="s">
        <v>144</v>
      </c>
      <c r="E5" s="436"/>
      <c r="F5" s="436"/>
      <c r="G5" s="2" t="s">
        <v>296</v>
      </c>
      <c r="H5" s="2" t="s">
        <v>87</v>
      </c>
      <c r="I5" s="22"/>
      <c r="J5" s="22"/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32" ht="13.5" thickTop="1">
      <c r="A6" s="18">
        <v>2025</v>
      </c>
      <c r="B6" s="254">
        <f>LoU_Safety!D13+LoU_Safety!E13</f>
        <v>467879790.19896948</v>
      </c>
      <c r="C6" s="6">
        <f>LoU_Safety!F13</f>
        <v>149756473.45227292</v>
      </c>
      <c r="D6" s="254">
        <f>LoU_Safety!G13</f>
        <v>54549792.366690338</v>
      </c>
      <c r="E6" s="6">
        <f>($C6/1000000*$C$33)+($D6/1000000*$D$33)-($B6/1000000*$B$33)</f>
        <v>107.56571615002758</v>
      </c>
      <c r="F6" s="265">
        <f>E6*8.345/2000</f>
        <v>0.44881795063599017</v>
      </c>
      <c r="G6" s="105">
        <f>F6*$A$57</f>
        <v>202.41883896667744</v>
      </c>
      <c r="H6" s="255">
        <f>G6*NPV!C9</f>
        <v>144.32183465037124</v>
      </c>
      <c r="I6" s="22"/>
      <c r="J6" s="22"/>
      <c r="K6" s="22"/>
      <c r="L6" s="22"/>
      <c r="M6" s="22"/>
      <c r="N6" s="22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32">
      <c r="A7" s="18">
        <f>A6+1</f>
        <v>2026</v>
      </c>
      <c r="B7" s="254">
        <f>LoU_Safety!D14+LoU_Safety!E14</f>
        <v>484574305.79939836</v>
      </c>
      <c r="C7" s="6">
        <f>LoU_Safety!F14</f>
        <v>155132361.53729427</v>
      </c>
      <c r="D7" s="254">
        <f>LoU_Safety!G14</f>
        <v>56510074.002059788</v>
      </c>
      <c r="E7" s="6">
        <f t="shared" ref="E7:E25" si="0">($C7/1000000*$C$33)+($D7/1000000*$D$33)-($B7/1000000*$B$33)</f>
        <v>111.67357353009697</v>
      </c>
      <c r="F7" s="265">
        <f t="shared" ref="F7:F25" si="1">E7*8.345/2000</f>
        <v>0.46595798555432966</v>
      </c>
      <c r="G7" s="105">
        <f t="shared" ref="G7:G25" si="2">F7*$A$57</f>
        <v>210.14906892539955</v>
      </c>
      <c r="H7" s="255">
        <f>G7*NPV!C10</f>
        <v>140.0311979207203</v>
      </c>
      <c r="I7" s="22"/>
      <c r="J7" s="22"/>
      <c r="K7" s="22"/>
      <c r="L7" s="22"/>
      <c r="M7" s="22"/>
      <c r="N7" s="22"/>
      <c r="O7" s="2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32">
      <c r="A8" s="18">
        <f t="shared" ref="A8:A25" si="3">A7+1</f>
        <v>2027</v>
      </c>
      <c r="B8" s="254">
        <f>LoU_Safety!D15+LoU_Safety!E15</f>
        <v>504113755.5743258</v>
      </c>
      <c r="C8" s="6">
        <f>LoU_Safety!F15</f>
        <v>161425235.01273501</v>
      </c>
      <c r="D8" s="254">
        <f>LoU_Safety!G15</f>
        <v>58804783.921486348</v>
      </c>
      <c r="E8" s="6">
        <f t="shared" si="0"/>
        <v>116.4887286309031</v>
      </c>
      <c r="F8" s="265">
        <f t="shared" si="1"/>
        <v>0.48604922021244323</v>
      </c>
      <c r="G8" s="105">
        <f t="shared" si="2"/>
        <v>219.21030274445596</v>
      </c>
      <c r="H8" s="255">
        <f>G8*NPV!C11</f>
        <v>136.51315945255303</v>
      </c>
      <c r="I8" s="22"/>
      <c r="J8" s="22"/>
      <c r="K8" s="22"/>
      <c r="L8" s="22"/>
      <c r="M8" s="22"/>
      <c r="N8" s="22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32">
      <c r="A9" s="18">
        <f t="shared" si="3"/>
        <v>2028</v>
      </c>
      <c r="B9" s="254">
        <f>LoU_Safety!D16+LoU_Safety!E16</f>
        <v>526825179.40221018</v>
      </c>
      <c r="C9" s="6">
        <f>LoU_Safety!F16</f>
        <v>168740508.9883295</v>
      </c>
      <c r="D9" s="254">
        <f>LoU_Safety!G16</f>
        <v>61472367.627169721</v>
      </c>
      <c r="E9" s="6">
        <f t="shared" si="0"/>
        <v>122.09251315004917</v>
      </c>
      <c r="F9" s="265">
        <f t="shared" si="1"/>
        <v>0.50943101111858025</v>
      </c>
      <c r="G9" s="105">
        <f t="shared" si="2"/>
        <v>229.75559167836596</v>
      </c>
      <c r="H9" s="255">
        <f>G9*NPV!C12</f>
        <v>133.71984618153635</v>
      </c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32">
      <c r="A10" s="18">
        <f t="shared" si="3"/>
        <v>2029</v>
      </c>
      <c r="B10" s="254">
        <f>LoU_Safety!D17+LoU_Safety!E17</f>
        <v>553100226.87551212</v>
      </c>
      <c r="C10" s="6">
        <f>LoU_Safety!F17</f>
        <v>177204424.3166402</v>
      </c>
      <c r="D10" s="254">
        <f>LoU_Safety!G17</f>
        <v>64558865.892181337</v>
      </c>
      <c r="E10" s="6">
        <f t="shared" si="0"/>
        <v>128.58232681624008</v>
      </c>
      <c r="F10" s="265">
        <f t="shared" si="1"/>
        <v>0.53650975864076178</v>
      </c>
      <c r="G10" s="105">
        <f t="shared" si="2"/>
        <v>241.96822405268313</v>
      </c>
      <c r="H10" s="255">
        <f>G10*NPV!C13</f>
        <v>131.61468169541561</v>
      </c>
      <c r="I10" s="22"/>
      <c r="J10" s="22"/>
      <c r="K10" s="22"/>
      <c r="L10" s="22"/>
      <c r="M10" s="22"/>
      <c r="N10" s="22"/>
      <c r="O10" s="2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32">
      <c r="A11" s="18">
        <f t="shared" si="3"/>
        <v>2030</v>
      </c>
      <c r="B11" s="254">
        <f>LoU_Safety!D18+LoU_Safety!E18</f>
        <v>583406508.90538883</v>
      </c>
      <c r="C11" s="6">
        <f>LoU_Safety!F18</f>
        <v>186967706.57237649</v>
      </c>
      <c r="D11" s="254">
        <f>LoU_Safety!G18</f>
        <v>68119249.211745158</v>
      </c>
      <c r="E11" s="6">
        <f t="shared" si="0"/>
        <v>136.07446046319455</v>
      </c>
      <c r="F11" s="265">
        <f t="shared" si="1"/>
        <v>0.56777068628267935</v>
      </c>
      <c r="G11" s="105">
        <f t="shared" si="2"/>
        <v>256.06703776842591</v>
      </c>
      <c r="H11" s="255">
        <f>G11*NPV!C14</f>
        <v>130.17149738861335</v>
      </c>
      <c r="I11" s="22"/>
      <c r="J11" s="22"/>
      <c r="K11" s="22"/>
      <c r="L11" s="22"/>
      <c r="M11" s="22"/>
      <c r="N11" s="22"/>
      <c r="O11" s="22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32">
      <c r="A12" s="18">
        <f t="shared" si="3"/>
        <v>2031</v>
      </c>
      <c r="B12" s="254">
        <f>LoU_Safety!D19+LoU_Safety!E19</f>
        <v>618301514.75303173</v>
      </c>
      <c r="C12" s="6">
        <f>LoU_Safety!F19</f>
        <v>198210051.94943094</v>
      </c>
      <c r="D12" s="254">
        <f>LoU_Safety!G19</f>
        <v>72219053.836274117</v>
      </c>
      <c r="E12" s="6">
        <f t="shared" si="0"/>
        <v>144.70755710930666</v>
      </c>
      <c r="F12" s="265">
        <f t="shared" si="1"/>
        <v>0.60379228203858215</v>
      </c>
      <c r="G12" s="105">
        <f t="shared" si="2"/>
        <v>272.31293341565799</v>
      </c>
      <c r="H12" s="255">
        <f>G12*NPV!C15</f>
        <v>129.37391302895165</v>
      </c>
      <c r="I12" s="22"/>
      <c r="J12" s="22"/>
      <c r="K12" s="22"/>
      <c r="L12" s="22"/>
      <c r="M12" s="22"/>
      <c r="N12" s="22"/>
      <c r="O12" s="22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32">
      <c r="A13" s="18">
        <f t="shared" si="3"/>
        <v>2032</v>
      </c>
      <c r="B13" s="254">
        <f>LoU_Safety!D20+LoU_Safety!E20</f>
        <v>658449669.99739623</v>
      </c>
      <c r="C13" s="6">
        <f>LoU_Safety!F20</f>
        <v>211145625.58053002</v>
      </c>
      <c r="D13" s="254">
        <f>LoU_Safety!G20</f>
        <v>76936387.040889725</v>
      </c>
      <c r="E13" s="6">
        <f t="shared" si="0"/>
        <v>154.64685416877614</v>
      </c>
      <c r="F13" s="265">
        <f t="shared" si="1"/>
        <v>0.64526399901921849</v>
      </c>
      <c r="G13" s="105">
        <f t="shared" si="2"/>
        <v>291.01685733242545</v>
      </c>
      <c r="H13" s="255">
        <f>G13*NPV!C16</f>
        <v>129.21496499625175</v>
      </c>
      <c r="I13" s="22"/>
      <c r="J13" s="22"/>
      <c r="K13" s="22"/>
      <c r="L13" s="22"/>
      <c r="M13" s="22"/>
      <c r="N13" s="22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32">
      <c r="A14" s="18">
        <f t="shared" si="3"/>
        <v>2033</v>
      </c>
      <c r="B14" s="254">
        <f>LoU_Safety!D21+LoU_Safety!E21</f>
        <v>704643258.60654855</v>
      </c>
      <c r="C14" s="6">
        <f>LoU_Safety!F21</f>
        <v>226029805.37904847</v>
      </c>
      <c r="D14" s="254">
        <f>LoU_Safety!G21</f>
        <v>82364386.6442011</v>
      </c>
      <c r="E14" s="6">
        <f t="shared" si="0"/>
        <v>166.08938664143216</v>
      </c>
      <c r="F14" s="265">
        <f t="shared" si="1"/>
        <v>0.6930079657613758</v>
      </c>
      <c r="G14" s="105">
        <f t="shared" si="2"/>
        <v>312.54959304835774</v>
      </c>
      <c r="H14" s="255">
        <f>G14*NPV!C17</f>
        <v>129.69696931709888</v>
      </c>
      <c r="I14" s="22"/>
      <c r="J14" s="22"/>
      <c r="K14" s="22"/>
      <c r="L14" s="22"/>
      <c r="M14" s="22"/>
      <c r="N14" s="22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32">
      <c r="A15" s="18">
        <f t="shared" si="3"/>
        <v>2034</v>
      </c>
      <c r="B15" s="254">
        <f>LoU_Safety!D22+LoU_Safety!E22</f>
        <v>757828119.02559733</v>
      </c>
      <c r="C15" s="6">
        <f>LoU_Safety!F22</f>
        <v>243167464.69656268</v>
      </c>
      <c r="D15" s="254">
        <f>LoU_Safety!G22</f>
        <v>88614241.742236063</v>
      </c>
      <c r="E15" s="6">
        <f t="shared" si="0"/>
        <v>179.27037757097901</v>
      </c>
      <c r="F15" s="265">
        <f t="shared" si="1"/>
        <v>0.74800565041490996</v>
      </c>
      <c r="G15" s="105">
        <f t="shared" si="2"/>
        <v>337.35378694846497</v>
      </c>
      <c r="H15" s="255">
        <f>G15*NPV!C18</f>
        <v>130.83161490110012</v>
      </c>
      <c r="I15" s="22"/>
      <c r="J15" s="22"/>
      <c r="K15" s="22"/>
      <c r="L15" s="22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32">
      <c r="A16" s="18">
        <f t="shared" si="3"/>
        <v>2035</v>
      </c>
      <c r="B16" s="254">
        <f>LoU_Safety!D23+LoU_Safety!E23</f>
        <v>819135261.2716105</v>
      </c>
      <c r="C16" s="6">
        <f>LoU_Safety!F23</f>
        <v>262923163.50723392</v>
      </c>
      <c r="D16" s="254">
        <f>LoU_Safety!G23</f>
        <v>95818909.493333623</v>
      </c>
      <c r="E16" s="6">
        <f t="shared" si="0"/>
        <v>194.47110102108445</v>
      </c>
      <c r="F16" s="265">
        <f t="shared" si="1"/>
        <v>0.811430669010475</v>
      </c>
      <c r="G16" s="105">
        <f t="shared" si="2"/>
        <v>365.95874494393223</v>
      </c>
      <c r="H16" s="255">
        <f>G16*NPV!C19</f>
        <v>132.64029045824176</v>
      </c>
      <c r="I16" s="22"/>
      <c r="J16" s="22"/>
      <c r="K16" s="22"/>
      <c r="L16" s="22"/>
      <c r="M16" s="22"/>
      <c r="N16" s="22"/>
      <c r="O16" s="22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32">
      <c r="A17" s="18">
        <f t="shared" si="3"/>
        <v>2036</v>
      </c>
      <c r="B17" s="254">
        <f>LoU_Safety!D24+LoU_Safety!E24</f>
        <v>889919854.05144751</v>
      </c>
      <c r="C17" s="6">
        <f>LoU_Safety!F24</f>
        <v>285733715.18244338</v>
      </c>
      <c r="D17" s="254">
        <f>LoU_Safety!G24</f>
        <v>104137698.29477526</v>
      </c>
      <c r="E17" s="6">
        <f t="shared" si="0"/>
        <v>212.02857793062617</v>
      </c>
      <c r="F17" s="265">
        <f t="shared" si="1"/>
        <v>0.88468924141553773</v>
      </c>
      <c r="G17" s="105">
        <f t="shared" si="2"/>
        <v>398.99867828344327</v>
      </c>
      <c r="H17" s="255">
        <f>G17*NPV!C20</f>
        <v>135.1546568097163</v>
      </c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32">
      <c r="A18" s="18">
        <f t="shared" si="3"/>
        <v>2037</v>
      </c>
      <c r="B18" s="254">
        <f>LoU_Safety!D25+LoU_Safety!E25</f>
        <v>971809416.95520878</v>
      </c>
      <c r="C18" s="6">
        <f>LoU_Safety!F25</f>
        <v>312123720.3508966</v>
      </c>
      <c r="D18" s="254">
        <f>LoU_Safety!G25</f>
        <v>113761933.07294056</v>
      </c>
      <c r="E18" s="6">
        <f t="shared" si="0"/>
        <v>232.34756121435885</v>
      </c>
      <c r="F18" s="265">
        <f t="shared" si="1"/>
        <v>0.96947019916691235</v>
      </c>
      <c r="G18" s="105">
        <f t="shared" si="2"/>
        <v>437.23525730217034</v>
      </c>
      <c r="H18" s="255">
        <f>G18*NPV!C21</f>
        <v>138.41748506985294</v>
      </c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32">
      <c r="A19" s="18">
        <f t="shared" si="3"/>
        <v>2038</v>
      </c>
      <c r="B19" s="254">
        <f>LoU_Safety!D26+LoU_Safety!E26</f>
        <v>1066763547.766152</v>
      </c>
      <c r="C19" s="6">
        <f>LoU_Safety!F26</f>
        <v>342724818.88966703</v>
      </c>
      <c r="D19" s="254">
        <f>LoU_Safety!G26</f>
        <v>124921976.59768756</v>
      </c>
      <c r="E19" s="6">
        <f t="shared" si="0"/>
        <v>255.91538957575676</v>
      </c>
      <c r="F19" s="265">
        <f t="shared" si="1"/>
        <v>1.067806963004845</v>
      </c>
      <c r="G19" s="105">
        <f t="shared" si="2"/>
        <v>481.58556355798817</v>
      </c>
      <c r="H19" s="255">
        <f>G19*NPV!C22</f>
        <v>142.48379087821036</v>
      </c>
      <c r="I19" s="22"/>
      <c r="J19" s="22"/>
      <c r="K19" s="22"/>
      <c r="L19" s="22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32">
      <c r="A20" s="18">
        <f t="shared" si="3"/>
        <v>2039</v>
      </c>
      <c r="B20" s="254">
        <f>LoU_Safety!D27+LoU_Safety!E27</f>
        <v>1177148151.5957508</v>
      </c>
      <c r="C20" s="6">
        <f>LoU_Safety!F27</f>
        <v>378299616.30972111</v>
      </c>
      <c r="D20" s="254">
        <f>LoU_Safety!G27</f>
        <v>137895955.57589689</v>
      </c>
      <c r="E20" s="6">
        <f t="shared" si="0"/>
        <v>283.32044783415904</v>
      </c>
      <c r="F20" s="265">
        <f t="shared" si="1"/>
        <v>1.1821545685880288</v>
      </c>
      <c r="G20" s="105">
        <f t="shared" si="2"/>
        <v>533.15682876244091</v>
      </c>
      <c r="H20" s="255">
        <f>G20*NPV!C23</f>
        <v>147.42230595444815</v>
      </c>
      <c r="I20" s="22"/>
      <c r="J20" s="22"/>
      <c r="K20" s="22"/>
      <c r="L20" s="22"/>
      <c r="M20" s="22"/>
      <c r="N20" s="22"/>
      <c r="O20" s="2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32">
      <c r="A21" s="18">
        <f t="shared" si="3"/>
        <v>2040</v>
      </c>
      <c r="B21" s="254">
        <f>LoU_Safety!D28+LoU_Safety!E28</f>
        <v>1305827959.9776254</v>
      </c>
      <c r="C21" s="6">
        <f>LoU_Safety!F28</f>
        <v>419771505.57060122</v>
      </c>
      <c r="D21" s="254">
        <f>LoU_Safety!G28</f>
        <v>153020636.84270906</v>
      </c>
      <c r="E21" s="6">
        <f t="shared" si="0"/>
        <v>315.27517585164833</v>
      </c>
      <c r="F21" s="265">
        <f t="shared" si="1"/>
        <v>1.3154856712410028</v>
      </c>
      <c r="G21" s="105">
        <f t="shared" si="2"/>
        <v>593.28973333748729</v>
      </c>
      <c r="H21" s="255">
        <f>G21*NPV!C24</f>
        <v>153.31734126877953</v>
      </c>
      <c r="I21" s="22"/>
      <c r="J21" s="22"/>
      <c r="K21" s="22"/>
      <c r="L21" s="22"/>
      <c r="M21" s="22"/>
      <c r="N21" s="22"/>
      <c r="O21" s="22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32">
      <c r="A22" s="18">
        <f t="shared" si="3"/>
        <v>2041</v>
      </c>
      <c r="B22" s="254">
        <f>LoU_Safety!D29+LoU_Safety!E29</f>
        <v>1456282191.1054864</v>
      </c>
      <c r="C22" s="6">
        <f>LoU_Safety!F29</f>
        <v>468261948.01386136</v>
      </c>
      <c r="D22" s="254">
        <f>LoU_Safety!G29</f>
        <v>170705023.93724757</v>
      </c>
      <c r="E22" s="6">
        <f t="shared" si="0"/>
        <v>352.6448325194533</v>
      </c>
      <c r="F22" s="265">
        <f t="shared" si="1"/>
        <v>1.4714105636874191</v>
      </c>
      <c r="G22" s="105">
        <f t="shared" si="2"/>
        <v>663.61253493284016</v>
      </c>
      <c r="H22" s="255">
        <f>G22*NPV!C25</f>
        <v>160.27111171226932</v>
      </c>
      <c r="I22" s="22"/>
      <c r="J22" s="22"/>
      <c r="K22" s="22"/>
      <c r="L22" s="22"/>
      <c r="M22" s="22"/>
      <c r="N22" s="22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32">
      <c r="A23" s="18">
        <f t="shared" si="3"/>
        <v>2042</v>
      </c>
      <c r="B23" s="254">
        <f>LoU_Safety!D30+LoU_Safety!E30</f>
        <v>1632749582.3788295</v>
      </c>
      <c r="C23" s="6">
        <f>LoU_Safety!F30</f>
        <v>525137221.91536134</v>
      </c>
      <c r="D23" s="254">
        <f>LoU_Safety!G30</f>
        <v>191447406.57463205</v>
      </c>
      <c r="E23" s="6">
        <f t="shared" si="0"/>
        <v>396.48356445575064</v>
      </c>
      <c r="F23" s="265">
        <f t="shared" si="1"/>
        <v>1.6543276726916196</v>
      </c>
      <c r="G23" s="105">
        <f t="shared" si="2"/>
        <v>746.10894306291732</v>
      </c>
      <c r="H23" s="255">
        <f>G23*NPV!C26</f>
        <v>168.40661110737062</v>
      </c>
      <c r="I23" s="22"/>
      <c r="J23" s="22"/>
      <c r="K23" s="22"/>
      <c r="L23" s="22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32">
      <c r="A24" s="18">
        <f t="shared" si="3"/>
        <v>2043</v>
      </c>
      <c r="B24" s="254">
        <f>LoU_Safety!D31+LoU_Safety!E31</f>
        <v>1840410823.3316672</v>
      </c>
      <c r="C24" s="6">
        <f>LoU_Safety!F31</f>
        <v>592067226.35765803</v>
      </c>
      <c r="D24" s="254">
        <f>LoU_Safety!G31</f>
        <v>215856806.76414421</v>
      </c>
      <c r="E24" s="6">
        <f t="shared" si="0"/>
        <v>448.07977594763634</v>
      </c>
      <c r="F24" s="265">
        <f t="shared" si="1"/>
        <v>1.8696128651415127</v>
      </c>
      <c r="G24" s="105">
        <f t="shared" si="2"/>
        <v>843.20349696984977</v>
      </c>
      <c r="H24" s="255">
        <f>G24*NPV!C27</f>
        <v>177.87114971157382</v>
      </c>
      <c r="I24" s="22"/>
      <c r="J24" s="22"/>
      <c r="K24" s="22"/>
      <c r="L24" s="22"/>
      <c r="M24" s="22"/>
      <c r="N24" s="22"/>
      <c r="O24" s="22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32" ht="13.5" thickBot="1">
      <c r="A25" s="44">
        <f t="shared" si="3"/>
        <v>2044</v>
      </c>
      <c r="B25" s="254">
        <f>LoU_Safety!D32+LoU_Safety!E32</f>
        <v>2085618764.0813746</v>
      </c>
      <c r="C25" s="6">
        <f>LoU_Safety!F32</f>
        <v>671099684.65557659</v>
      </c>
      <c r="D25" s="254">
        <f>LoU_Safety!G32</f>
        <v>244680041.23502424</v>
      </c>
      <c r="E25" s="6">
        <f t="shared" si="0"/>
        <v>509.0133803696699</v>
      </c>
      <c r="F25" s="265">
        <f t="shared" si="1"/>
        <v>2.1238583295924478</v>
      </c>
      <c r="G25" s="105">
        <f t="shared" si="2"/>
        <v>957.86930223404568</v>
      </c>
      <c r="H25" s="255">
        <f>G25*NPV!C28</f>
        <v>188.84069528815417</v>
      </c>
      <c r="I25" s="22"/>
      <c r="J25" s="22"/>
      <c r="K25" s="22"/>
      <c r="L25" s="22"/>
      <c r="M25" s="22"/>
      <c r="N25" s="22"/>
      <c r="O25" s="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32" ht="13.5" thickTop="1">
      <c r="A26" s="478" t="s">
        <v>19</v>
      </c>
      <c r="B26" s="479"/>
      <c r="C26" s="479"/>
      <c r="D26" s="479"/>
      <c r="E26" s="479"/>
      <c r="F26" s="480"/>
      <c r="G26" s="266">
        <f>SUM(G6:G25)</f>
        <v>8593.8213182680283</v>
      </c>
      <c r="H26" s="106">
        <f>SUM(H6:H25)</f>
        <v>2880.3151177912291</v>
      </c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32">
      <c r="A27" s="601" t="s">
        <v>312</v>
      </c>
      <c r="B27" s="602"/>
      <c r="C27" s="602"/>
      <c r="D27" s="602"/>
      <c r="E27" s="602"/>
      <c r="F27" s="602"/>
      <c r="G27" s="602"/>
      <c r="H27" s="603"/>
      <c r="I27" s="36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2">
      <c r="A28" s="526" t="s">
        <v>317</v>
      </c>
      <c r="B28" s="527"/>
      <c r="C28" s="527"/>
      <c r="D28" s="527"/>
      <c r="E28" s="527"/>
      <c r="F28" s="527"/>
      <c r="G28" s="527"/>
      <c r="H28" s="528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>
      <c r="A29" s="529" t="s">
        <v>292</v>
      </c>
      <c r="B29" s="530"/>
      <c r="C29" s="530"/>
      <c r="D29" s="530"/>
      <c r="E29" s="530"/>
      <c r="F29" s="530"/>
      <c r="G29" s="530"/>
      <c r="H29" s="531"/>
      <c r="I29" s="36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1:32">
      <c r="A30" s="23"/>
      <c r="B30" s="19"/>
      <c r="C30" s="19"/>
      <c r="D30" s="1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2">
      <c r="A31" s="600"/>
      <c r="B31" s="505" t="s">
        <v>318</v>
      </c>
      <c r="C31" s="510"/>
      <c r="D31" s="50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2">
      <c r="A32" s="600"/>
      <c r="B32" s="57" t="s">
        <v>224</v>
      </c>
      <c r="C32" s="57" t="s">
        <v>143</v>
      </c>
      <c r="D32" s="57" t="s">
        <v>144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1:105">
      <c r="A33" s="292" t="s">
        <v>319</v>
      </c>
      <c r="B33" s="302">
        <v>2.2999999999999998</v>
      </c>
      <c r="C33" s="302">
        <v>5.5</v>
      </c>
      <c r="D33" s="302">
        <v>6.6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1:105" ht="13.9" customHeight="1">
      <c r="A34" s="591" t="s">
        <v>320</v>
      </c>
      <c r="B34" s="592"/>
      <c r="C34" s="592"/>
      <c r="D34" s="59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105" ht="13.9" customHeight="1">
      <c r="A35" s="594"/>
      <c r="B35" s="595"/>
      <c r="C35" s="595"/>
      <c r="D35" s="59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105">
      <c r="A36" s="499" t="s">
        <v>321</v>
      </c>
      <c r="B36" s="589"/>
      <c r="C36" s="589"/>
      <c r="D36" s="59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10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105">
      <c r="A38" s="505" t="s">
        <v>322</v>
      </c>
      <c r="B38" s="510"/>
      <c r="C38" s="510"/>
      <c r="D38" s="510"/>
      <c r="E38" s="506"/>
      <c r="F38" s="32"/>
      <c r="G38" s="17"/>
      <c r="H38" s="17"/>
      <c r="I38" s="17"/>
      <c r="J38" s="17"/>
      <c r="K38" s="17"/>
      <c r="L38" s="17"/>
      <c r="M38" s="17"/>
      <c r="N38" s="17"/>
      <c r="O38" s="17"/>
      <c r="P38" s="17"/>
      <c r="CN38"/>
      <c r="CO38"/>
      <c r="CP38"/>
      <c r="CQ38"/>
      <c r="CR38"/>
      <c r="CS38"/>
      <c r="CT38"/>
      <c r="CU38"/>
      <c r="CV38"/>
      <c r="CW38"/>
      <c r="CX38"/>
      <c r="DA38"/>
    </row>
    <row r="39" spans="1:105">
      <c r="A39" s="57" t="s">
        <v>323</v>
      </c>
      <c r="B39" s="275" t="s">
        <v>294</v>
      </c>
      <c r="C39" s="275" t="s">
        <v>295</v>
      </c>
      <c r="D39" s="275" t="s">
        <v>296</v>
      </c>
      <c r="E39" s="275" t="s">
        <v>324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CN39"/>
      <c r="CO39"/>
      <c r="CP39"/>
      <c r="CQ39"/>
      <c r="CR39"/>
      <c r="CS39"/>
      <c r="CT39"/>
      <c r="CU39"/>
      <c r="CV39"/>
      <c r="CW39"/>
      <c r="CX39"/>
      <c r="DA39"/>
    </row>
    <row r="40" spans="1:105">
      <c r="A40" s="63" t="s">
        <v>325</v>
      </c>
      <c r="B40" s="65">
        <v>341975</v>
      </c>
      <c r="C40" s="74">
        <f>B40*'Ton-miles'!$B$145</f>
        <v>144769416.66666666</v>
      </c>
      <c r="D40" s="364">
        <v>284902792</v>
      </c>
      <c r="E40" s="277">
        <f>D40/B40</f>
        <v>833.10999926895238</v>
      </c>
      <c r="F40" s="273"/>
      <c r="G40" s="17"/>
      <c r="H40" s="17"/>
      <c r="I40" s="17"/>
      <c r="J40" s="17"/>
      <c r="K40" s="17"/>
      <c r="L40" s="17"/>
      <c r="M40" s="17"/>
      <c r="N40" s="17"/>
      <c r="O40" s="17"/>
      <c r="P40" s="17"/>
      <c r="CN40"/>
      <c r="CO40"/>
      <c r="CP40"/>
      <c r="CQ40"/>
      <c r="CR40"/>
      <c r="CS40"/>
      <c r="CT40"/>
      <c r="CU40"/>
      <c r="CV40"/>
      <c r="CW40"/>
      <c r="CX40"/>
      <c r="DA40"/>
    </row>
    <row r="41" spans="1:105">
      <c r="A41" s="63" t="s">
        <v>326</v>
      </c>
      <c r="B41" s="65">
        <v>1331260</v>
      </c>
      <c r="C41" s="74">
        <f>B41*'Ton-miles'!$B$145</f>
        <v>563566733.33333325</v>
      </c>
      <c r="D41" s="364">
        <v>712224100</v>
      </c>
      <c r="E41" s="277">
        <f t="shared" ref="E41:E50" si="4">D41/B41</f>
        <v>535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CN41"/>
      <c r="CO41"/>
      <c r="CP41"/>
      <c r="CQ41"/>
      <c r="CR41"/>
      <c r="CS41"/>
      <c r="CT41"/>
      <c r="CU41"/>
      <c r="CV41"/>
      <c r="CW41"/>
      <c r="CX41"/>
      <c r="DA41"/>
    </row>
    <row r="42" spans="1:105">
      <c r="A42" s="63" t="s">
        <v>327</v>
      </c>
      <c r="B42" s="65">
        <v>397054</v>
      </c>
      <c r="C42" s="74">
        <f>B42*'Ton-miles'!$B$145</f>
        <v>168086193.33333331</v>
      </c>
      <c r="D42" s="364">
        <v>212423890</v>
      </c>
      <c r="E42" s="277">
        <f t="shared" si="4"/>
        <v>535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CN42"/>
      <c r="CO42"/>
      <c r="CP42"/>
      <c r="CQ42"/>
      <c r="CR42"/>
      <c r="CS42"/>
      <c r="CT42"/>
      <c r="CU42"/>
      <c r="CV42"/>
      <c r="CW42"/>
      <c r="CX42"/>
      <c r="DA42"/>
    </row>
    <row r="43" spans="1:105">
      <c r="A43" s="63" t="s">
        <v>328</v>
      </c>
      <c r="B43" s="65">
        <v>56300</v>
      </c>
      <c r="C43" s="74">
        <f>B43*'Ton-miles'!$B$145</f>
        <v>23833666.666666664</v>
      </c>
      <c r="D43" s="364">
        <v>22520000</v>
      </c>
      <c r="E43" s="277">
        <f t="shared" si="4"/>
        <v>400</v>
      </c>
      <c r="F43" s="32"/>
      <c r="G43" s="17"/>
      <c r="H43" s="17"/>
      <c r="I43" s="17"/>
      <c r="J43" s="17"/>
      <c r="K43" s="17"/>
      <c r="L43" s="17"/>
      <c r="M43" s="17"/>
      <c r="N43" s="17"/>
      <c r="O43" s="17"/>
      <c r="P43" s="17"/>
      <c r="CN43"/>
      <c r="CO43"/>
      <c r="CP43"/>
      <c r="CQ43"/>
      <c r="CR43"/>
      <c r="CS43"/>
      <c r="CT43"/>
      <c r="CU43"/>
      <c r="CV43"/>
      <c r="CW43"/>
      <c r="CX43"/>
      <c r="DA43"/>
    </row>
    <row r="44" spans="1:105">
      <c r="A44" s="63" t="s">
        <v>329</v>
      </c>
      <c r="B44" s="65">
        <v>117881</v>
      </c>
      <c r="C44" s="74">
        <f>B44*'Ton-miles'!$B$145</f>
        <v>49902956.666666664</v>
      </c>
      <c r="D44" s="364">
        <v>977233</v>
      </c>
      <c r="E44" s="277">
        <f t="shared" si="4"/>
        <v>8.2899958432656664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CN44"/>
      <c r="CO44"/>
      <c r="CP44"/>
      <c r="CQ44"/>
      <c r="CR44"/>
      <c r="CS44"/>
      <c r="CT44"/>
      <c r="CU44"/>
      <c r="CV44"/>
      <c r="CW44"/>
      <c r="CX44"/>
      <c r="DA44"/>
    </row>
    <row r="45" spans="1:105">
      <c r="A45" s="63" t="s">
        <v>330</v>
      </c>
      <c r="B45" s="65">
        <v>273180</v>
      </c>
      <c r="C45" s="74">
        <f>B45*'Ton-miles'!$B$145</f>
        <v>115646200</v>
      </c>
      <c r="D45" s="364">
        <v>172704396</v>
      </c>
      <c r="E45" s="277">
        <f t="shared" si="4"/>
        <v>632.20000000000005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CN45"/>
      <c r="CO45"/>
      <c r="CP45"/>
      <c r="CQ45"/>
      <c r="CR45"/>
      <c r="CS45"/>
      <c r="CT45"/>
      <c r="CU45"/>
      <c r="CV45"/>
      <c r="CW45"/>
      <c r="CX45"/>
      <c r="DA45"/>
    </row>
    <row r="46" spans="1:105">
      <c r="A46" s="63" t="s">
        <v>331</v>
      </c>
      <c r="B46" s="65">
        <v>141400</v>
      </c>
      <c r="C46" s="74">
        <f>B46*'Ton-miles'!$B$145</f>
        <v>59859333.333333328</v>
      </c>
      <c r="D46" s="364">
        <v>116294430</v>
      </c>
      <c r="E46" s="277">
        <f t="shared" si="4"/>
        <v>822.45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CN46"/>
      <c r="CO46"/>
      <c r="CP46"/>
      <c r="CQ46"/>
      <c r="CR46"/>
      <c r="CS46"/>
      <c r="CT46"/>
      <c r="CU46"/>
      <c r="CV46"/>
      <c r="CW46"/>
      <c r="CX46"/>
      <c r="DA46"/>
    </row>
    <row r="47" spans="1:105">
      <c r="A47" s="63" t="s">
        <v>332</v>
      </c>
      <c r="B47" s="65">
        <v>214334</v>
      </c>
      <c r="C47" s="74">
        <f>B47*'Ton-miles'!$B$145</f>
        <v>90734726.666666657</v>
      </c>
      <c r="D47" s="364">
        <v>45353074</v>
      </c>
      <c r="E47" s="277">
        <f t="shared" si="4"/>
        <v>211.59999813375387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CN47"/>
      <c r="CO47"/>
      <c r="CP47"/>
      <c r="CQ47"/>
      <c r="CR47"/>
      <c r="CS47"/>
      <c r="CT47"/>
      <c r="CU47"/>
      <c r="CV47"/>
      <c r="CW47"/>
      <c r="CX47"/>
      <c r="DA47"/>
    </row>
    <row r="48" spans="1:105">
      <c r="A48" s="63" t="s">
        <v>333</v>
      </c>
      <c r="B48" s="65">
        <v>1071595</v>
      </c>
      <c r="C48" s="74">
        <f>B48*'Ton-miles'!$B$145</f>
        <v>453641883.33333331</v>
      </c>
      <c r="D48" s="364">
        <v>190347420</v>
      </c>
      <c r="E48" s="277">
        <f t="shared" si="4"/>
        <v>177.63000013997825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</row>
    <row r="49" spans="1:105">
      <c r="A49" s="63" t="s">
        <v>334</v>
      </c>
      <c r="B49" s="65">
        <v>21821</v>
      </c>
      <c r="C49" s="74">
        <f>B49*'Ton-miles'!$B$145</f>
        <v>9237556.666666666</v>
      </c>
      <c r="D49" s="364">
        <v>109105000</v>
      </c>
      <c r="E49" s="277">
        <f t="shared" si="4"/>
        <v>5000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CN49"/>
      <c r="CO49"/>
      <c r="CP49"/>
      <c r="CQ49"/>
      <c r="CR49"/>
      <c r="CS49"/>
      <c r="CT49"/>
      <c r="CU49"/>
      <c r="CV49"/>
      <c r="CW49"/>
      <c r="CX49"/>
      <c r="DA49"/>
    </row>
    <row r="50" spans="1:105" ht="13.5" thickBot="1">
      <c r="A50" s="64" t="s">
        <v>335</v>
      </c>
      <c r="B50" s="66">
        <v>788537</v>
      </c>
      <c r="C50" s="66">
        <f>B50*'Ton-miles'!$B$145</f>
        <v>333813996.66666663</v>
      </c>
      <c r="D50" s="365">
        <v>277825241</v>
      </c>
      <c r="E50" s="278">
        <f t="shared" si="4"/>
        <v>352.32999973368402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</row>
    <row r="51" spans="1:105" ht="13.5" thickTop="1">
      <c r="A51" s="303" t="s">
        <v>19</v>
      </c>
      <c r="B51" s="304">
        <f>SUM(B40:B50)</f>
        <v>4755337</v>
      </c>
      <c r="C51" s="304">
        <f>SUM(C40:C50)</f>
        <v>2013092663.333333</v>
      </c>
      <c r="D51" s="305">
        <f>SUM(D40:D50)</f>
        <v>2144677576</v>
      </c>
      <c r="E51" s="305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</row>
    <row r="52" spans="1:105" ht="13.15" customHeight="1">
      <c r="A52" s="586" t="s">
        <v>336</v>
      </c>
      <c r="B52" s="587"/>
      <c r="C52" s="587"/>
      <c r="D52" s="587"/>
      <c r="E52" s="588"/>
      <c r="F52" s="122"/>
      <c r="G52" s="17"/>
      <c r="H52" s="17"/>
      <c r="I52" s="17"/>
      <c r="J52" s="17"/>
      <c r="K52" s="17"/>
      <c r="L52" s="17"/>
      <c r="M52" s="17"/>
      <c r="N52" s="17"/>
      <c r="O52" s="17"/>
      <c r="P52" s="17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</row>
    <row r="53" spans="1:105" ht="13.15" customHeight="1">
      <c r="A53" s="597" t="s">
        <v>337</v>
      </c>
      <c r="B53" s="598"/>
      <c r="C53" s="598"/>
      <c r="D53" s="598"/>
      <c r="E53" s="599"/>
      <c r="F53" s="122"/>
      <c r="G53" s="17"/>
      <c r="H53" s="17"/>
      <c r="I53" s="17"/>
      <c r="J53" s="17"/>
      <c r="K53" s="17"/>
      <c r="L53" s="17"/>
      <c r="M53" s="17"/>
      <c r="N53" s="17"/>
      <c r="O53" s="17"/>
      <c r="P53" s="17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</row>
    <row r="54" spans="1:105" ht="13.15" customHeight="1">
      <c r="A54" s="299" t="s">
        <v>338</v>
      </c>
      <c r="B54" s="306"/>
      <c r="C54" s="306"/>
      <c r="D54" s="306"/>
      <c r="E54" s="30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</row>
    <row r="55" spans="1:10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spans="1:105" s="17" customFormat="1">
      <c r="A56" s="267" t="s">
        <v>339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spans="1:105" s="17" customFormat="1">
      <c r="A57" s="394">
        <f>D51/B51</f>
        <v>451.00432966159917</v>
      </c>
    </row>
    <row r="58" spans="1:105" s="17" customFormat="1"/>
    <row r="59" spans="1:105" s="17" customFormat="1"/>
    <row r="60" spans="1:105" s="17" customFormat="1"/>
    <row r="61" spans="1:105" s="17" customFormat="1"/>
    <row r="62" spans="1:105" s="17" customFormat="1"/>
    <row r="63" spans="1:105" s="17" customFormat="1"/>
    <row r="64" spans="1:105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</sheetData>
  <mergeCells count="18">
    <mergeCell ref="B3:H3"/>
    <mergeCell ref="G4:H4"/>
    <mergeCell ref="B31:D31"/>
    <mergeCell ref="A3:A5"/>
    <mergeCell ref="E4:E5"/>
    <mergeCell ref="F4:F5"/>
    <mergeCell ref="B4:B5"/>
    <mergeCell ref="A26:F26"/>
    <mergeCell ref="A31:A32"/>
    <mergeCell ref="A27:H27"/>
    <mergeCell ref="A28:H28"/>
    <mergeCell ref="A29:H29"/>
    <mergeCell ref="A52:E52"/>
    <mergeCell ref="C4:D4"/>
    <mergeCell ref="A36:D36"/>
    <mergeCell ref="A34:D35"/>
    <mergeCell ref="A53:E53"/>
    <mergeCell ref="A38:E38"/>
  </mergeCells>
  <hyperlinks>
    <hyperlink ref="A36" r:id="rId1" xr:uid="{C06A0294-5A61-46B9-88D4-31A647888209}"/>
    <hyperlink ref="A53" r:id="rId2" xr:uid="{55C03D78-B466-489F-982B-142127BCEA1B}"/>
  </hyperlinks>
  <pageMargins left="0.7" right="0.7" top="0.75" bottom="0.75" header="0.3" footer="0.3"/>
  <pageSetup paperSize="256" orientation="portrait" horizontalDpi="1200" verticalDpi="120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M399"/>
  <sheetViews>
    <sheetView workbookViewId="0"/>
  </sheetViews>
  <sheetFormatPr defaultRowHeight="12.75"/>
  <cols>
    <col min="1" max="1" width="32.28515625" customWidth="1"/>
    <col min="2" max="2" width="20" bestFit="1" customWidth="1"/>
    <col min="3" max="3" width="12.42578125" bestFit="1" customWidth="1"/>
    <col min="4" max="4" width="13.140625" bestFit="1" customWidth="1"/>
    <col min="5" max="5" width="15.140625" bestFit="1" customWidth="1"/>
    <col min="6" max="6" width="13.5703125" bestFit="1" customWidth="1"/>
    <col min="7" max="7" width="15.28515625" bestFit="1" customWidth="1"/>
    <col min="8" max="8" width="15.7109375" bestFit="1" customWidth="1"/>
    <col min="9" max="10" width="15.140625" bestFit="1" customWidth="1"/>
    <col min="11" max="11" width="10.42578125" bestFit="1" customWidth="1"/>
    <col min="12" max="12" width="12.42578125" bestFit="1" customWidth="1"/>
    <col min="13" max="13" width="13.5703125" style="17" bestFit="1" customWidth="1"/>
    <col min="14" max="14" width="15.140625" style="17" bestFit="1" customWidth="1"/>
    <col min="15" max="15" width="13.5703125" style="17" bestFit="1" customWidth="1"/>
    <col min="16" max="16" width="15.140625" style="17" bestFit="1" customWidth="1"/>
    <col min="17" max="17" width="14.7109375" style="17" customWidth="1"/>
    <col min="18" max="91" width="8.85546875" style="17"/>
  </cols>
  <sheetData>
    <row r="1" spans="1:91" ht="23.25">
      <c r="A1" s="61" t="s">
        <v>340</v>
      </c>
      <c r="B1" s="23"/>
      <c r="C1" s="23"/>
      <c r="D1" s="23"/>
      <c r="E1" s="17"/>
      <c r="F1" s="17"/>
      <c r="G1" s="17"/>
      <c r="H1" s="17"/>
      <c r="I1" s="17"/>
      <c r="J1" s="17"/>
      <c r="K1" s="17"/>
      <c r="L1" s="17"/>
      <c r="CH1"/>
      <c r="CI1"/>
      <c r="CJ1"/>
      <c r="CK1"/>
      <c r="CL1"/>
      <c r="CM1"/>
    </row>
    <row r="2" spans="1:9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CH2"/>
      <c r="CI2"/>
      <c r="CJ2"/>
      <c r="CK2"/>
      <c r="CL2"/>
      <c r="CM2"/>
    </row>
    <row r="3" spans="1:91">
      <c r="A3" s="618" t="s">
        <v>120</v>
      </c>
      <c r="B3" s="612" t="s">
        <v>294</v>
      </c>
      <c r="C3" s="612"/>
      <c r="D3" s="612"/>
      <c r="E3" s="612"/>
      <c r="F3" s="612" t="s">
        <v>296</v>
      </c>
      <c r="G3" s="612"/>
      <c r="H3" s="612"/>
      <c r="I3" s="612"/>
      <c r="J3" s="17"/>
      <c r="K3" s="17"/>
      <c r="L3" s="17"/>
      <c r="CH3"/>
      <c r="CI3"/>
      <c r="CJ3"/>
      <c r="CK3"/>
      <c r="CL3"/>
      <c r="CM3"/>
    </row>
    <row r="4" spans="1:91">
      <c r="A4" s="618"/>
      <c r="B4" s="57" t="s">
        <v>122</v>
      </c>
      <c r="C4" s="57" t="s">
        <v>124</v>
      </c>
      <c r="D4" s="57" t="s">
        <v>123</v>
      </c>
      <c r="E4" s="57" t="s">
        <v>19</v>
      </c>
      <c r="F4" s="57" t="s">
        <v>122</v>
      </c>
      <c r="G4" s="57" t="s">
        <v>124</v>
      </c>
      <c r="H4" s="57" t="s">
        <v>123</v>
      </c>
      <c r="I4" s="57" t="s">
        <v>19</v>
      </c>
      <c r="J4" s="17"/>
      <c r="K4" s="17"/>
      <c r="L4" s="17"/>
      <c r="CH4"/>
      <c r="CI4"/>
      <c r="CJ4"/>
      <c r="CK4"/>
      <c r="CL4"/>
      <c r="CM4"/>
    </row>
    <row r="5" spans="1:91">
      <c r="A5" s="144" t="s">
        <v>325</v>
      </c>
      <c r="B5" s="281">
        <f t="shared" ref="B5:B15" si="0">SUMIF($B$21:$B$43,A5,$K$21:$K$43)</f>
        <v>163719.65209350767</v>
      </c>
      <c r="C5" s="281">
        <f t="shared" ref="C5:C15" si="1">SUMIF($B$103:$B$135,A5,$I$103:$I$135)</f>
        <v>33751.201454037924</v>
      </c>
      <c r="D5" s="281">
        <f t="shared" ref="D5:D15" si="2">SUMIF($B$52:$B$94,A5,$I$52:$I$94)</f>
        <v>100030.95223418149</v>
      </c>
      <c r="E5" s="282">
        <f>B5+D5+C5</f>
        <v>297501.80578172707</v>
      </c>
      <c r="F5" s="283">
        <f>B5*LoU_Econ!$E40</f>
        <v>136396479.2359353</v>
      </c>
      <c r="G5" s="283">
        <f>C5*LoU_Econ!$E40</f>
        <v>28118463.418699801</v>
      </c>
      <c r="H5" s="283">
        <f>D5*LoU_Econ!$E40</f>
        <v>83336786.542691544</v>
      </c>
      <c r="I5" s="283">
        <f>SUM(F5:H5)</f>
        <v>247851729.19732666</v>
      </c>
      <c r="J5" s="17"/>
      <c r="K5" s="17"/>
      <c r="L5" s="17"/>
      <c r="CH5"/>
      <c r="CI5"/>
      <c r="CJ5"/>
      <c r="CK5"/>
      <c r="CL5"/>
      <c r="CM5"/>
    </row>
    <row r="6" spans="1:91">
      <c r="A6" s="154" t="s">
        <v>326</v>
      </c>
      <c r="B6" s="281">
        <f t="shared" si="0"/>
        <v>80732.613715744956</v>
      </c>
      <c r="C6" s="281">
        <f t="shared" si="1"/>
        <v>1145968.700816537</v>
      </c>
      <c r="D6" s="281">
        <f t="shared" si="2"/>
        <v>777259.64156430901</v>
      </c>
      <c r="E6" s="282">
        <f t="shared" ref="E6:E15" si="3">B6+D6+C6</f>
        <v>2003960.956096591</v>
      </c>
      <c r="F6" s="283">
        <f>B6*LoU_Econ!$E41</f>
        <v>43191948.337923549</v>
      </c>
      <c r="G6" s="283">
        <f>C6*LoU_Econ!$E41</f>
        <v>613093254.93684733</v>
      </c>
      <c r="H6" s="283">
        <f>D6*LoU_Econ!$E41</f>
        <v>415833908.23690534</v>
      </c>
      <c r="I6" s="283">
        <f t="shared" ref="I6:I15" si="4">SUM(F6:H6)</f>
        <v>1072119111.5116762</v>
      </c>
      <c r="J6" s="17"/>
      <c r="K6" s="17"/>
      <c r="L6" s="17"/>
      <c r="CH6"/>
      <c r="CI6"/>
      <c r="CJ6"/>
      <c r="CK6"/>
      <c r="CL6"/>
      <c r="CM6"/>
    </row>
    <row r="7" spans="1:91">
      <c r="A7" s="145" t="s">
        <v>327</v>
      </c>
      <c r="B7" s="281">
        <f t="shared" si="0"/>
        <v>0</v>
      </c>
      <c r="C7" s="281">
        <f t="shared" si="1"/>
        <v>0</v>
      </c>
      <c r="D7" s="281">
        <f t="shared" si="2"/>
        <v>6258.8034048926893</v>
      </c>
      <c r="E7" s="282">
        <f>B7+D7+C7</f>
        <v>6258.8034048926893</v>
      </c>
      <c r="F7" s="283">
        <f>B7*LoU_Econ!$E42</f>
        <v>0</v>
      </c>
      <c r="G7" s="283">
        <f>C7*LoU_Econ!$E42</f>
        <v>0</v>
      </c>
      <c r="H7" s="283">
        <f>D7*LoU_Econ!$E42</f>
        <v>3348459.8216175889</v>
      </c>
      <c r="I7" s="283">
        <f t="shared" si="4"/>
        <v>3348459.8216175889</v>
      </c>
      <c r="J7" s="17"/>
      <c r="K7" s="17"/>
      <c r="L7" s="17"/>
      <c r="CH7"/>
      <c r="CI7"/>
      <c r="CJ7"/>
      <c r="CK7"/>
      <c r="CL7"/>
      <c r="CM7"/>
    </row>
    <row r="8" spans="1:91">
      <c r="A8" s="146" t="s">
        <v>328</v>
      </c>
      <c r="B8" s="281">
        <f t="shared" si="0"/>
        <v>0</v>
      </c>
      <c r="C8" s="281">
        <f t="shared" si="1"/>
        <v>0</v>
      </c>
      <c r="D8" s="281">
        <f t="shared" si="2"/>
        <v>2156.8331631450342</v>
      </c>
      <c r="E8" s="282">
        <f t="shared" si="3"/>
        <v>2156.8331631450342</v>
      </c>
      <c r="F8" s="283">
        <f>B8*LoU_Econ!$E43</f>
        <v>0</v>
      </c>
      <c r="G8" s="283">
        <f>C8*LoU_Econ!$E43</f>
        <v>0</v>
      </c>
      <c r="H8" s="283">
        <f>D8*LoU_Econ!$E43</f>
        <v>862733.26525801362</v>
      </c>
      <c r="I8" s="283">
        <f t="shared" si="4"/>
        <v>862733.26525801362</v>
      </c>
      <c r="J8" s="17"/>
      <c r="K8" s="17"/>
      <c r="L8" s="17"/>
      <c r="CH8"/>
      <c r="CI8"/>
      <c r="CJ8"/>
      <c r="CK8"/>
      <c r="CL8"/>
      <c r="CM8"/>
    </row>
    <row r="9" spans="1:91">
      <c r="A9" s="147" t="s">
        <v>329</v>
      </c>
      <c r="B9" s="281">
        <f t="shared" si="0"/>
        <v>0</v>
      </c>
      <c r="C9" s="281">
        <f t="shared" si="1"/>
        <v>1964.5100092640755</v>
      </c>
      <c r="D9" s="281">
        <f t="shared" si="2"/>
        <v>0</v>
      </c>
      <c r="E9" s="282">
        <f t="shared" si="3"/>
        <v>1964.5100092640755</v>
      </c>
      <c r="F9" s="283">
        <f>B9*LoU_Econ!$E44</f>
        <v>0</v>
      </c>
      <c r="G9" s="283">
        <f>C9*LoU_Econ!$E44</f>
        <v>16285.779810852982</v>
      </c>
      <c r="H9" s="283">
        <f>D9*LoU_Econ!$E44</f>
        <v>0</v>
      </c>
      <c r="I9" s="283">
        <f t="shared" si="4"/>
        <v>16285.779810852982</v>
      </c>
      <c r="J9" s="17"/>
      <c r="K9" s="17"/>
      <c r="L9" s="17"/>
      <c r="CH9"/>
      <c r="CI9"/>
      <c r="CJ9"/>
      <c r="CK9"/>
      <c r="CL9"/>
      <c r="CM9"/>
    </row>
    <row r="10" spans="1:91">
      <c r="A10" s="148" t="s">
        <v>330</v>
      </c>
      <c r="B10" s="281">
        <f t="shared" si="0"/>
        <v>28312.725987499896</v>
      </c>
      <c r="C10" s="281">
        <f t="shared" si="1"/>
        <v>357989.38822061312</v>
      </c>
      <c r="D10" s="281">
        <f t="shared" si="2"/>
        <v>0</v>
      </c>
      <c r="E10" s="282">
        <f>B10+D10+C10</f>
        <v>386302.11420811299</v>
      </c>
      <c r="F10" s="283">
        <f>B10*LoU_Econ!$E45</f>
        <v>17899305.369297437</v>
      </c>
      <c r="G10" s="283">
        <f>C10*LoU_Econ!$E45</f>
        <v>226320891.23307163</v>
      </c>
      <c r="H10" s="283">
        <f>D10*LoU_Econ!$E45</f>
        <v>0</v>
      </c>
      <c r="I10" s="283">
        <f t="shared" si="4"/>
        <v>244220196.60236907</v>
      </c>
      <c r="J10" s="17"/>
      <c r="K10" s="17"/>
      <c r="L10" s="17"/>
      <c r="CH10"/>
      <c r="CI10"/>
      <c r="CJ10"/>
      <c r="CK10"/>
      <c r="CL10"/>
      <c r="CM10"/>
    </row>
    <row r="11" spans="1:91">
      <c r="A11" s="149" t="s">
        <v>331</v>
      </c>
      <c r="B11" s="281">
        <f t="shared" si="0"/>
        <v>215635.97200577718</v>
      </c>
      <c r="C11" s="281">
        <f t="shared" si="1"/>
        <v>81036.819110527838</v>
      </c>
      <c r="D11" s="281">
        <f t="shared" si="2"/>
        <v>33556.548482973631</v>
      </c>
      <c r="E11" s="282">
        <f t="shared" si="3"/>
        <v>330229.33959927864</v>
      </c>
      <c r="F11" s="283">
        <f>B11*LoU_Econ!$E46</f>
        <v>177349805.17615145</v>
      </c>
      <c r="G11" s="283">
        <f>C11*LoU_Econ!$E46</f>
        <v>66648731.877453625</v>
      </c>
      <c r="H11" s="283">
        <f>D11*LoU_Econ!$E46</f>
        <v>27598583.299821664</v>
      </c>
      <c r="I11" s="283">
        <f t="shared" si="4"/>
        <v>271597120.35342675</v>
      </c>
      <c r="J11" s="17"/>
      <c r="K11" s="17"/>
      <c r="L11" s="17"/>
    </row>
    <row r="12" spans="1:91">
      <c r="A12" s="159" t="s">
        <v>332</v>
      </c>
      <c r="B12" s="281">
        <f t="shared" si="0"/>
        <v>51001.036197470261</v>
      </c>
      <c r="C12" s="281">
        <f t="shared" si="1"/>
        <v>11297.860160597229</v>
      </c>
      <c r="D12" s="281">
        <f t="shared" si="2"/>
        <v>614671.80693327123</v>
      </c>
      <c r="E12" s="282">
        <f t="shared" si="3"/>
        <v>676970.70329133875</v>
      </c>
      <c r="F12" s="283">
        <f>B12*LoU_Econ!$E47</f>
        <v>10791819.164204221</v>
      </c>
      <c r="G12" s="283">
        <f>C12*LoU_Econ!$E47</f>
        <v>2390627.1888977857</v>
      </c>
      <c r="H12" s="283">
        <f>D12*LoU_Econ!$E47</f>
        <v>130064553.19995131</v>
      </c>
      <c r="I12" s="283">
        <f t="shared" si="4"/>
        <v>143246999.55305332</v>
      </c>
      <c r="J12" s="17"/>
      <c r="K12" s="17"/>
      <c r="L12" s="17"/>
    </row>
    <row r="13" spans="1:91">
      <c r="A13" s="150" t="s">
        <v>333</v>
      </c>
      <c r="B13" s="281">
        <f t="shared" si="0"/>
        <v>0</v>
      </c>
      <c r="C13" s="281">
        <f t="shared" si="1"/>
        <v>0</v>
      </c>
      <c r="D13" s="281">
        <f t="shared" si="2"/>
        <v>0</v>
      </c>
      <c r="E13" s="282">
        <f t="shared" si="3"/>
        <v>0</v>
      </c>
      <c r="F13" s="283">
        <f>B13*LoU_Econ!$E48</f>
        <v>0</v>
      </c>
      <c r="G13" s="283">
        <f>C13*LoU_Econ!$E48</f>
        <v>0</v>
      </c>
      <c r="H13" s="283">
        <f>D13*LoU_Econ!$E48</f>
        <v>0</v>
      </c>
      <c r="I13" s="283">
        <f t="shared" si="4"/>
        <v>0</v>
      </c>
      <c r="J13" s="17"/>
      <c r="K13" s="17"/>
      <c r="L13" s="17"/>
    </row>
    <row r="14" spans="1:91">
      <c r="A14" s="151" t="s">
        <v>334</v>
      </c>
      <c r="B14" s="281">
        <f t="shared" si="0"/>
        <v>0</v>
      </c>
      <c r="C14" s="281">
        <f t="shared" si="1"/>
        <v>0</v>
      </c>
      <c r="D14" s="281">
        <f t="shared" si="2"/>
        <v>3846.4142172268962</v>
      </c>
      <c r="E14" s="282">
        <f t="shared" si="3"/>
        <v>3846.4142172268962</v>
      </c>
      <c r="F14" s="283">
        <f>B14*LoU_Econ!$E49</f>
        <v>0</v>
      </c>
      <c r="G14" s="283">
        <f>C14*LoU_Econ!$E49</f>
        <v>0</v>
      </c>
      <c r="H14" s="283">
        <f>D14*LoU_Econ!$E49</f>
        <v>19232071.086134482</v>
      </c>
      <c r="I14" s="283">
        <f t="shared" si="4"/>
        <v>19232071.086134482</v>
      </c>
      <c r="J14" s="17"/>
      <c r="K14" s="17"/>
      <c r="L14" s="17"/>
    </row>
    <row r="15" spans="1:91">
      <c r="A15" s="152" t="s">
        <v>335</v>
      </c>
      <c r="B15" s="281">
        <f t="shared" si="0"/>
        <v>0</v>
      </c>
      <c r="C15" s="281">
        <f t="shared" si="1"/>
        <v>11199.52022842288</v>
      </c>
      <c r="D15" s="281">
        <f t="shared" si="2"/>
        <v>0</v>
      </c>
      <c r="E15" s="282">
        <f t="shared" si="3"/>
        <v>11199.52022842288</v>
      </c>
      <c r="F15" s="283">
        <f>B15*LoU_Econ!$E50</f>
        <v>0</v>
      </c>
      <c r="G15" s="283">
        <f>C15*LoU_Econ!$E50</f>
        <v>3945926.959097622</v>
      </c>
      <c r="H15" s="283">
        <f>D15*LoU_Econ!$E50</f>
        <v>0</v>
      </c>
      <c r="I15" s="283">
        <f t="shared" si="4"/>
        <v>3945926.959097622</v>
      </c>
      <c r="J15" s="17"/>
      <c r="K15" s="17"/>
      <c r="L15" s="17"/>
    </row>
    <row r="16" spans="1:91">
      <c r="A16" s="284" t="s">
        <v>19</v>
      </c>
      <c r="B16" s="285">
        <f>SUM(B5:B15)</f>
        <v>539401.99999999988</v>
      </c>
      <c r="C16" s="285">
        <f t="shared" ref="C16:H16" si="5">SUM(C5:C15)</f>
        <v>1643208.0000000002</v>
      </c>
      <c r="D16" s="285">
        <f t="shared" si="5"/>
        <v>1537780.9999999998</v>
      </c>
      <c r="E16" s="285">
        <f>SUM(E5:E15)</f>
        <v>3720391</v>
      </c>
      <c r="F16" s="286">
        <f>SUM(F5:F15)</f>
        <v>385629357.283512</v>
      </c>
      <c r="G16" s="286">
        <f t="shared" si="5"/>
        <v>940534181.39387858</v>
      </c>
      <c r="H16" s="286">
        <f t="shared" si="5"/>
        <v>680277095.45237994</v>
      </c>
      <c r="I16" s="286">
        <f t="shared" ref="I16" si="6">SUM(I5:I15)</f>
        <v>2006440634.1297708</v>
      </c>
      <c r="J16" s="17"/>
      <c r="K16" s="17"/>
      <c r="L16" s="17"/>
    </row>
    <row r="17" spans="1:1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>
      <c r="A18" s="505" t="s">
        <v>341</v>
      </c>
      <c r="B18" s="510"/>
      <c r="C18" s="510"/>
      <c r="D18" s="510"/>
      <c r="E18" s="510"/>
      <c r="F18" s="510"/>
      <c r="G18" s="510"/>
      <c r="H18" s="510"/>
      <c r="I18" s="510"/>
      <c r="J18" s="510"/>
      <c r="K18" s="510"/>
      <c r="L18" s="506"/>
    </row>
    <row r="19" spans="1:12">
      <c r="A19" s="568" t="s">
        <v>323</v>
      </c>
      <c r="B19" s="568" t="s">
        <v>120</v>
      </c>
      <c r="C19" s="612" t="s">
        <v>342</v>
      </c>
      <c r="D19" s="612"/>
      <c r="E19" s="612"/>
      <c r="F19" s="612" t="s">
        <v>343</v>
      </c>
      <c r="G19" s="612"/>
      <c r="H19" s="612"/>
      <c r="I19" s="612" t="s">
        <v>344</v>
      </c>
      <c r="J19" s="612"/>
      <c r="K19" s="612" t="s">
        <v>345</v>
      </c>
      <c r="L19" s="612"/>
    </row>
    <row r="20" spans="1:12">
      <c r="A20" s="568"/>
      <c r="B20" s="568"/>
      <c r="C20" s="57" t="s">
        <v>346</v>
      </c>
      <c r="D20" s="57" t="s">
        <v>294</v>
      </c>
      <c r="E20" s="57" t="s">
        <v>295</v>
      </c>
      <c r="F20" s="57" t="s">
        <v>346</v>
      </c>
      <c r="G20" s="57" t="s">
        <v>294</v>
      </c>
      <c r="H20" s="57" t="s">
        <v>295</v>
      </c>
      <c r="I20" s="57" t="s">
        <v>294</v>
      </c>
      <c r="J20" s="57" t="s">
        <v>295</v>
      </c>
      <c r="K20" s="57" t="s">
        <v>294</v>
      </c>
      <c r="L20" s="57" t="s">
        <v>295</v>
      </c>
    </row>
    <row r="21" spans="1:12">
      <c r="A21" s="161" t="s">
        <v>347</v>
      </c>
      <c r="B21" s="149" t="s">
        <v>331</v>
      </c>
      <c r="C21" s="138">
        <v>1.84E-2</v>
      </c>
      <c r="D21" s="281">
        <f>C21*$D$44</f>
        <v>12112.801144000001</v>
      </c>
      <c r="E21" s="281">
        <f>D21*$B$141</f>
        <v>4760330.8495920002</v>
      </c>
      <c r="F21" s="140" t="s">
        <v>348</v>
      </c>
      <c r="G21" s="141" t="s">
        <v>348</v>
      </c>
      <c r="H21" s="141" t="s">
        <v>348</v>
      </c>
      <c r="I21" s="141" t="s">
        <v>348</v>
      </c>
      <c r="J21" s="141" t="s">
        <v>348</v>
      </c>
      <c r="K21" s="412">
        <f t="shared" ref="K21:K43" si="7">(SUM(D21,G21,I21)/SUM($D$21:$D$43,$G$21:$G$43,$I$21:$I$43))*$B$151</f>
        <v>4567.1397883508125</v>
      </c>
      <c r="L21" s="405">
        <f t="shared" ref="L21:L43" si="8">K21*$B$141</f>
        <v>1794885.9368218693</v>
      </c>
    </row>
    <row r="22" spans="1:12">
      <c r="A22" s="158" t="s">
        <v>349</v>
      </c>
      <c r="B22" s="148" t="s">
        <v>330</v>
      </c>
      <c r="C22" s="141" t="s">
        <v>348</v>
      </c>
      <c r="D22" s="353" t="s">
        <v>348</v>
      </c>
      <c r="E22" s="353" t="s">
        <v>348</v>
      </c>
      <c r="F22" s="139"/>
      <c r="G22" s="281"/>
      <c r="H22" s="281">
        <f t="shared" ref="H22:H30" si="9">G22*$B$141</f>
        <v>0</v>
      </c>
      <c r="I22" s="354">
        <v>3125.22</v>
      </c>
      <c r="J22" s="281">
        <f>I22*$B$141</f>
        <v>1228211.46</v>
      </c>
      <c r="K22" s="412">
        <f t="shared" si="7"/>
        <v>1178.3662952660561</v>
      </c>
      <c r="L22" s="406">
        <f t="shared" si="8"/>
        <v>463097.95403956005</v>
      </c>
    </row>
    <row r="23" spans="1:12">
      <c r="A23" s="161" t="s">
        <v>350</v>
      </c>
      <c r="B23" s="149" t="s">
        <v>331</v>
      </c>
      <c r="C23" s="138">
        <v>5.0000000000000001E-3</v>
      </c>
      <c r="D23" s="281">
        <f>C23*$D$44</f>
        <v>3291.52205</v>
      </c>
      <c r="E23" s="281">
        <f>D23*$B$141</f>
        <v>1293568.1656500001</v>
      </c>
      <c r="F23" s="142">
        <v>1.11E-2</v>
      </c>
      <c r="G23" s="281">
        <f>F23*$G$44</f>
        <v>3513.674364</v>
      </c>
      <c r="H23" s="281">
        <f t="shared" si="9"/>
        <v>1380874.0250520001</v>
      </c>
      <c r="I23" s="354">
        <v>3149.6</v>
      </c>
      <c r="J23" s="281">
        <f>I23*$B$141</f>
        <v>1237792.8</v>
      </c>
      <c r="K23" s="412">
        <f t="shared" si="7"/>
        <v>3753.4626587865819</v>
      </c>
      <c r="L23" s="405">
        <f t="shared" si="8"/>
        <v>1475110.8249031266</v>
      </c>
    </row>
    <row r="24" spans="1:12">
      <c r="A24" s="153" t="s">
        <v>351</v>
      </c>
      <c r="B24" s="144" t="s">
        <v>325</v>
      </c>
      <c r="C24" s="140" t="s">
        <v>348</v>
      </c>
      <c r="D24" s="353" t="s">
        <v>348</v>
      </c>
      <c r="E24" s="353" t="s">
        <v>348</v>
      </c>
      <c r="F24" s="142">
        <v>5.1999999999999998E-3</v>
      </c>
      <c r="G24" s="281">
        <f>F24*$G$44</f>
        <v>1646.0456479999998</v>
      </c>
      <c r="H24" s="281">
        <f t="shared" si="9"/>
        <v>646895.93966399995</v>
      </c>
      <c r="I24" s="353" t="s">
        <v>348</v>
      </c>
      <c r="J24" s="353" t="s">
        <v>348</v>
      </c>
      <c r="K24" s="412">
        <f t="shared" si="7"/>
        <v>620.64261462315437</v>
      </c>
      <c r="L24" s="406">
        <f t="shared" si="8"/>
        <v>243912.54754689967</v>
      </c>
    </row>
    <row r="25" spans="1:12">
      <c r="A25" s="158" t="s">
        <v>352</v>
      </c>
      <c r="B25" s="148" t="s">
        <v>330</v>
      </c>
      <c r="C25" s="138">
        <v>8.77E-2</v>
      </c>
      <c r="D25" s="281">
        <f>C25*$D$44</f>
        <v>57733.296757000004</v>
      </c>
      <c r="E25" s="281">
        <f t="shared" ref="E25:E33" si="10">D25*$B$141</f>
        <v>22689185.625501003</v>
      </c>
      <c r="F25" s="142">
        <v>5.4999999999999997E-3</v>
      </c>
      <c r="G25" s="281">
        <f>F25*$G$44</f>
        <v>1741.0098199999998</v>
      </c>
      <c r="H25" s="281">
        <f t="shared" si="9"/>
        <v>684216.85925999994</v>
      </c>
      <c r="I25" s="354">
        <v>6286.79</v>
      </c>
      <c r="J25" s="281">
        <f t="shared" ref="J25:J30" si="11">I25*$B$141</f>
        <v>2470708.4700000002</v>
      </c>
      <c r="K25" s="412">
        <f t="shared" si="7"/>
        <v>24795.265532049845</v>
      </c>
      <c r="L25" s="405">
        <f t="shared" si="8"/>
        <v>9744539.3540955894</v>
      </c>
    </row>
    <row r="26" spans="1:12">
      <c r="A26" s="158" t="s">
        <v>353</v>
      </c>
      <c r="B26" s="148" t="s">
        <v>330</v>
      </c>
      <c r="C26" s="139"/>
      <c r="D26" s="281"/>
      <c r="E26" s="281">
        <f t="shared" si="10"/>
        <v>0</v>
      </c>
      <c r="F26" s="139"/>
      <c r="G26" s="281"/>
      <c r="H26" s="281">
        <f t="shared" si="9"/>
        <v>0</v>
      </c>
      <c r="I26" s="356">
        <v>1506.91</v>
      </c>
      <c r="J26" s="281">
        <f t="shared" si="11"/>
        <v>592215.63</v>
      </c>
      <c r="K26" s="412">
        <f t="shared" si="7"/>
        <v>568.18142530745763</v>
      </c>
      <c r="L26" s="405">
        <f t="shared" si="8"/>
        <v>223295.30014583084</v>
      </c>
    </row>
    <row r="27" spans="1:12">
      <c r="A27" s="161" t="s">
        <v>354</v>
      </c>
      <c r="B27" s="149" t="s">
        <v>331</v>
      </c>
      <c r="C27" s="138">
        <v>0.1288</v>
      </c>
      <c r="D27" s="281">
        <f>C27*$D$44</f>
        <v>84789.608007999996</v>
      </c>
      <c r="E27" s="281">
        <f t="shared" si="10"/>
        <v>33322315.947143998</v>
      </c>
      <c r="F27" s="142">
        <v>0.13719999999999999</v>
      </c>
      <c r="G27" s="281">
        <f>F27*$G$44</f>
        <v>43430.281327999997</v>
      </c>
      <c r="H27" s="281">
        <f t="shared" si="9"/>
        <v>17068100.561903998</v>
      </c>
      <c r="I27" s="356">
        <f>56848.32+10676.58+5872+7453.16+12996.3</f>
        <v>93846.36</v>
      </c>
      <c r="J27" s="281">
        <f t="shared" si="11"/>
        <v>36881619.479999997</v>
      </c>
      <c r="K27" s="412">
        <f t="shared" si="7"/>
        <v>83730.22812272115</v>
      </c>
      <c r="L27" s="405">
        <f t="shared" si="8"/>
        <v>32905979.652229413</v>
      </c>
    </row>
    <row r="28" spans="1:12">
      <c r="A28" s="158" t="s">
        <v>355</v>
      </c>
      <c r="B28" s="148" t="s">
        <v>330</v>
      </c>
      <c r="C28" s="139"/>
      <c r="D28" s="281"/>
      <c r="E28" s="281">
        <f t="shared" si="10"/>
        <v>0</v>
      </c>
      <c r="F28" s="139"/>
      <c r="G28" s="281"/>
      <c r="H28" s="281">
        <f t="shared" si="9"/>
        <v>0</v>
      </c>
      <c r="I28" s="356">
        <v>4696.75</v>
      </c>
      <c r="J28" s="281">
        <f t="shared" si="11"/>
        <v>1845822.75</v>
      </c>
      <c r="K28" s="412">
        <f t="shared" si="7"/>
        <v>1770.9127348765362</v>
      </c>
      <c r="L28" s="405">
        <f t="shared" si="8"/>
        <v>695968.70480647869</v>
      </c>
    </row>
    <row r="29" spans="1:12">
      <c r="A29" s="161" t="s">
        <v>356</v>
      </c>
      <c r="B29" s="149" t="s">
        <v>331</v>
      </c>
      <c r="C29" s="138">
        <v>7.9200000000000007E-2</v>
      </c>
      <c r="D29" s="281">
        <f>C29*$D$44</f>
        <v>52137.709272000007</v>
      </c>
      <c r="E29" s="281">
        <f t="shared" si="10"/>
        <v>20490119.743896004</v>
      </c>
      <c r="F29" s="142">
        <v>6.4299999999999996E-2</v>
      </c>
      <c r="G29" s="281">
        <f>F29*$G$44</f>
        <v>20353.987531999999</v>
      </c>
      <c r="H29" s="281">
        <f t="shared" si="9"/>
        <v>7999117.1000759993</v>
      </c>
      <c r="I29" s="356">
        <v>36376.58</v>
      </c>
      <c r="J29" s="281">
        <f t="shared" si="11"/>
        <v>14295995.940000001</v>
      </c>
      <c r="K29" s="412">
        <f t="shared" si="7"/>
        <v>41048.856723535937</v>
      </c>
      <c r="L29" s="405">
        <f t="shared" si="8"/>
        <v>16132200.692349624</v>
      </c>
    </row>
    <row r="30" spans="1:12">
      <c r="A30" s="155" t="s">
        <v>326</v>
      </c>
      <c r="B30" s="154" t="s">
        <v>326</v>
      </c>
      <c r="C30" s="138">
        <v>0.10929999999999999</v>
      </c>
      <c r="D30" s="281">
        <f>C30*$D$44</f>
        <v>71952.672013000003</v>
      </c>
      <c r="E30" s="281">
        <f t="shared" si="10"/>
        <v>28277400.101109002</v>
      </c>
      <c r="F30" s="142">
        <v>0.27210000000000001</v>
      </c>
      <c r="G30" s="281">
        <f>F30*$G$44</f>
        <v>86132.504004000002</v>
      </c>
      <c r="H30" s="281">
        <f t="shared" si="9"/>
        <v>33850074.073572002</v>
      </c>
      <c r="I30" s="356">
        <f>36204.72+3101.17+7695.31+4573.01+4456.7</f>
        <v>56030.909999999996</v>
      </c>
      <c r="J30" s="281">
        <f t="shared" si="11"/>
        <v>22020147.629999999</v>
      </c>
      <c r="K30" s="412">
        <f t="shared" si="7"/>
        <v>80732.613715744956</v>
      </c>
      <c r="L30" s="405">
        <f t="shared" si="8"/>
        <v>31727917.190287769</v>
      </c>
    </row>
    <row r="31" spans="1:12">
      <c r="A31" s="161" t="s">
        <v>357</v>
      </c>
      <c r="B31" s="149" t="s">
        <v>331</v>
      </c>
      <c r="C31" s="138">
        <v>1.4E-2</v>
      </c>
      <c r="D31" s="281">
        <f>C31*$D$44</f>
        <v>9216.2617399999999</v>
      </c>
      <c r="E31" s="281">
        <f t="shared" si="10"/>
        <v>3621990.8638200001</v>
      </c>
      <c r="F31" s="140" t="s">
        <v>348</v>
      </c>
      <c r="G31" s="353" t="s">
        <v>348</v>
      </c>
      <c r="H31" s="353" t="s">
        <v>348</v>
      </c>
      <c r="I31" s="353" t="s">
        <v>348</v>
      </c>
      <c r="J31" s="353" t="s">
        <v>348</v>
      </c>
      <c r="K31" s="412">
        <f t="shared" si="7"/>
        <v>3474.997665049531</v>
      </c>
      <c r="L31" s="406">
        <f t="shared" si="8"/>
        <v>1365674.0823644656</v>
      </c>
    </row>
    <row r="32" spans="1:12">
      <c r="A32" s="160" t="s">
        <v>358</v>
      </c>
      <c r="B32" s="159" t="s">
        <v>332</v>
      </c>
      <c r="C32" s="138">
        <v>7.6799999999999993E-2</v>
      </c>
      <c r="D32" s="281">
        <f>C32*$D$44</f>
        <v>50557.778687999999</v>
      </c>
      <c r="E32" s="281">
        <f t="shared" si="10"/>
        <v>19869207.024383999</v>
      </c>
      <c r="F32" s="142">
        <v>8.7099999999999997E-2</v>
      </c>
      <c r="G32" s="281">
        <f>F32*$G$44</f>
        <v>27571.264604</v>
      </c>
      <c r="H32" s="281">
        <f t="shared" ref="H32:H43" si="12">G32*$B$141</f>
        <v>10835506.989372</v>
      </c>
      <c r="I32" s="356">
        <f>26778.37+3034.52+4483.6+4418.14+7572.83</f>
        <v>46287.46</v>
      </c>
      <c r="J32" s="281">
        <f t="shared" ref="J32:J38" si="13">I32*$B$141</f>
        <v>18190971.780000001</v>
      </c>
      <c r="K32" s="412">
        <f t="shared" si="7"/>
        <v>46911.325939982184</v>
      </c>
      <c r="L32" s="405">
        <f t="shared" si="8"/>
        <v>18436151.094412997</v>
      </c>
    </row>
    <row r="33" spans="1:12">
      <c r="A33" s="149" t="s">
        <v>359</v>
      </c>
      <c r="B33" s="149" t="s">
        <v>331</v>
      </c>
      <c r="C33" s="138">
        <v>0.1477</v>
      </c>
      <c r="D33" s="281">
        <f>C33*$D$44</f>
        <v>97231.561356999999</v>
      </c>
      <c r="E33" s="281">
        <f t="shared" si="10"/>
        <v>38212003.613301001</v>
      </c>
      <c r="F33" s="142">
        <v>0.1057</v>
      </c>
      <c r="G33" s="281">
        <f>F33*$G$44</f>
        <v>33459.043268000001</v>
      </c>
      <c r="H33" s="281">
        <f t="shared" si="12"/>
        <v>13149404.004324</v>
      </c>
      <c r="I33" s="356">
        <f>45381.56+3018.44+7723.41+7588.04+7809.72</f>
        <v>71521.17</v>
      </c>
      <c r="J33" s="281">
        <f t="shared" si="13"/>
        <v>28107819.809999999</v>
      </c>
      <c r="K33" s="412">
        <f t="shared" si="7"/>
        <v>76244.085128098479</v>
      </c>
      <c r="L33" s="405">
        <f t="shared" si="8"/>
        <v>29963925.455342703</v>
      </c>
    </row>
    <row r="34" spans="1:12">
      <c r="A34" s="153" t="s">
        <v>360</v>
      </c>
      <c r="B34" s="144" t="s">
        <v>325</v>
      </c>
      <c r="C34" s="137" t="s">
        <v>348</v>
      </c>
      <c r="D34" s="354" t="s">
        <v>348</v>
      </c>
      <c r="E34" s="354" t="s">
        <v>348</v>
      </c>
      <c r="F34" s="139"/>
      <c r="G34" s="281"/>
      <c r="H34" s="281">
        <f t="shared" si="12"/>
        <v>0</v>
      </c>
      <c r="I34" s="356">
        <f>1361+3885.36</f>
        <v>5246.3600000000006</v>
      </c>
      <c r="J34" s="281">
        <f t="shared" si="13"/>
        <v>2061819.4800000002</v>
      </c>
      <c r="K34" s="412">
        <f t="shared" si="7"/>
        <v>1978.1435536800695</v>
      </c>
      <c r="L34" s="405">
        <f t="shared" si="8"/>
        <v>777410.41659626737</v>
      </c>
    </row>
    <row r="35" spans="1:12">
      <c r="A35" s="161" t="s">
        <v>361</v>
      </c>
      <c r="B35" s="149" t="s">
        <v>331</v>
      </c>
      <c r="C35" s="137" t="s">
        <v>348</v>
      </c>
      <c r="D35" s="354" t="s">
        <v>348</v>
      </c>
      <c r="E35" s="354" t="s">
        <v>348</v>
      </c>
      <c r="F35" s="139"/>
      <c r="G35" s="281"/>
      <c r="H35" s="281">
        <f t="shared" si="12"/>
        <v>0</v>
      </c>
      <c r="I35" s="356">
        <v>1407.19</v>
      </c>
      <c r="J35" s="281">
        <f t="shared" si="13"/>
        <v>553025.67000000004</v>
      </c>
      <c r="K35" s="412">
        <f t="shared" si="7"/>
        <v>530.58193248329451</v>
      </c>
      <c r="L35" s="405">
        <f t="shared" si="8"/>
        <v>208518.69946593474</v>
      </c>
    </row>
    <row r="36" spans="1:12">
      <c r="A36" s="153" t="s">
        <v>362</v>
      </c>
      <c r="B36" s="144" t="s">
        <v>325</v>
      </c>
      <c r="C36" s="138">
        <v>9.7999999999999997E-3</v>
      </c>
      <c r="D36" s="281">
        <f>C36*$D$44</f>
        <v>6451.3832179999999</v>
      </c>
      <c r="E36" s="281">
        <f>D36*$B$141</f>
        <v>2535393.6046739998</v>
      </c>
      <c r="F36" s="142">
        <v>6.9099999999999995E-2</v>
      </c>
      <c r="G36" s="281">
        <f>F36*$G$44</f>
        <v>21873.414283999999</v>
      </c>
      <c r="H36" s="281">
        <f t="shared" si="12"/>
        <v>8596251.8136119992</v>
      </c>
      <c r="I36" s="356">
        <v>8029.92</v>
      </c>
      <c r="J36" s="281">
        <f t="shared" si="13"/>
        <v>3155758.56</v>
      </c>
      <c r="K36" s="412">
        <f t="shared" si="7"/>
        <v>13707.570596078289</v>
      </c>
      <c r="L36" s="405">
        <f t="shared" si="8"/>
        <v>5387075.2442587679</v>
      </c>
    </row>
    <row r="37" spans="1:12">
      <c r="A37" s="153" t="s">
        <v>363</v>
      </c>
      <c r="B37" s="144" t="s">
        <v>325</v>
      </c>
      <c r="C37" s="138">
        <v>1.06E-2</v>
      </c>
      <c r="D37" s="281">
        <f>C37*$D$44</f>
        <v>6978.0267460000005</v>
      </c>
      <c r="E37" s="281">
        <f>D37*$B$141</f>
        <v>2742364.5111780004</v>
      </c>
      <c r="F37" s="142">
        <v>1.09E-2</v>
      </c>
      <c r="G37" s="281">
        <f>F37*$G$44</f>
        <v>3450.364916</v>
      </c>
      <c r="H37" s="281">
        <f t="shared" si="12"/>
        <v>1355993.4119879999</v>
      </c>
      <c r="I37" s="356">
        <f>11002.43+1417.01</f>
        <v>12419.44</v>
      </c>
      <c r="J37" s="281">
        <f t="shared" si="13"/>
        <v>4880839.92</v>
      </c>
      <c r="K37" s="412">
        <f t="shared" si="7"/>
        <v>8614.7902388994826</v>
      </c>
      <c r="L37" s="405">
        <f t="shared" si="8"/>
        <v>3385612.5638874965</v>
      </c>
    </row>
    <row r="38" spans="1:12">
      <c r="A38" s="153" t="s">
        <v>364</v>
      </c>
      <c r="B38" s="144" t="s">
        <v>325</v>
      </c>
      <c r="C38" s="138">
        <v>0.30309999999999998</v>
      </c>
      <c r="D38" s="281">
        <f>C38*$D$44</f>
        <v>199532.06667100001</v>
      </c>
      <c r="E38" s="281">
        <f>D38*$B$141</f>
        <v>78416102.201702997</v>
      </c>
      <c r="F38" s="142">
        <v>0.19950000000000001</v>
      </c>
      <c r="G38" s="281">
        <f>F38*$G$44</f>
        <v>63151.174380000004</v>
      </c>
      <c r="H38" s="281">
        <f t="shared" si="12"/>
        <v>24818411.531340003</v>
      </c>
      <c r="I38" s="356">
        <f>59518.08+6326.51+8823.88+15685.08</f>
        <v>90353.55</v>
      </c>
      <c r="J38" s="281">
        <f t="shared" si="13"/>
        <v>35508945.149999999</v>
      </c>
      <c r="K38" s="412">
        <f t="shared" si="7"/>
        <v>133112.75864207436</v>
      </c>
      <c r="L38" s="405">
        <f t="shared" si="8"/>
        <v>52313314.146335222</v>
      </c>
    </row>
    <row r="39" spans="1:12">
      <c r="A39" s="153" t="s">
        <v>365</v>
      </c>
      <c r="B39" s="144" t="s">
        <v>325</v>
      </c>
      <c r="C39" s="140" t="s">
        <v>348</v>
      </c>
      <c r="D39" s="353" t="s">
        <v>348</v>
      </c>
      <c r="E39" s="353" t="s">
        <v>348</v>
      </c>
      <c r="F39" s="142">
        <v>5.1999999999999998E-3</v>
      </c>
      <c r="G39" s="281">
        <f>F39*$G$44</f>
        <v>1646.0456479999998</v>
      </c>
      <c r="H39" s="281">
        <f t="shared" si="12"/>
        <v>646895.93966399995</v>
      </c>
      <c r="I39" s="353" t="s">
        <v>348</v>
      </c>
      <c r="J39" s="353" t="s">
        <v>348</v>
      </c>
      <c r="K39" s="412">
        <f t="shared" si="7"/>
        <v>620.64261462315437</v>
      </c>
      <c r="L39" s="406">
        <f t="shared" si="8"/>
        <v>243912.54754689967</v>
      </c>
    </row>
    <row r="40" spans="1:12">
      <c r="A40" s="160" t="s">
        <v>366</v>
      </c>
      <c r="B40" s="159" t="s">
        <v>332</v>
      </c>
      <c r="C40" s="139"/>
      <c r="D40" s="281"/>
      <c r="E40" s="281">
        <f>D40*$B$141</f>
        <v>0</v>
      </c>
      <c r="F40" s="139"/>
      <c r="G40" s="281"/>
      <c r="H40" s="281">
        <f t="shared" si="12"/>
        <v>0</v>
      </c>
      <c r="I40" s="356">
        <v>9298.86</v>
      </c>
      <c r="J40" s="281">
        <f>I40*$B$141</f>
        <v>3654451.9800000004</v>
      </c>
      <c r="K40" s="412">
        <f t="shared" si="7"/>
        <v>3506.1413943331086</v>
      </c>
      <c r="L40" s="405">
        <f t="shared" si="8"/>
        <v>1377913.5679729118</v>
      </c>
    </row>
    <row r="41" spans="1:12">
      <c r="A41" s="160" t="s">
        <v>333</v>
      </c>
      <c r="B41" s="159" t="s">
        <v>332</v>
      </c>
      <c r="C41" s="139"/>
      <c r="D41" s="281"/>
      <c r="E41" s="281">
        <f>D41*$B$141</f>
        <v>0</v>
      </c>
      <c r="F41" s="139"/>
      <c r="G41" s="281"/>
      <c r="H41" s="281">
        <f t="shared" si="12"/>
        <v>0</v>
      </c>
      <c r="I41" s="356">
        <v>1547.72</v>
      </c>
      <c r="J41" s="281">
        <f>I41*$B$141</f>
        <v>608253.96</v>
      </c>
      <c r="K41" s="412">
        <f t="shared" si="7"/>
        <v>583.5688631549715</v>
      </c>
      <c r="L41" s="405">
        <f t="shared" si="8"/>
        <v>229342.56321990379</v>
      </c>
    </row>
    <row r="42" spans="1:12">
      <c r="A42" s="153" t="s">
        <v>367</v>
      </c>
      <c r="B42" s="144" t="s">
        <v>325</v>
      </c>
      <c r="C42" s="138">
        <v>7.1999999999999998E-3</v>
      </c>
      <c r="D42" s="281">
        <f>C42*$D$44</f>
        <v>4739.7917520000001</v>
      </c>
      <c r="E42" s="281">
        <f>D42*$B$141</f>
        <v>1862738.1585359999</v>
      </c>
      <c r="F42" s="142">
        <v>1.7600000000000001E-2</v>
      </c>
      <c r="G42" s="281">
        <f>F42*$G$44</f>
        <v>5571.2314240000005</v>
      </c>
      <c r="H42" s="281">
        <f t="shared" si="12"/>
        <v>2189493.9496320002</v>
      </c>
      <c r="I42" s="356">
        <v>3122.46</v>
      </c>
      <c r="J42" s="281">
        <f>I42*$B$141</f>
        <v>1227126.78</v>
      </c>
      <c r="K42" s="412">
        <f t="shared" si="7"/>
        <v>5065.1038335291641</v>
      </c>
      <c r="L42" s="405">
        <f t="shared" si="8"/>
        <v>1990585.8065769614</v>
      </c>
    </row>
    <row r="43" spans="1:12">
      <c r="A43" s="161" t="s">
        <v>368</v>
      </c>
      <c r="B43" s="149" t="s">
        <v>331</v>
      </c>
      <c r="C43" s="138">
        <v>2.3999999999999998E-3</v>
      </c>
      <c r="D43" s="281">
        <f>C43*$D$44</f>
        <v>1579.930584</v>
      </c>
      <c r="E43" s="281">
        <f>D43*$B$141</f>
        <v>620912.71951199998</v>
      </c>
      <c r="F43" s="142">
        <v>9.2999999999999992E-3</v>
      </c>
      <c r="G43" s="281">
        <f>F43*$G$44</f>
        <v>2943.8893319999997</v>
      </c>
      <c r="H43" s="281">
        <f t="shared" si="12"/>
        <v>1156948.5074759999</v>
      </c>
      <c r="I43" s="356">
        <v>1540.67</v>
      </c>
      <c r="J43" s="281">
        <f>I43*$B$141</f>
        <v>605483.31000000006</v>
      </c>
      <c r="K43" s="412">
        <f t="shared" si="7"/>
        <v>2286.6199867514206</v>
      </c>
      <c r="L43" s="405">
        <f t="shared" si="8"/>
        <v>898641.65479330823</v>
      </c>
    </row>
    <row r="44" spans="1:12">
      <c r="A44" s="613" t="s">
        <v>369</v>
      </c>
      <c r="B44" s="614"/>
      <c r="C44" s="287"/>
      <c r="D44" s="355">
        <v>658304.41</v>
      </c>
      <c r="E44" s="355">
        <f>SUM(E21:E43)</f>
        <v>258713633.12999997</v>
      </c>
      <c r="F44" s="287"/>
      <c r="G44" s="355">
        <v>316547.24</v>
      </c>
      <c r="H44" s="355">
        <f>SUM(H21:H43)</f>
        <v>124378184.70693603</v>
      </c>
      <c r="I44" s="355">
        <f>SUM(I22:I43)</f>
        <v>455793.91999999993</v>
      </c>
      <c r="J44" s="355">
        <f>SUM(J21:J43)</f>
        <v>179127010.56</v>
      </c>
      <c r="K44" s="355">
        <f>SUM(K21:K43)</f>
        <v>539402</v>
      </c>
      <c r="L44" s="355">
        <f>SUM(L21:L43)</f>
        <v>211984986</v>
      </c>
    </row>
    <row r="45" spans="1:12">
      <c r="A45" s="615" t="s">
        <v>370</v>
      </c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7"/>
    </row>
    <row r="46" spans="1:12">
      <c r="A46" s="499" t="s">
        <v>371</v>
      </c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9"/>
    </row>
    <row r="47" spans="1:1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>
      <c r="A48" s="505" t="s">
        <v>372</v>
      </c>
      <c r="B48" s="510"/>
      <c r="C48" s="510"/>
      <c r="D48" s="510"/>
      <c r="E48" s="510"/>
      <c r="F48" s="510"/>
      <c r="G48" s="510"/>
      <c r="H48" s="510"/>
      <c r="I48" s="510"/>
      <c r="J48" s="506"/>
      <c r="K48" s="17"/>
      <c r="L48" s="17"/>
    </row>
    <row r="49" spans="1:13">
      <c r="A49" s="612" t="s">
        <v>323</v>
      </c>
      <c r="B49" s="612"/>
      <c r="C49" s="612" t="s">
        <v>342</v>
      </c>
      <c r="D49" s="612"/>
      <c r="E49" s="612" t="s">
        <v>343</v>
      </c>
      <c r="F49" s="612"/>
      <c r="G49" s="612" t="s">
        <v>344</v>
      </c>
      <c r="H49" s="612"/>
      <c r="I49" s="612" t="s">
        <v>345</v>
      </c>
      <c r="J49" s="612"/>
      <c r="K49" s="17"/>
      <c r="L49" s="17"/>
    </row>
    <row r="50" spans="1:13">
      <c r="A50" s="612"/>
      <c r="B50" s="612"/>
      <c r="C50" s="57" t="s">
        <v>294</v>
      </c>
      <c r="D50" s="57" t="s">
        <v>295</v>
      </c>
      <c r="E50" s="57" t="s">
        <v>294</v>
      </c>
      <c r="F50" s="57" t="s">
        <v>295</v>
      </c>
      <c r="G50" s="57" t="s">
        <v>294</v>
      </c>
      <c r="H50" s="57" t="s">
        <v>295</v>
      </c>
      <c r="I50" s="57" t="s">
        <v>294</v>
      </c>
      <c r="J50" s="57" t="s">
        <v>295</v>
      </c>
      <c r="K50" s="17"/>
      <c r="L50" s="17"/>
    </row>
    <row r="51" spans="1:13">
      <c r="A51" s="367" t="s">
        <v>373</v>
      </c>
      <c r="B51" s="368"/>
      <c r="C51" s="368"/>
      <c r="D51" s="368"/>
      <c r="E51" s="368"/>
      <c r="F51" s="368"/>
      <c r="G51" s="368"/>
      <c r="H51" s="368"/>
      <c r="I51" s="368"/>
      <c r="J51" s="407"/>
      <c r="K51" s="17"/>
      <c r="L51" s="17"/>
    </row>
    <row r="52" spans="1:13">
      <c r="A52" s="153" t="s">
        <v>374</v>
      </c>
      <c r="B52" s="144" t="s">
        <v>325</v>
      </c>
      <c r="C52" s="143" t="s">
        <v>348</v>
      </c>
      <c r="D52" s="143" t="s">
        <v>348</v>
      </c>
      <c r="E52" s="143">
        <v>55768</v>
      </c>
      <c r="F52" s="143">
        <f>E52*$B$143</f>
        <v>24816760</v>
      </c>
      <c r="G52" s="143">
        <v>64750</v>
      </c>
      <c r="H52" s="143">
        <f>G52*$B$143</f>
        <v>28813750</v>
      </c>
      <c r="I52" s="409">
        <f t="shared" ref="I52:I72" si="14">((SUM(C52,E52,G52))/(SUM($C$52:$C$72,$E$52:$E$72,$G$52:$G$72)))*$B$149</f>
        <v>41296.103851823849</v>
      </c>
      <c r="J52" s="143">
        <f t="shared" ref="J52:J59" si="15">I52*$B$143</f>
        <v>18376766.214061614</v>
      </c>
      <c r="K52" s="17"/>
      <c r="L52" s="17"/>
    </row>
    <row r="53" spans="1:13">
      <c r="A53" s="153" t="s">
        <v>375</v>
      </c>
      <c r="B53" s="144" t="s">
        <v>325</v>
      </c>
      <c r="C53" s="143">
        <v>134775</v>
      </c>
      <c r="D53" s="143">
        <f>C53*$B$143</f>
        <v>59974875</v>
      </c>
      <c r="E53" s="143" t="s">
        <v>348</v>
      </c>
      <c r="F53" s="143" t="s">
        <v>348</v>
      </c>
      <c r="G53" s="143" t="s">
        <v>348</v>
      </c>
      <c r="H53" s="143" t="s">
        <v>348</v>
      </c>
      <c r="I53" s="409">
        <f t="shared" si="14"/>
        <v>46181.33719966776</v>
      </c>
      <c r="J53" s="143">
        <f t="shared" si="15"/>
        <v>20550695.053852152</v>
      </c>
      <c r="K53" s="17"/>
      <c r="L53" s="17"/>
    </row>
    <row r="54" spans="1:13">
      <c r="A54" s="137" t="s">
        <v>376</v>
      </c>
      <c r="B54" s="145" t="s">
        <v>327</v>
      </c>
      <c r="C54" s="143" t="s">
        <v>348</v>
      </c>
      <c r="D54" s="143" t="s">
        <v>348</v>
      </c>
      <c r="E54" s="143" t="s">
        <v>348</v>
      </c>
      <c r="F54" s="143" t="s">
        <v>348</v>
      </c>
      <c r="G54" s="143">
        <v>6770</v>
      </c>
      <c r="H54" s="143">
        <f>G54*$B$143</f>
        <v>3012650</v>
      </c>
      <c r="I54" s="409">
        <f t="shared" si="14"/>
        <v>2319.7748309534463</v>
      </c>
      <c r="J54" s="143">
        <f t="shared" si="15"/>
        <v>1032299.7997742837</v>
      </c>
      <c r="K54" s="17"/>
      <c r="L54" s="17"/>
    </row>
    <row r="55" spans="1:13">
      <c r="A55" s="153" t="s">
        <v>377</v>
      </c>
      <c r="B55" s="144" t="s">
        <v>325</v>
      </c>
      <c r="C55" s="143">
        <v>29262</v>
      </c>
      <c r="D55" s="143">
        <f>C55*$B$143</f>
        <v>13021590</v>
      </c>
      <c r="E55" s="143">
        <v>7374</v>
      </c>
      <c r="F55" s="143">
        <f>E55*$B$143</f>
        <v>3281430</v>
      </c>
      <c r="G55" s="143" t="s">
        <v>348</v>
      </c>
      <c r="H55" s="143" t="s">
        <v>348</v>
      </c>
      <c r="I55" s="409">
        <f t="shared" si="14"/>
        <v>12553.511182689876</v>
      </c>
      <c r="J55" s="143">
        <f t="shared" si="15"/>
        <v>5586312.4762969948</v>
      </c>
      <c r="K55" s="17"/>
      <c r="L55" s="17"/>
    </row>
    <row r="56" spans="1:13">
      <c r="A56" s="137" t="s">
        <v>378</v>
      </c>
      <c r="B56" s="151" t="s">
        <v>334</v>
      </c>
      <c r="C56" s="143" t="s">
        <v>348</v>
      </c>
      <c r="D56" s="143" t="s">
        <v>348</v>
      </c>
      <c r="E56" s="143">
        <v>6163</v>
      </c>
      <c r="F56" s="143">
        <f>E56*$B$143</f>
        <v>2742535</v>
      </c>
      <c r="G56" s="143">
        <v>1246</v>
      </c>
      <c r="H56" s="143">
        <f>G56*$B$143</f>
        <v>554470</v>
      </c>
      <c r="I56" s="409">
        <f t="shared" si="14"/>
        <v>2538.7314213492</v>
      </c>
      <c r="J56" s="143">
        <f t="shared" si="15"/>
        <v>1129735.4825003941</v>
      </c>
      <c r="K56" s="17"/>
      <c r="L56" s="17"/>
    </row>
    <row r="57" spans="1:13">
      <c r="A57" s="137" t="s">
        <v>379</v>
      </c>
      <c r="B57" s="151" t="s">
        <v>334</v>
      </c>
      <c r="C57" s="143">
        <v>382</v>
      </c>
      <c r="D57" s="143">
        <f>C57*$B$143</f>
        <v>169990</v>
      </c>
      <c r="E57" s="143" t="s">
        <v>348</v>
      </c>
      <c r="F57" s="143" t="s">
        <v>348</v>
      </c>
      <c r="G57" s="143" t="s">
        <v>348</v>
      </c>
      <c r="H57" s="143" t="s">
        <v>348</v>
      </c>
      <c r="I57" s="409">
        <f t="shared" si="14"/>
        <v>130.89423713799357</v>
      </c>
      <c r="J57" s="143">
        <f t="shared" si="15"/>
        <v>58247.935526407142</v>
      </c>
      <c r="K57" s="17"/>
      <c r="L57" s="17"/>
    </row>
    <row r="58" spans="1:13">
      <c r="A58" s="155" t="s">
        <v>380</v>
      </c>
      <c r="B58" s="154" t="s">
        <v>326</v>
      </c>
      <c r="C58" s="143">
        <v>426966</v>
      </c>
      <c r="D58" s="143">
        <f>C58*$B$143</f>
        <v>189999870</v>
      </c>
      <c r="E58" s="143">
        <v>303440</v>
      </c>
      <c r="F58" s="143">
        <f>E58*$B$143</f>
        <v>135030800</v>
      </c>
      <c r="G58" s="143">
        <v>441754</v>
      </c>
      <c r="H58" s="143">
        <f>G58*$B$143</f>
        <v>196580530</v>
      </c>
      <c r="I58" s="409">
        <f t="shared" si="14"/>
        <v>401646.56807243603</v>
      </c>
      <c r="J58" s="143">
        <f t="shared" si="15"/>
        <v>178732722.79223403</v>
      </c>
      <c r="K58" s="17"/>
      <c r="L58" s="17"/>
    </row>
    <row r="59" spans="1:13">
      <c r="A59" s="160" t="s">
        <v>381</v>
      </c>
      <c r="B59" s="159" t="s">
        <v>332</v>
      </c>
      <c r="C59" s="143">
        <v>64408</v>
      </c>
      <c r="D59" s="143">
        <f>C59*$B$143</f>
        <v>28661560</v>
      </c>
      <c r="E59" s="143">
        <v>54789</v>
      </c>
      <c r="F59" s="143">
        <f>E59*$B$143</f>
        <v>24381105</v>
      </c>
      <c r="G59" s="143">
        <v>105671</v>
      </c>
      <c r="H59" s="143">
        <f>G59*$B$143</f>
        <v>47023595</v>
      </c>
      <c r="I59" s="409">
        <f t="shared" si="14"/>
        <v>77052.160515042764</v>
      </c>
      <c r="J59" s="143">
        <f t="shared" si="15"/>
        <v>34288211.429194033</v>
      </c>
      <c r="K59" s="17"/>
      <c r="L59" s="411"/>
    </row>
    <row r="60" spans="1:13">
      <c r="A60" s="160" t="s">
        <v>382</v>
      </c>
      <c r="B60" s="159" t="s">
        <v>332</v>
      </c>
      <c r="C60" s="143" t="s">
        <v>348</v>
      </c>
      <c r="D60" s="143" t="s">
        <v>348</v>
      </c>
      <c r="E60" s="143" t="s">
        <v>348</v>
      </c>
      <c r="F60" s="143" t="s">
        <v>348</v>
      </c>
      <c r="G60" s="143" t="s">
        <v>348</v>
      </c>
      <c r="H60" s="143" t="s">
        <v>348</v>
      </c>
      <c r="I60" s="409">
        <f t="shared" si="14"/>
        <v>0</v>
      </c>
      <c r="J60" s="143" t="s">
        <v>348</v>
      </c>
      <c r="K60" s="17"/>
      <c r="L60" s="411"/>
      <c r="M60" s="410"/>
    </row>
    <row r="61" spans="1:13">
      <c r="A61" s="160" t="s">
        <v>383</v>
      </c>
      <c r="B61" s="159" t="s">
        <v>332</v>
      </c>
      <c r="C61" s="143" t="s">
        <v>348</v>
      </c>
      <c r="D61" s="143" t="s">
        <v>348</v>
      </c>
      <c r="E61" s="143" t="s">
        <v>348</v>
      </c>
      <c r="F61" s="143" t="s">
        <v>348</v>
      </c>
      <c r="G61" s="143" t="s">
        <v>348</v>
      </c>
      <c r="H61" s="143" t="s">
        <v>348</v>
      </c>
      <c r="I61" s="409">
        <f t="shared" si="14"/>
        <v>0</v>
      </c>
      <c r="J61" s="143" t="s">
        <v>348</v>
      </c>
      <c r="K61" s="17"/>
      <c r="L61" s="17"/>
    </row>
    <row r="62" spans="1:13">
      <c r="A62" s="155" t="s">
        <v>384</v>
      </c>
      <c r="B62" s="154" t="s">
        <v>326</v>
      </c>
      <c r="C62" s="143">
        <v>74604</v>
      </c>
      <c r="D62" s="143">
        <f>C62*$B$143</f>
        <v>33198780</v>
      </c>
      <c r="E62" s="143">
        <v>41806</v>
      </c>
      <c r="F62" s="143">
        <f>E62*$B$143</f>
        <v>18603670</v>
      </c>
      <c r="G62" s="143">
        <v>91123</v>
      </c>
      <c r="H62" s="143">
        <f>G62*$B$143</f>
        <v>40549735</v>
      </c>
      <c r="I62" s="409">
        <f t="shared" si="14"/>
        <v>71112.234858532</v>
      </c>
      <c r="J62" s="143">
        <f>I62*$B$143</f>
        <v>31644944.512046739</v>
      </c>
      <c r="K62" s="17"/>
      <c r="L62" s="17"/>
    </row>
    <row r="63" spans="1:13">
      <c r="A63" s="160" t="s">
        <v>385</v>
      </c>
      <c r="B63" s="159" t="s">
        <v>332</v>
      </c>
      <c r="C63" s="143" t="s">
        <v>348</v>
      </c>
      <c r="D63" s="143" t="s">
        <v>348</v>
      </c>
      <c r="E63" s="143" t="s">
        <v>348</v>
      </c>
      <c r="F63" s="143" t="s">
        <v>348</v>
      </c>
      <c r="G63" s="143" t="s">
        <v>348</v>
      </c>
      <c r="H63" s="143" t="s">
        <v>348</v>
      </c>
      <c r="I63" s="409">
        <f t="shared" si="14"/>
        <v>0</v>
      </c>
      <c r="J63" s="143" t="s">
        <v>348</v>
      </c>
      <c r="K63" s="17"/>
      <c r="L63" s="17"/>
    </row>
    <row r="64" spans="1:13">
      <c r="A64" s="160" t="s">
        <v>386</v>
      </c>
      <c r="B64" s="159" t="s">
        <v>332</v>
      </c>
      <c r="C64" s="143" t="s">
        <v>348</v>
      </c>
      <c r="D64" s="143" t="s">
        <v>348</v>
      </c>
      <c r="E64" s="143" t="s">
        <v>348</v>
      </c>
      <c r="F64" s="143" t="s">
        <v>348</v>
      </c>
      <c r="G64" s="143" t="s">
        <v>348</v>
      </c>
      <c r="H64" s="143" t="s">
        <v>348</v>
      </c>
      <c r="I64" s="409">
        <f t="shared" si="14"/>
        <v>0</v>
      </c>
      <c r="J64" s="143" t="s">
        <v>348</v>
      </c>
      <c r="K64" s="17"/>
      <c r="L64" s="17"/>
    </row>
    <row r="65" spans="1:12">
      <c r="A65" s="156" t="s">
        <v>387</v>
      </c>
      <c r="B65" s="145" t="s">
        <v>327</v>
      </c>
      <c r="C65" s="143">
        <v>1440</v>
      </c>
      <c r="D65" s="143">
        <f>C65*$B$143</f>
        <v>640800</v>
      </c>
      <c r="E65" s="143">
        <v>2825</v>
      </c>
      <c r="F65" s="143">
        <f>E65*$B$143</f>
        <v>1257125</v>
      </c>
      <c r="G65" s="143">
        <v>1362</v>
      </c>
      <c r="H65" s="143">
        <f>G65*$B$143</f>
        <v>606090</v>
      </c>
      <c r="I65" s="409">
        <f t="shared" si="14"/>
        <v>1928.1200847525911</v>
      </c>
      <c r="J65" s="143">
        <f>I65*$B$143</f>
        <v>858013.43771490303</v>
      </c>
      <c r="K65" s="17"/>
      <c r="L65" s="17"/>
    </row>
    <row r="66" spans="1:12">
      <c r="A66" s="161" t="s">
        <v>388</v>
      </c>
      <c r="B66" s="149" t="s">
        <v>331</v>
      </c>
      <c r="C66" s="143">
        <v>2934</v>
      </c>
      <c r="D66" s="143">
        <f>C66*$B$143</f>
        <v>1305630</v>
      </c>
      <c r="E66" s="143" t="s">
        <v>348</v>
      </c>
      <c r="F66" s="143" t="s">
        <v>348</v>
      </c>
      <c r="G66" s="143">
        <v>14551</v>
      </c>
      <c r="H66" s="143">
        <f>G66*$B$143</f>
        <v>6475195</v>
      </c>
      <c r="I66" s="409">
        <f t="shared" si="14"/>
        <v>5991.3239171670621</v>
      </c>
      <c r="J66" s="143">
        <f>I66*$B$143</f>
        <v>2666139.1431393428</v>
      </c>
      <c r="K66" s="17"/>
      <c r="L66" s="17"/>
    </row>
    <row r="67" spans="1:12">
      <c r="A67" s="155" t="s">
        <v>389</v>
      </c>
      <c r="B67" s="154" t="s">
        <v>326</v>
      </c>
      <c r="C67" s="143" t="s">
        <v>348</v>
      </c>
      <c r="D67" s="143" t="s">
        <v>348</v>
      </c>
      <c r="E67" s="143" t="s">
        <v>348</v>
      </c>
      <c r="F67" s="143" t="s">
        <v>348</v>
      </c>
      <c r="G67" s="143" t="s">
        <v>348</v>
      </c>
      <c r="H67" s="143" t="s">
        <v>348</v>
      </c>
      <c r="I67" s="409">
        <f t="shared" si="14"/>
        <v>0</v>
      </c>
      <c r="J67" s="143" t="s">
        <v>348</v>
      </c>
      <c r="K67" s="17"/>
      <c r="L67" s="17"/>
    </row>
    <row r="68" spans="1:12">
      <c r="A68" s="160" t="s">
        <v>390</v>
      </c>
      <c r="B68" s="159" t="s">
        <v>332</v>
      </c>
      <c r="C68" s="143">
        <v>9791</v>
      </c>
      <c r="D68" s="143">
        <f>C68*$B$143</f>
        <v>4356995</v>
      </c>
      <c r="E68" s="143">
        <v>13754</v>
      </c>
      <c r="F68" s="143">
        <f>E68*$B$143</f>
        <v>6120530</v>
      </c>
      <c r="G68" s="143">
        <v>12450</v>
      </c>
      <c r="H68" s="143">
        <f>G68*$B$143</f>
        <v>5540250</v>
      </c>
      <c r="I68" s="409">
        <f t="shared" si="14"/>
        <v>12333.869282152038</v>
      </c>
      <c r="J68" s="143">
        <f>I68*$B$143</f>
        <v>5488571.8305576574</v>
      </c>
      <c r="K68" s="17"/>
      <c r="L68" s="17"/>
    </row>
    <row r="69" spans="1:12">
      <c r="A69" s="157" t="s">
        <v>391</v>
      </c>
      <c r="B69" s="146" t="s">
        <v>328</v>
      </c>
      <c r="C69" s="143" t="s">
        <v>348</v>
      </c>
      <c r="D69" s="143" t="s">
        <v>348</v>
      </c>
      <c r="E69" s="143" t="s">
        <v>348</v>
      </c>
      <c r="F69" s="143" t="s">
        <v>348</v>
      </c>
      <c r="G69" s="143" t="s">
        <v>348</v>
      </c>
      <c r="H69" s="143" t="s">
        <v>348</v>
      </c>
      <c r="I69" s="409">
        <f t="shared" si="14"/>
        <v>0</v>
      </c>
      <c r="J69" s="143" t="s">
        <v>348</v>
      </c>
      <c r="K69" s="17"/>
      <c r="L69" s="17"/>
    </row>
    <row r="70" spans="1:12">
      <c r="A70" s="156" t="s">
        <v>392</v>
      </c>
      <c r="B70" s="145" t="s">
        <v>327</v>
      </c>
      <c r="C70" s="143" t="s">
        <v>348</v>
      </c>
      <c r="D70" s="143" t="s">
        <v>348</v>
      </c>
      <c r="E70" s="143" t="s">
        <v>348</v>
      </c>
      <c r="F70" s="143" t="s">
        <v>348</v>
      </c>
      <c r="G70" s="143" t="s">
        <v>348</v>
      </c>
      <c r="H70" s="143" t="s">
        <v>348</v>
      </c>
      <c r="I70" s="409">
        <f t="shared" si="14"/>
        <v>0</v>
      </c>
      <c r="J70" s="143" t="s">
        <v>348</v>
      </c>
      <c r="K70" s="17"/>
      <c r="L70" s="17"/>
    </row>
    <row r="71" spans="1:12">
      <c r="A71" s="137" t="s">
        <v>393</v>
      </c>
      <c r="B71" s="145" t="s">
        <v>327</v>
      </c>
      <c r="C71" s="143">
        <v>3115</v>
      </c>
      <c r="D71" s="143">
        <f>C71*$B$143</f>
        <v>1386175</v>
      </c>
      <c r="E71" s="143" t="s">
        <v>348</v>
      </c>
      <c r="F71" s="143" t="s">
        <v>348</v>
      </c>
      <c r="G71" s="143" t="s">
        <v>348</v>
      </c>
      <c r="H71" s="143" t="s">
        <v>348</v>
      </c>
      <c r="I71" s="409">
        <f t="shared" si="14"/>
        <v>1067.3705462954188</v>
      </c>
      <c r="J71" s="143">
        <f>I71*$B$143</f>
        <v>474979.89310146135</v>
      </c>
      <c r="K71" s="17"/>
      <c r="L71" s="17"/>
    </row>
    <row r="72" spans="1:12">
      <c r="A72" s="156" t="s">
        <v>394</v>
      </c>
      <c r="B72" s="145" t="s">
        <v>327</v>
      </c>
      <c r="C72" s="143" t="s">
        <v>348</v>
      </c>
      <c r="D72" s="143" t="s">
        <v>348</v>
      </c>
      <c r="E72" s="143" t="s">
        <v>348</v>
      </c>
      <c r="F72" s="143" t="s">
        <v>348</v>
      </c>
      <c r="G72" s="143" t="s">
        <v>348</v>
      </c>
      <c r="H72" s="143" t="s">
        <v>348</v>
      </c>
      <c r="I72" s="409">
        <f t="shared" si="14"/>
        <v>0</v>
      </c>
      <c r="J72" s="143" t="s">
        <v>348</v>
      </c>
      <c r="K72" s="17"/>
      <c r="L72" s="17"/>
    </row>
    <row r="73" spans="1:12">
      <c r="A73" s="367" t="s">
        <v>395</v>
      </c>
      <c r="B73" s="368"/>
      <c r="C73" s="368"/>
      <c r="D73" s="368"/>
      <c r="E73" s="368"/>
      <c r="F73" s="368"/>
      <c r="G73" s="368"/>
      <c r="H73" s="368"/>
      <c r="I73" s="368"/>
      <c r="J73" s="407"/>
      <c r="K73" s="17"/>
      <c r="L73" s="17"/>
    </row>
    <row r="74" spans="1:12">
      <c r="A74" s="153" t="s">
        <v>396</v>
      </c>
      <c r="B74" s="144" t="s">
        <v>325</v>
      </c>
      <c r="C74" s="143" t="s">
        <v>348</v>
      </c>
      <c r="D74" s="143" t="s">
        <v>348</v>
      </c>
      <c r="E74" s="143" t="s">
        <v>348</v>
      </c>
      <c r="F74" s="143" t="s">
        <v>348</v>
      </c>
      <c r="G74" s="143" t="s">
        <v>348</v>
      </c>
      <c r="H74" s="143" t="s">
        <v>348</v>
      </c>
      <c r="I74" s="409">
        <f t="shared" ref="I74:I94" si="16">(SUM(C74,E74,G74)/SUM($C$74:$C$94,$E$74:$E$94,$G$74:$G$94))*$B$150</f>
        <v>0</v>
      </c>
      <c r="J74" s="143" t="s">
        <v>348</v>
      </c>
      <c r="K74" s="17"/>
      <c r="L74" s="17"/>
    </row>
    <row r="75" spans="1:12">
      <c r="A75" s="137" t="s">
        <v>378</v>
      </c>
      <c r="B75" s="151" t="s">
        <v>334</v>
      </c>
      <c r="C75" s="143" t="s">
        <v>348</v>
      </c>
      <c r="D75" s="143" t="s">
        <v>348</v>
      </c>
      <c r="E75" s="143" t="s">
        <v>348</v>
      </c>
      <c r="F75" s="143" t="s">
        <v>348</v>
      </c>
      <c r="G75" s="143">
        <v>2333</v>
      </c>
      <c r="H75" s="143">
        <f>G75*$B$143</f>
        <v>1038185</v>
      </c>
      <c r="I75" s="409">
        <f t="shared" si="16"/>
        <v>571.61101551940988</v>
      </c>
      <c r="J75" s="143">
        <f>I75*$B$143</f>
        <v>254366.90190613738</v>
      </c>
      <c r="K75" s="17"/>
      <c r="L75" s="17"/>
    </row>
    <row r="76" spans="1:12">
      <c r="A76" s="153" t="s">
        <v>397</v>
      </c>
      <c r="B76" s="144" t="s">
        <v>325</v>
      </c>
      <c r="C76" s="143" t="s">
        <v>348</v>
      </c>
      <c r="D76" s="143" t="s">
        <v>348</v>
      </c>
      <c r="E76" s="143" t="s">
        <v>348</v>
      </c>
      <c r="F76" s="143" t="s">
        <v>348</v>
      </c>
      <c r="G76" s="143" t="s">
        <v>348</v>
      </c>
      <c r="H76" s="143" t="s">
        <v>348</v>
      </c>
      <c r="I76" s="409">
        <f t="shared" si="16"/>
        <v>0</v>
      </c>
      <c r="J76" s="143" t="s">
        <v>348</v>
      </c>
      <c r="K76" s="17"/>
      <c r="L76" s="17"/>
    </row>
    <row r="77" spans="1:12">
      <c r="A77" s="137" t="s">
        <v>379</v>
      </c>
      <c r="B77" s="151" t="s">
        <v>334</v>
      </c>
      <c r="C77" s="143">
        <v>2308</v>
      </c>
      <c r="D77" s="143">
        <f>C77*$B$143</f>
        <v>1027060</v>
      </c>
      <c r="E77" s="143">
        <v>162</v>
      </c>
      <c r="F77" s="143">
        <f>E77*$B$143</f>
        <v>72090</v>
      </c>
      <c r="G77" s="143" t="s">
        <v>348</v>
      </c>
      <c r="H77" s="143" t="s">
        <v>348</v>
      </c>
      <c r="I77" s="409">
        <f t="shared" si="16"/>
        <v>605.17754322029248</v>
      </c>
      <c r="J77" s="143">
        <f>I77*$B$143</f>
        <v>269304.00673303014</v>
      </c>
      <c r="K77" s="17"/>
      <c r="L77" s="17"/>
    </row>
    <row r="78" spans="1:12">
      <c r="A78" s="137" t="s">
        <v>376</v>
      </c>
      <c r="B78" s="145" t="s">
        <v>327</v>
      </c>
      <c r="C78" s="143" t="s">
        <v>348</v>
      </c>
      <c r="D78" s="143" t="s">
        <v>348</v>
      </c>
      <c r="E78" s="143">
        <v>315</v>
      </c>
      <c r="F78" s="143">
        <f>E78*$B$143</f>
        <v>140175</v>
      </c>
      <c r="G78" s="143">
        <v>3536</v>
      </c>
      <c r="H78" s="143">
        <f>G78*$B$143</f>
        <v>1573520</v>
      </c>
      <c r="I78" s="409">
        <f t="shared" si="16"/>
        <v>943.53794289123334</v>
      </c>
      <c r="J78" s="143">
        <f>I78*$B$143</f>
        <v>419874.38458659884</v>
      </c>
      <c r="K78" s="17"/>
      <c r="L78" s="17"/>
    </row>
    <row r="79" spans="1:12">
      <c r="A79" s="161" t="s">
        <v>398</v>
      </c>
      <c r="B79" s="149" t="s">
        <v>331</v>
      </c>
      <c r="C79" s="143" t="s">
        <v>348</v>
      </c>
      <c r="D79" s="143" t="s">
        <v>348</v>
      </c>
      <c r="E79" s="143" t="s">
        <v>348</v>
      </c>
      <c r="F79" s="143" t="s">
        <v>348</v>
      </c>
      <c r="G79" s="143" t="s">
        <v>348</v>
      </c>
      <c r="H79" s="143" t="s">
        <v>348</v>
      </c>
      <c r="I79" s="409">
        <f t="shared" si="16"/>
        <v>0</v>
      </c>
      <c r="J79" s="143" t="s">
        <v>348</v>
      </c>
      <c r="K79" s="17"/>
      <c r="L79" s="17"/>
    </row>
    <row r="80" spans="1:12">
      <c r="A80" s="161" t="s">
        <v>399</v>
      </c>
      <c r="B80" s="149" t="s">
        <v>331</v>
      </c>
      <c r="C80" s="143">
        <v>26139</v>
      </c>
      <c r="D80" s="143">
        <f>C80*$B$143</f>
        <v>11631855</v>
      </c>
      <c r="E80" s="143">
        <v>17393</v>
      </c>
      <c r="F80" s="143">
        <f>E80*$B$143</f>
        <v>7739885</v>
      </c>
      <c r="G80" s="143">
        <v>7771</v>
      </c>
      <c r="H80" s="143">
        <f>G80*$B$143</f>
        <v>3458095</v>
      </c>
      <c r="I80" s="409">
        <f t="shared" si="16"/>
        <v>12569.807084951686</v>
      </c>
      <c r="J80" s="143">
        <f>I80*$B$143</f>
        <v>5593564.1528035002</v>
      </c>
      <c r="K80" s="17"/>
      <c r="L80" s="17"/>
    </row>
    <row r="81" spans="1:12">
      <c r="A81" s="160" t="s">
        <v>400</v>
      </c>
      <c r="B81" s="159" t="s">
        <v>332</v>
      </c>
      <c r="C81" s="143" t="s">
        <v>348</v>
      </c>
      <c r="D81" s="143" t="s">
        <v>348</v>
      </c>
      <c r="E81" s="143" t="s">
        <v>348</v>
      </c>
      <c r="F81" s="143" t="s">
        <v>348</v>
      </c>
      <c r="G81" s="143" t="s">
        <v>348</v>
      </c>
      <c r="H81" s="143" t="s">
        <v>348</v>
      </c>
      <c r="I81" s="409">
        <f t="shared" si="16"/>
        <v>0</v>
      </c>
      <c r="J81" s="143" t="s">
        <v>348</v>
      </c>
      <c r="K81" s="17"/>
      <c r="L81" s="17"/>
    </row>
    <row r="82" spans="1:12">
      <c r="A82" s="160" t="s">
        <v>401</v>
      </c>
      <c r="B82" s="159" t="s">
        <v>332</v>
      </c>
      <c r="C82" s="143">
        <v>249184</v>
      </c>
      <c r="D82" s="143">
        <f>C82*$B$143</f>
        <v>110886880</v>
      </c>
      <c r="E82" s="143">
        <v>204536</v>
      </c>
      <c r="F82" s="143">
        <f>E82*$B$143</f>
        <v>91018520</v>
      </c>
      <c r="G82" s="143">
        <v>349471</v>
      </c>
      <c r="H82" s="143">
        <f>G82*$B$143</f>
        <v>155514595</v>
      </c>
      <c r="I82" s="409">
        <f t="shared" si="16"/>
        <v>196790.75146423074</v>
      </c>
      <c r="J82" s="143">
        <f>I82*$B$143</f>
        <v>87571884.401582673</v>
      </c>
      <c r="K82" s="17"/>
      <c r="L82" s="17"/>
    </row>
    <row r="83" spans="1:12">
      <c r="A83" s="160" t="s">
        <v>402</v>
      </c>
      <c r="B83" s="159" t="s">
        <v>332</v>
      </c>
      <c r="C83" s="143">
        <v>118588</v>
      </c>
      <c r="D83" s="143">
        <f>C83*$B$143</f>
        <v>52771660</v>
      </c>
      <c r="E83" s="143">
        <v>12072</v>
      </c>
      <c r="F83" s="143">
        <f>E83*$B$143</f>
        <v>5372040</v>
      </c>
      <c r="G83" s="143" t="s">
        <v>348</v>
      </c>
      <c r="H83" s="143" t="s">
        <v>348</v>
      </c>
      <c r="I83" s="409">
        <f t="shared" si="16"/>
        <v>32013.15700290017</v>
      </c>
      <c r="J83" s="143">
        <f>I83*$B$143</f>
        <v>14245854.866290577</v>
      </c>
      <c r="K83" s="17"/>
      <c r="L83" s="17"/>
    </row>
    <row r="84" spans="1:12">
      <c r="A84" s="160" t="s">
        <v>403</v>
      </c>
      <c r="B84" s="159" t="s">
        <v>332</v>
      </c>
      <c r="C84" s="143" t="s">
        <v>348</v>
      </c>
      <c r="D84" s="143" t="s">
        <v>348</v>
      </c>
      <c r="E84" s="143">
        <v>21884</v>
      </c>
      <c r="F84" s="143">
        <f>E84*$B$143</f>
        <v>9738380</v>
      </c>
      <c r="G84" s="143" t="s">
        <v>348</v>
      </c>
      <c r="H84" s="143" t="s">
        <v>348</v>
      </c>
      <c r="I84" s="409">
        <f t="shared" si="16"/>
        <v>5361.8240307015712</v>
      </c>
      <c r="J84" s="143">
        <f>I84*$B$143</f>
        <v>2386011.6936621992</v>
      </c>
      <c r="K84" s="17"/>
      <c r="L84" s="17"/>
    </row>
    <row r="85" spans="1:12">
      <c r="A85" s="160" t="s">
        <v>404</v>
      </c>
      <c r="B85" s="159" t="s">
        <v>332</v>
      </c>
      <c r="C85" s="143">
        <v>385004</v>
      </c>
      <c r="D85" s="143">
        <f>C85*$B$143</f>
        <v>171326780</v>
      </c>
      <c r="E85" s="143">
        <v>333850</v>
      </c>
      <c r="F85" s="143">
        <f>E85*$B$143</f>
        <v>148563250</v>
      </c>
      <c r="G85" s="143">
        <v>469337</v>
      </c>
      <c r="H85" s="143">
        <f>G85*$B$143</f>
        <v>208854965</v>
      </c>
      <c r="I85" s="409">
        <f t="shared" si="16"/>
        <v>291120.04463824397</v>
      </c>
      <c r="J85" s="143">
        <f>I85*$B$143</f>
        <v>129548419.86401856</v>
      </c>
      <c r="K85" s="17"/>
      <c r="L85" s="17"/>
    </row>
    <row r="86" spans="1:12">
      <c r="A86" s="160" t="s">
        <v>405</v>
      </c>
      <c r="B86" s="159" t="s">
        <v>332</v>
      </c>
      <c r="C86" s="143" t="s">
        <v>348</v>
      </c>
      <c r="D86" s="143" t="s">
        <v>348</v>
      </c>
      <c r="E86" s="143" t="s">
        <v>348</v>
      </c>
      <c r="F86" s="143" t="s">
        <v>348</v>
      </c>
      <c r="G86" s="143" t="s">
        <v>348</v>
      </c>
      <c r="H86" s="143" t="s">
        <v>348</v>
      </c>
      <c r="I86" s="409">
        <f t="shared" si="16"/>
        <v>0</v>
      </c>
      <c r="J86" s="143" t="s">
        <v>348</v>
      </c>
      <c r="K86" s="17"/>
      <c r="L86" s="17"/>
    </row>
    <row r="87" spans="1:12">
      <c r="A87" s="160" t="s">
        <v>406</v>
      </c>
      <c r="B87" s="159" t="s">
        <v>332</v>
      </c>
      <c r="C87" s="143" t="s">
        <v>348</v>
      </c>
      <c r="D87" s="143" t="s">
        <v>348</v>
      </c>
      <c r="E87" s="143" t="s">
        <v>348</v>
      </c>
      <c r="F87" s="143" t="s">
        <v>348</v>
      </c>
      <c r="G87" s="143" t="s">
        <v>348</v>
      </c>
      <c r="H87" s="143" t="s">
        <v>348</v>
      </c>
      <c r="I87" s="409">
        <f t="shared" si="16"/>
        <v>0</v>
      </c>
      <c r="J87" s="143" t="s">
        <v>348</v>
      </c>
      <c r="K87" s="17"/>
      <c r="L87" s="17"/>
    </row>
    <row r="88" spans="1:12">
      <c r="A88" s="155" t="s">
        <v>407</v>
      </c>
      <c r="B88" s="154" t="s">
        <v>326</v>
      </c>
      <c r="C88" s="143">
        <v>227478</v>
      </c>
      <c r="D88" s="143">
        <f>C88*$B$143</f>
        <v>101227710</v>
      </c>
      <c r="E88" s="143">
        <v>162659</v>
      </c>
      <c r="F88" s="143">
        <f>E88*$B$143</f>
        <v>72383255</v>
      </c>
      <c r="G88" s="143">
        <v>359220</v>
      </c>
      <c r="H88" s="143">
        <f>G88*$B$143</f>
        <v>159852900</v>
      </c>
      <c r="I88" s="409">
        <f t="shared" si="16"/>
        <v>183600.82115584158</v>
      </c>
      <c r="J88" s="143">
        <f>I88*$B$143</f>
        <v>81702365.414349496</v>
      </c>
      <c r="K88" s="17"/>
      <c r="L88" s="17"/>
    </row>
    <row r="89" spans="1:12">
      <c r="A89" s="155" t="s">
        <v>408</v>
      </c>
      <c r="B89" s="154" t="s">
        <v>326</v>
      </c>
      <c r="C89" s="143">
        <v>293830</v>
      </c>
      <c r="D89" s="143">
        <f>C89*$B$143</f>
        <v>130754350</v>
      </c>
      <c r="E89" s="143">
        <v>93503</v>
      </c>
      <c r="F89" s="143">
        <f>E89*$B$143</f>
        <v>41608835</v>
      </c>
      <c r="G89" s="143">
        <v>106114</v>
      </c>
      <c r="H89" s="143">
        <f>G89*$B$143</f>
        <v>47220730</v>
      </c>
      <c r="I89" s="409">
        <f t="shared" si="16"/>
        <v>120900.01747749945</v>
      </c>
      <c r="J89" s="143">
        <f>I89*$B$143</f>
        <v>53800507.777487256</v>
      </c>
      <c r="K89" s="17"/>
      <c r="L89" s="17"/>
    </row>
    <row r="90" spans="1:12">
      <c r="A90" s="137" t="s">
        <v>409</v>
      </c>
      <c r="B90" s="145" t="s">
        <v>327</v>
      </c>
      <c r="C90" s="143" t="s">
        <v>348</v>
      </c>
      <c r="D90" s="143" t="s">
        <v>348</v>
      </c>
      <c r="E90" s="143" t="s">
        <v>348</v>
      </c>
      <c r="F90" s="143" t="s">
        <v>348</v>
      </c>
      <c r="G90" s="143" t="s">
        <v>348</v>
      </c>
      <c r="H90" s="143" t="s">
        <v>348</v>
      </c>
      <c r="I90" s="409">
        <f t="shared" si="16"/>
        <v>0</v>
      </c>
      <c r="J90" s="143" t="s">
        <v>348</v>
      </c>
      <c r="K90" s="17"/>
      <c r="L90" s="17"/>
    </row>
    <row r="91" spans="1:12">
      <c r="A91" s="157" t="s">
        <v>410</v>
      </c>
      <c r="B91" s="146" t="s">
        <v>328</v>
      </c>
      <c r="C91" s="143" t="s">
        <v>348</v>
      </c>
      <c r="D91" s="143" t="s">
        <v>348</v>
      </c>
      <c r="E91" s="143" t="s">
        <v>348</v>
      </c>
      <c r="F91" s="143" t="s">
        <v>348</v>
      </c>
      <c r="G91" s="143">
        <v>8803</v>
      </c>
      <c r="H91" s="143">
        <f>G91*$B$143</f>
        <v>3917335</v>
      </c>
      <c r="I91" s="409">
        <f t="shared" si="16"/>
        <v>2156.8331631450342</v>
      </c>
      <c r="J91" s="143">
        <f>I91*$B$143</f>
        <v>959790.75759954017</v>
      </c>
      <c r="K91" s="17"/>
      <c r="L91" s="17"/>
    </row>
    <row r="92" spans="1:12">
      <c r="A92" s="161" t="s">
        <v>411</v>
      </c>
      <c r="B92" s="149" t="s">
        <v>331</v>
      </c>
      <c r="C92" s="143">
        <v>29331</v>
      </c>
      <c r="D92" s="143">
        <f>C92*$B$143</f>
        <v>13052295</v>
      </c>
      <c r="E92" s="143">
        <v>26298</v>
      </c>
      <c r="F92" s="143">
        <f>E92*$B$143</f>
        <v>11702610</v>
      </c>
      <c r="G92" s="143" t="s">
        <v>348</v>
      </c>
      <c r="H92" s="143" t="s">
        <v>348</v>
      </c>
      <c r="I92" s="409">
        <f t="shared" si="16"/>
        <v>13629.725324616053</v>
      </c>
      <c r="J92" s="143">
        <f>I92*$B$143</f>
        <v>6065227.769454143</v>
      </c>
      <c r="K92" s="17"/>
      <c r="L92" s="17"/>
    </row>
    <row r="93" spans="1:12">
      <c r="A93" s="157" t="s">
        <v>412</v>
      </c>
      <c r="B93" s="146" t="s">
        <v>328</v>
      </c>
      <c r="C93" s="143" t="s">
        <v>348</v>
      </c>
      <c r="D93" s="143" t="s">
        <v>348</v>
      </c>
      <c r="E93" s="143" t="s">
        <v>348</v>
      </c>
      <c r="F93" s="143" t="s">
        <v>348</v>
      </c>
      <c r="G93" s="143" t="s">
        <v>348</v>
      </c>
      <c r="H93" s="143" t="s">
        <v>348</v>
      </c>
      <c r="I93" s="409">
        <f t="shared" si="16"/>
        <v>0</v>
      </c>
      <c r="J93" s="143" t="s">
        <v>348</v>
      </c>
      <c r="K93" s="17"/>
      <c r="L93" s="17"/>
    </row>
    <row r="94" spans="1:12">
      <c r="A94" s="161" t="s">
        <v>413</v>
      </c>
      <c r="B94" s="149" t="s">
        <v>331</v>
      </c>
      <c r="C94" s="143">
        <v>5574</v>
      </c>
      <c r="D94" s="143">
        <f>C94*$B$143</f>
        <v>2480430</v>
      </c>
      <c r="E94" s="143" t="s">
        <v>348</v>
      </c>
      <c r="F94" s="143" t="s">
        <v>348</v>
      </c>
      <c r="G94" s="143" t="s">
        <v>348</v>
      </c>
      <c r="H94" s="137" t="s">
        <v>348</v>
      </c>
      <c r="I94" s="409">
        <f t="shared" si="16"/>
        <v>1365.69215623883</v>
      </c>
      <c r="J94" s="143">
        <f>I94*$B$143</f>
        <v>607733.00952627929</v>
      </c>
      <c r="K94" s="17"/>
      <c r="L94" s="17"/>
    </row>
    <row r="95" spans="1:12">
      <c r="A95" s="613" t="s">
        <v>19</v>
      </c>
      <c r="B95" s="614"/>
      <c r="C95" s="288">
        <f>SUM(C52:C94)</f>
        <v>2085113</v>
      </c>
      <c r="D95" s="288">
        <f t="shared" ref="D95:H95" si="17">SUM(D52:D94)</f>
        <v>927875285</v>
      </c>
      <c r="E95" s="288">
        <f t="shared" si="17"/>
        <v>1358591</v>
      </c>
      <c r="F95" s="288">
        <f t="shared" si="17"/>
        <v>604572995</v>
      </c>
      <c r="G95" s="288">
        <f t="shared" si="17"/>
        <v>2046262</v>
      </c>
      <c r="H95" s="288">
        <f t="shared" si="17"/>
        <v>910586590</v>
      </c>
      <c r="I95" s="288">
        <f>SUM(I52:I94)</f>
        <v>1537780.9999999998</v>
      </c>
      <c r="J95" s="288">
        <f>SUM(J52:J94)</f>
        <v>684312545.00000012</v>
      </c>
      <c r="K95" s="17"/>
      <c r="L95" s="17"/>
    </row>
    <row r="96" spans="1:12">
      <c r="A96" s="532" t="s">
        <v>414</v>
      </c>
      <c r="B96" s="533"/>
      <c r="C96" s="533"/>
      <c r="D96" s="533"/>
      <c r="E96" s="533"/>
      <c r="F96" s="533"/>
      <c r="G96" s="533"/>
      <c r="H96" s="533"/>
      <c r="I96" s="533"/>
      <c r="J96" s="534"/>
      <c r="K96" s="17"/>
      <c r="L96" s="17"/>
    </row>
    <row r="97" spans="1:12">
      <c r="A97" s="499" t="s">
        <v>415</v>
      </c>
      <c r="B97" s="500"/>
      <c r="C97" s="500"/>
      <c r="D97" s="500"/>
      <c r="E97" s="500"/>
      <c r="F97" s="500"/>
      <c r="G97" s="500"/>
      <c r="H97" s="500"/>
      <c r="I97" s="500"/>
      <c r="J97" s="501"/>
      <c r="K97" s="17"/>
      <c r="L97" s="17"/>
    </row>
    <row r="98" spans="1:1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>
      <c r="A99" s="505" t="s">
        <v>416</v>
      </c>
      <c r="B99" s="510"/>
      <c r="C99" s="510"/>
      <c r="D99" s="510"/>
      <c r="E99" s="510"/>
      <c r="F99" s="510"/>
      <c r="G99" s="510"/>
      <c r="H99" s="510"/>
      <c r="I99" s="510"/>
      <c r="J99" s="506"/>
      <c r="K99" s="17"/>
      <c r="L99" s="17"/>
    </row>
    <row r="100" spans="1:12">
      <c r="A100" s="611" t="s">
        <v>323</v>
      </c>
      <c r="B100" s="611"/>
      <c r="C100" s="611" t="s">
        <v>342</v>
      </c>
      <c r="D100" s="611"/>
      <c r="E100" s="611" t="s">
        <v>343</v>
      </c>
      <c r="F100" s="611"/>
      <c r="G100" s="611" t="s">
        <v>344</v>
      </c>
      <c r="H100" s="611"/>
      <c r="I100" s="611" t="s">
        <v>345</v>
      </c>
      <c r="J100" s="611"/>
      <c r="K100" s="17"/>
      <c r="L100" s="17"/>
    </row>
    <row r="101" spans="1:12">
      <c r="A101" s="612"/>
      <c r="B101" s="612"/>
      <c r="C101" s="57" t="s">
        <v>294</v>
      </c>
      <c r="D101" s="57" t="s">
        <v>295</v>
      </c>
      <c r="E101" s="57" t="s">
        <v>294</v>
      </c>
      <c r="F101" s="57" t="s">
        <v>295</v>
      </c>
      <c r="G101" s="57" t="s">
        <v>294</v>
      </c>
      <c r="H101" s="57" t="s">
        <v>295</v>
      </c>
      <c r="I101" s="57" t="s">
        <v>294</v>
      </c>
      <c r="J101" s="57" t="s">
        <v>295</v>
      </c>
      <c r="K101" s="17"/>
      <c r="L101" s="17"/>
    </row>
    <row r="102" spans="1:12" ht="16.5">
      <c r="A102" s="369" t="s">
        <v>417</v>
      </c>
      <c r="B102" s="370"/>
      <c r="C102" s="370"/>
      <c r="D102" s="370"/>
      <c r="E102" s="370"/>
      <c r="F102" s="370"/>
      <c r="G102" s="370"/>
      <c r="H102" s="370"/>
      <c r="I102" s="370"/>
      <c r="J102" s="408"/>
      <c r="K102" s="17"/>
      <c r="L102" s="17"/>
    </row>
    <row r="103" spans="1:12">
      <c r="A103" s="149" t="s">
        <v>418</v>
      </c>
      <c r="B103" s="149" t="s">
        <v>331</v>
      </c>
      <c r="C103" s="65">
        <v>26388.12</v>
      </c>
      <c r="D103" s="65">
        <f>C103*$B$142</f>
        <v>11399667.84</v>
      </c>
      <c r="E103" s="65">
        <v>6129.79</v>
      </c>
      <c r="F103" s="65">
        <f>E103*$B$142</f>
        <v>2648069.2799999998</v>
      </c>
      <c r="G103" s="65">
        <v>41452.11</v>
      </c>
      <c r="H103" s="65">
        <f>G103*$B$142</f>
        <v>17907311.52</v>
      </c>
      <c r="I103" s="65">
        <f t="shared" ref="I103:I122" si="18">((C103+E103+G103)/($C$136+$E$136+$G$136))*$B$152</f>
        <v>30502.760223145691</v>
      </c>
      <c r="J103" s="65">
        <f>I103*$B$142</f>
        <v>13177192.416398939</v>
      </c>
      <c r="K103" s="17"/>
      <c r="L103" s="17"/>
    </row>
    <row r="104" spans="1:12">
      <c r="A104" s="148" t="s">
        <v>419</v>
      </c>
      <c r="B104" s="148" t="s">
        <v>330</v>
      </c>
      <c r="C104" s="65">
        <f>55511.952</f>
        <v>55511.951999999997</v>
      </c>
      <c r="D104" s="65">
        <f t="shared" ref="D104:F122" si="19">C104*$B$142</f>
        <v>23981163.263999999</v>
      </c>
      <c r="E104" s="65">
        <v>35401.182000000001</v>
      </c>
      <c r="F104" s="65">
        <f t="shared" si="19"/>
        <v>15293310.624</v>
      </c>
      <c r="G104" s="65">
        <v>37399.894</v>
      </c>
      <c r="H104" s="65">
        <f t="shared" ref="H104" si="20">G104*$B$142</f>
        <v>16156754.208000001</v>
      </c>
      <c r="I104" s="65">
        <f t="shared" si="18"/>
        <v>52911.997679462293</v>
      </c>
      <c r="J104" s="65">
        <f t="shared" ref="J104:J122" si="21">I104*$B$142</f>
        <v>22857982.997527711</v>
      </c>
      <c r="K104" s="17"/>
      <c r="L104" s="17"/>
    </row>
    <row r="105" spans="1:12">
      <c r="A105" s="148" t="s">
        <v>355</v>
      </c>
      <c r="B105" s="148" t="s">
        <v>330</v>
      </c>
      <c r="C105" s="65">
        <f>25190.57+9905.09</f>
        <v>35095.660000000003</v>
      </c>
      <c r="D105" s="65">
        <f t="shared" si="19"/>
        <v>15161325.120000001</v>
      </c>
      <c r="E105" s="65">
        <f>16012.02+9892.06</f>
        <v>25904.080000000002</v>
      </c>
      <c r="F105" s="65">
        <f t="shared" si="19"/>
        <v>11190562.560000001</v>
      </c>
      <c r="G105" s="65">
        <f>21321.22+13873.11</f>
        <v>35194.33</v>
      </c>
      <c r="H105" s="65">
        <f t="shared" ref="H105" si="22">G105*$B$142</f>
        <v>15203950.560000001</v>
      </c>
      <c r="I105" s="65">
        <f t="shared" si="18"/>
        <v>39667.214529595811</v>
      </c>
      <c r="J105" s="65">
        <f t="shared" si="21"/>
        <v>17136236.676785391</v>
      </c>
      <c r="K105" s="17"/>
      <c r="L105" s="17"/>
    </row>
    <row r="106" spans="1:12">
      <c r="A106" s="148" t="s">
        <v>420</v>
      </c>
      <c r="B106" s="148" t="s">
        <v>330</v>
      </c>
      <c r="C106" s="65">
        <f>184941.915+34112.25</f>
        <v>219054.16500000001</v>
      </c>
      <c r="D106" s="65">
        <f t="shared" si="19"/>
        <v>94631399.280000001</v>
      </c>
      <c r="E106" s="65">
        <f>120276.917+19306.13</f>
        <v>139583.04699999999</v>
      </c>
      <c r="F106" s="65">
        <f t="shared" si="19"/>
        <v>60299876.303999998</v>
      </c>
      <c r="G106" s="65">
        <f>170545.682+30505.68</f>
        <v>201051.36199999999</v>
      </c>
      <c r="H106" s="65">
        <f t="shared" ref="H106" si="23">G106*$B$142</f>
        <v>86854188.384000003</v>
      </c>
      <c r="I106" s="65">
        <f t="shared" si="18"/>
        <v>230796.83326239919</v>
      </c>
      <c r="J106" s="65">
        <f t="shared" si="21"/>
        <v>99704231.969356447</v>
      </c>
      <c r="K106" s="17"/>
      <c r="L106" s="17"/>
    </row>
    <row r="107" spans="1:12">
      <c r="A107" s="159" t="s">
        <v>421</v>
      </c>
      <c r="B107" s="159" t="s">
        <v>332</v>
      </c>
      <c r="C107" s="65">
        <f>4478.91</f>
        <v>4478.91</v>
      </c>
      <c r="D107" s="65">
        <f t="shared" si="19"/>
        <v>1934889.1199999999</v>
      </c>
      <c r="E107" s="165">
        <v>0</v>
      </c>
      <c r="F107" s="65">
        <f t="shared" si="19"/>
        <v>0</v>
      </c>
      <c r="G107" s="69">
        <v>0</v>
      </c>
      <c r="H107" s="65">
        <f t="shared" ref="H107" si="24">G107*$B$142</f>
        <v>0</v>
      </c>
      <c r="I107" s="65">
        <f t="shared" si="18"/>
        <v>1846.9525598485639</v>
      </c>
      <c r="J107" s="65">
        <f t="shared" si="21"/>
        <v>797883.50585457962</v>
      </c>
      <c r="K107" s="17"/>
      <c r="L107" s="17"/>
    </row>
    <row r="108" spans="1:12">
      <c r="A108" s="149" t="s">
        <v>422</v>
      </c>
      <c r="B108" s="149" t="s">
        <v>331</v>
      </c>
      <c r="C108" s="69">
        <v>0</v>
      </c>
      <c r="D108" s="65">
        <f t="shared" si="19"/>
        <v>0</v>
      </c>
      <c r="E108" s="165">
        <v>0</v>
      </c>
      <c r="F108" s="65">
        <f t="shared" si="19"/>
        <v>0</v>
      </c>
      <c r="G108" s="69">
        <v>40641.910000000003</v>
      </c>
      <c r="H108" s="65">
        <f t="shared" ref="H108" si="25">G108*$B$142</f>
        <v>17557305.120000001</v>
      </c>
      <c r="I108" s="65">
        <f t="shared" si="18"/>
        <v>16759.363262855237</v>
      </c>
      <c r="J108" s="65">
        <f t="shared" si="21"/>
        <v>7240044.9295534622</v>
      </c>
      <c r="K108" s="17"/>
      <c r="L108" s="17"/>
    </row>
    <row r="109" spans="1:12">
      <c r="A109" s="164" t="s">
        <v>423</v>
      </c>
      <c r="B109" s="144" t="s">
        <v>325</v>
      </c>
      <c r="C109" s="65">
        <f>2903.9</f>
        <v>2903.9</v>
      </c>
      <c r="D109" s="65">
        <f t="shared" si="19"/>
        <v>1254484.8</v>
      </c>
      <c r="E109" s="65">
        <v>2875.68</v>
      </c>
      <c r="F109" s="65">
        <f t="shared" si="19"/>
        <v>1242293.76</v>
      </c>
      <c r="G109" s="65">
        <v>1398.33</v>
      </c>
      <c r="H109" s="65">
        <f t="shared" ref="H109" si="26">G109*$B$142</f>
        <v>604078.55999999994</v>
      </c>
      <c r="I109" s="65">
        <f t="shared" si="18"/>
        <v>2959.9298152592046</v>
      </c>
      <c r="J109" s="65">
        <f t="shared" si="21"/>
        <v>1278689.6801919765</v>
      </c>
      <c r="K109" s="17"/>
      <c r="L109" s="17"/>
    </row>
    <row r="110" spans="1:12">
      <c r="A110" s="159" t="s">
        <v>424</v>
      </c>
      <c r="B110" s="159" t="s">
        <v>332</v>
      </c>
      <c r="C110" s="65">
        <f>2563.299</f>
        <v>2563.299</v>
      </c>
      <c r="D110" s="65">
        <f t="shared" si="19"/>
        <v>1107345.1680000001</v>
      </c>
      <c r="E110" s="165">
        <v>0</v>
      </c>
      <c r="F110" s="65">
        <f t="shared" si="19"/>
        <v>0</v>
      </c>
      <c r="G110" s="69">
        <v>0</v>
      </c>
      <c r="H110" s="65">
        <f t="shared" ref="H110" si="27">G110*$B$142</f>
        <v>0</v>
      </c>
      <c r="I110" s="65">
        <f t="shared" si="18"/>
        <v>1057.0187053785996</v>
      </c>
      <c r="J110" s="65">
        <f t="shared" si="21"/>
        <v>456632.08072355506</v>
      </c>
      <c r="K110" s="17"/>
      <c r="L110" s="17"/>
    </row>
    <row r="111" spans="1:12">
      <c r="A111" s="147" t="s">
        <v>425</v>
      </c>
      <c r="B111" s="147" t="s">
        <v>329</v>
      </c>
      <c r="C111" s="65">
        <f>1651.89</f>
        <v>1651.89</v>
      </c>
      <c r="D111" s="65">
        <f t="shared" si="19"/>
        <v>713616.4800000001</v>
      </c>
      <c r="E111" s="165">
        <v>0</v>
      </c>
      <c r="F111" s="65">
        <f t="shared" si="19"/>
        <v>0</v>
      </c>
      <c r="G111" s="65">
        <v>3112.1</v>
      </c>
      <c r="H111" s="65">
        <f t="shared" ref="H111" si="28">G111*$B$142</f>
        <v>1344427.2</v>
      </c>
      <c r="I111" s="65">
        <f t="shared" si="18"/>
        <v>1964.5100092640755</v>
      </c>
      <c r="J111" s="65">
        <f t="shared" si="21"/>
        <v>848668.3240020806</v>
      </c>
      <c r="K111" s="17"/>
      <c r="L111" s="17"/>
    </row>
    <row r="112" spans="1:12">
      <c r="A112" s="159" t="s">
        <v>426</v>
      </c>
      <c r="B112" s="159" t="s">
        <v>332</v>
      </c>
      <c r="C112" s="65">
        <f>1610</f>
        <v>1610</v>
      </c>
      <c r="D112" s="65">
        <f t="shared" si="19"/>
        <v>695520</v>
      </c>
      <c r="E112" s="165">
        <v>0</v>
      </c>
      <c r="F112" s="65">
        <f t="shared" si="19"/>
        <v>0</v>
      </c>
      <c r="G112" s="69">
        <v>0</v>
      </c>
      <c r="H112" s="65">
        <f t="shared" ref="H112" si="29">G112*$B$142</f>
        <v>0</v>
      </c>
      <c r="I112" s="65">
        <f t="shared" si="18"/>
        <v>663.91010789593633</v>
      </c>
      <c r="J112" s="65">
        <f t="shared" si="21"/>
        <v>286809.16661104449</v>
      </c>
      <c r="K112" s="17"/>
      <c r="L112" s="17"/>
    </row>
    <row r="113" spans="1:12">
      <c r="A113" s="164" t="s">
        <v>427</v>
      </c>
      <c r="B113" s="144" t="s">
        <v>325</v>
      </c>
      <c r="C113" s="65">
        <f>2974.23</f>
        <v>2974.23</v>
      </c>
      <c r="D113" s="65">
        <f t="shared" si="19"/>
        <v>1284867.3600000001</v>
      </c>
      <c r="E113" s="65">
        <v>4335.2</v>
      </c>
      <c r="F113" s="65">
        <f t="shared" si="19"/>
        <v>1872806.4</v>
      </c>
      <c r="G113" s="65">
        <v>1605.71</v>
      </c>
      <c r="H113" s="65">
        <f t="shared" ref="H113" si="30">G113*$B$142</f>
        <v>693666.72</v>
      </c>
      <c r="I113" s="65">
        <f t="shared" si="18"/>
        <v>3676.3053163399859</v>
      </c>
      <c r="J113" s="65">
        <f t="shared" si="21"/>
        <v>1588163.8966588739</v>
      </c>
      <c r="K113" s="17"/>
      <c r="L113" s="17"/>
    </row>
    <row r="114" spans="1:12">
      <c r="A114" s="164" t="s">
        <v>428</v>
      </c>
      <c r="B114" s="144" t="s">
        <v>325</v>
      </c>
      <c r="C114" s="65">
        <f>1660.48</f>
        <v>1660.48</v>
      </c>
      <c r="D114" s="65">
        <f t="shared" si="19"/>
        <v>717327.35999999999</v>
      </c>
      <c r="E114" s="165">
        <v>0</v>
      </c>
      <c r="F114" s="65">
        <f t="shared" si="19"/>
        <v>0</v>
      </c>
      <c r="G114" s="69">
        <v>0</v>
      </c>
      <c r="H114" s="65">
        <f t="shared" ref="H114" si="31">G114*$B$142</f>
        <v>0</v>
      </c>
      <c r="I114" s="65">
        <f t="shared" si="18"/>
        <v>684.72637016089709</v>
      </c>
      <c r="J114" s="65">
        <f t="shared" si="21"/>
        <v>295801.79190950753</v>
      </c>
      <c r="K114" s="17"/>
      <c r="L114" s="17"/>
    </row>
    <row r="115" spans="1:12">
      <c r="A115" s="164" t="s">
        <v>429</v>
      </c>
      <c r="B115" s="144" t="s">
        <v>325</v>
      </c>
      <c r="C115" s="65">
        <f>21651.252</f>
        <v>21651.252</v>
      </c>
      <c r="D115" s="65">
        <f t="shared" si="19"/>
        <v>9353340.8640000001</v>
      </c>
      <c r="E115" s="65">
        <v>22590.399000000001</v>
      </c>
      <c r="F115" s="65">
        <f t="shared" si="19"/>
        <v>9759052.3680000007</v>
      </c>
      <c r="G115" s="65">
        <v>19852.397000000001</v>
      </c>
      <c r="H115" s="65">
        <f t="shared" ref="H115" si="32">G115*$B$142</f>
        <v>8576235.5040000007</v>
      </c>
      <c r="I115" s="65">
        <f t="shared" si="18"/>
        <v>26430.239952277836</v>
      </c>
      <c r="J115" s="65">
        <f t="shared" si="21"/>
        <v>11417863.659384025</v>
      </c>
      <c r="K115" s="17"/>
      <c r="L115" s="17"/>
    </row>
    <row r="116" spans="1:12">
      <c r="A116" s="148" t="s">
        <v>430</v>
      </c>
      <c r="B116" s="148" t="s">
        <v>330</v>
      </c>
      <c r="C116" s="65">
        <f>18440.359</f>
        <v>18440.359</v>
      </c>
      <c r="D116" s="65">
        <f t="shared" si="19"/>
        <v>7966235.0880000005</v>
      </c>
      <c r="E116" s="65">
        <f>29973.76+3781.53</f>
        <v>33755.29</v>
      </c>
      <c r="F116" s="65">
        <f t="shared" si="19"/>
        <v>14582285.280000001</v>
      </c>
      <c r="G116" s="65">
        <v>31742.645</v>
      </c>
      <c r="H116" s="65">
        <f t="shared" ref="H116" si="33">G116*$B$142</f>
        <v>13712822.640000001</v>
      </c>
      <c r="I116" s="65">
        <f t="shared" si="18"/>
        <v>34613.342749155796</v>
      </c>
      <c r="J116" s="65">
        <f t="shared" si="21"/>
        <v>14952964.067635303</v>
      </c>
      <c r="K116" s="17"/>
      <c r="L116" s="17"/>
    </row>
    <row r="117" spans="1:12">
      <c r="A117" s="159" t="s">
        <v>431</v>
      </c>
      <c r="B117" s="159" t="s">
        <v>332</v>
      </c>
      <c r="C117" s="69">
        <v>0</v>
      </c>
      <c r="D117" s="65">
        <f t="shared" si="19"/>
        <v>0</v>
      </c>
      <c r="E117" s="69">
        <v>0</v>
      </c>
      <c r="F117" s="65">
        <f t="shared" si="19"/>
        <v>0</v>
      </c>
      <c r="G117" s="289">
        <v>7911.1109999999999</v>
      </c>
      <c r="H117" s="65">
        <f t="shared" ref="H117" si="34">G117*$B$142</f>
        <v>3417599.952</v>
      </c>
      <c r="I117" s="65">
        <f t="shared" si="18"/>
        <v>3262.2773649607007</v>
      </c>
      <c r="J117" s="65">
        <f t="shared" si="21"/>
        <v>1409303.8216630227</v>
      </c>
      <c r="K117" s="17"/>
      <c r="L117" s="17"/>
    </row>
    <row r="118" spans="1:12">
      <c r="A118" s="149" t="s">
        <v>432</v>
      </c>
      <c r="B118" s="149" t="s">
        <v>331</v>
      </c>
      <c r="C118" s="69">
        <v>0</v>
      </c>
      <c r="D118" s="65">
        <f t="shared" si="19"/>
        <v>0</v>
      </c>
      <c r="E118" s="65">
        <v>4823.1899999999996</v>
      </c>
      <c r="F118" s="65">
        <f t="shared" si="19"/>
        <v>2083618.0799999998</v>
      </c>
      <c r="G118" s="65">
        <v>17299.82</v>
      </c>
      <c r="H118" s="65">
        <f t="shared" ref="H118" si="35">G118*$B$142</f>
        <v>7473522.2400000002</v>
      </c>
      <c r="I118" s="65">
        <f t="shared" si="18"/>
        <v>9122.7887925980594</v>
      </c>
      <c r="J118" s="65">
        <f t="shared" si="21"/>
        <v>3941044.7584023615</v>
      </c>
      <c r="K118" s="17"/>
      <c r="L118" s="17"/>
    </row>
    <row r="119" spans="1:12">
      <c r="A119" s="149" t="s">
        <v>433</v>
      </c>
      <c r="B119" s="149" t="s">
        <v>331</v>
      </c>
      <c r="C119" s="65">
        <f>20119.73</f>
        <v>20119.73</v>
      </c>
      <c r="D119" s="65">
        <f t="shared" si="19"/>
        <v>8691723.3599999994</v>
      </c>
      <c r="E119" s="65">
        <v>37966.311999999998</v>
      </c>
      <c r="F119" s="65">
        <f t="shared" si="19"/>
        <v>16401446.784</v>
      </c>
      <c r="G119" s="65">
        <v>1695.5</v>
      </c>
      <c r="H119" s="65">
        <f t="shared" ref="H119" si="36">G119*$B$142</f>
        <v>732456</v>
      </c>
      <c r="I119" s="65">
        <f t="shared" si="18"/>
        <v>24651.906831928849</v>
      </c>
      <c r="J119" s="65">
        <f t="shared" si="21"/>
        <v>10649623.751393262</v>
      </c>
      <c r="K119" s="17"/>
      <c r="L119" s="17"/>
    </row>
    <row r="120" spans="1:12">
      <c r="A120" s="152" t="s">
        <v>335</v>
      </c>
      <c r="B120" s="152" t="s">
        <v>335</v>
      </c>
      <c r="C120" s="65">
        <f>25891.14</f>
        <v>25891.14</v>
      </c>
      <c r="D120" s="65">
        <f t="shared" si="19"/>
        <v>11184972.48</v>
      </c>
      <c r="E120" s="65">
        <v>1268</v>
      </c>
      <c r="F120" s="65">
        <f t="shared" si="19"/>
        <v>547776</v>
      </c>
      <c r="G120" s="69">
        <v>0</v>
      </c>
      <c r="H120" s="65">
        <f t="shared" ref="H120" si="37">G120*$B$142</f>
        <v>0</v>
      </c>
      <c r="I120" s="65">
        <f t="shared" si="18"/>
        <v>11199.52022842288</v>
      </c>
      <c r="J120" s="65">
        <f t="shared" si="21"/>
        <v>4838192.7386786845</v>
      </c>
      <c r="K120" s="17"/>
      <c r="L120" s="17"/>
    </row>
    <row r="121" spans="1:12">
      <c r="A121" s="154" t="s">
        <v>434</v>
      </c>
      <c r="B121" s="154" t="s">
        <v>326</v>
      </c>
      <c r="C121" s="65">
        <f>5912.103</f>
        <v>5912.1030000000001</v>
      </c>
      <c r="D121" s="65">
        <f t="shared" si="19"/>
        <v>2554028.4959999998</v>
      </c>
      <c r="E121" s="65">
        <v>33144.75</v>
      </c>
      <c r="F121" s="65">
        <f t="shared" si="19"/>
        <v>14318532</v>
      </c>
      <c r="G121" s="65">
        <v>23811.450998</v>
      </c>
      <c r="H121" s="65">
        <f t="shared" ref="H121" si="38">G121*$B$142</f>
        <v>10286546.831135999</v>
      </c>
      <c r="I121" s="65">
        <f t="shared" si="18"/>
        <v>25924.784155619072</v>
      </c>
      <c r="J121" s="65">
        <f t="shared" si="21"/>
        <v>11199506.755227439</v>
      </c>
      <c r="K121" s="17"/>
      <c r="L121" s="17"/>
    </row>
    <row r="122" spans="1:12">
      <c r="A122" s="159" t="s">
        <v>333</v>
      </c>
      <c r="B122" s="159" t="s">
        <v>332</v>
      </c>
      <c r="C122" s="65">
        <f>10834.297</f>
        <v>10834.297</v>
      </c>
      <c r="D122" s="65">
        <f t="shared" si="19"/>
        <v>4680416.3040000005</v>
      </c>
      <c r="E122" s="69">
        <v>0</v>
      </c>
      <c r="F122" s="65">
        <f t="shared" si="19"/>
        <v>0</v>
      </c>
      <c r="G122" s="69">
        <v>0</v>
      </c>
      <c r="H122" s="65">
        <f t="shared" ref="H122" si="39">G122*$B$142</f>
        <v>0</v>
      </c>
      <c r="I122" s="65">
        <f t="shared" si="18"/>
        <v>4467.701422513428</v>
      </c>
      <c r="J122" s="65">
        <f t="shared" si="21"/>
        <v>1930047.0145258009</v>
      </c>
      <c r="K122" s="17"/>
      <c r="L122" s="17"/>
    </row>
    <row r="123" spans="1:12" ht="16.5">
      <c r="A123" s="369" t="s">
        <v>326</v>
      </c>
      <c r="B123" s="370"/>
      <c r="C123" s="370"/>
      <c r="D123" s="370"/>
      <c r="E123" s="370"/>
      <c r="F123" s="370"/>
      <c r="G123" s="370"/>
      <c r="H123" s="370"/>
      <c r="I123" s="370"/>
      <c r="J123" s="408"/>
      <c r="K123" s="17"/>
      <c r="L123" s="17"/>
    </row>
    <row r="124" spans="1:12">
      <c r="A124" s="154" t="s">
        <v>435</v>
      </c>
      <c r="B124" s="154" t="s">
        <v>326</v>
      </c>
      <c r="C124" s="65">
        <v>15709.128000000001</v>
      </c>
      <c r="D124" s="65">
        <f t="shared" ref="D124:F135" si="40">C124*$B$142</f>
        <v>6786343.2960000001</v>
      </c>
      <c r="E124" s="65">
        <v>12938.374</v>
      </c>
      <c r="F124" s="65">
        <f t="shared" si="40"/>
        <v>5589377.568</v>
      </c>
      <c r="G124" s="65">
        <v>9137.0030000000006</v>
      </c>
      <c r="H124" s="65">
        <f t="shared" ref="H124" si="41">G124*$B$142</f>
        <v>3947185.2960000001</v>
      </c>
      <c r="I124" s="65">
        <f t="shared" ref="I124:I135" si="42">((C124+E124+G124)/($C$136+$E$136+$G$136))*$B$152</f>
        <v>15581.065087791645</v>
      </c>
      <c r="J124" s="65">
        <f t="shared" ref="J124:J135" si="43">I124*$B$142</f>
        <v>6731020.1179259904</v>
      </c>
      <c r="K124" s="17"/>
      <c r="L124" s="17"/>
    </row>
    <row r="125" spans="1:12">
      <c r="A125" s="154" t="s">
        <v>436</v>
      </c>
      <c r="B125" s="154" t="s">
        <v>326</v>
      </c>
      <c r="C125" s="69">
        <v>0</v>
      </c>
      <c r="D125" s="65">
        <f t="shared" si="40"/>
        <v>0</v>
      </c>
      <c r="E125" s="65">
        <v>3286.92</v>
      </c>
      <c r="F125" s="65">
        <f t="shared" si="40"/>
        <v>1419949.44</v>
      </c>
      <c r="G125" s="65">
        <v>18170.349999999999</v>
      </c>
      <c r="H125" s="65">
        <f t="shared" ref="H125" si="44">G125*$B$142</f>
        <v>7849591.1999999993</v>
      </c>
      <c r="I125" s="65">
        <f t="shared" si="42"/>
        <v>8848.2599011504572</v>
      </c>
      <c r="J125" s="65">
        <f t="shared" si="43"/>
        <v>3822448.2772969976</v>
      </c>
      <c r="K125" s="17"/>
      <c r="L125" s="17"/>
    </row>
    <row r="126" spans="1:12">
      <c r="A126" s="154" t="s">
        <v>437</v>
      </c>
      <c r="B126" s="154" t="s">
        <v>326</v>
      </c>
      <c r="C126" s="65">
        <v>200106.61</v>
      </c>
      <c r="D126" s="65">
        <f t="shared" si="40"/>
        <v>86446055.519999996</v>
      </c>
      <c r="E126" s="65">
        <v>164171.50899999999</v>
      </c>
      <c r="F126" s="65">
        <f t="shared" si="40"/>
        <v>70922091.887999997</v>
      </c>
      <c r="G126" s="65">
        <v>169863.18</v>
      </c>
      <c r="H126" s="65">
        <f t="shared" ref="H126" si="45">G126*$B$142</f>
        <v>73380893.75999999</v>
      </c>
      <c r="I126" s="65">
        <f t="shared" si="42"/>
        <v>220261.9922054444</v>
      </c>
      <c r="J126" s="65">
        <f t="shared" si="43"/>
        <v>95153180.632751986</v>
      </c>
      <c r="K126" s="17"/>
      <c r="L126" s="17"/>
    </row>
    <row r="127" spans="1:12">
      <c r="A127" s="154" t="s">
        <v>438</v>
      </c>
      <c r="B127" s="154" t="s">
        <v>326</v>
      </c>
      <c r="C127" s="65">
        <v>162807.391</v>
      </c>
      <c r="D127" s="65">
        <f t="shared" si="40"/>
        <v>70332792.912</v>
      </c>
      <c r="E127" s="65">
        <v>168333.52799999999</v>
      </c>
      <c r="F127" s="65">
        <f t="shared" si="40"/>
        <v>72720084.096000001</v>
      </c>
      <c r="G127" s="65">
        <v>220252.82199999999</v>
      </c>
      <c r="H127" s="65">
        <f t="shared" ref="H127" si="46">G127*$B$142</f>
        <v>95149219.103999987</v>
      </c>
      <c r="I127" s="65">
        <f t="shared" si="42"/>
        <v>227376.32178910181</v>
      </c>
      <c r="J127" s="65">
        <f t="shared" si="43"/>
        <v>98226571.012891978</v>
      </c>
      <c r="K127" s="17"/>
      <c r="L127" s="17"/>
    </row>
    <row r="128" spans="1:12">
      <c r="A128" s="154" t="s">
        <v>439</v>
      </c>
      <c r="B128" s="154" t="s">
        <v>326</v>
      </c>
      <c r="C128" s="65">
        <v>24828.843000000001</v>
      </c>
      <c r="D128" s="65">
        <f t="shared" si="40"/>
        <v>10726060.176000001</v>
      </c>
      <c r="E128" s="65">
        <v>12063.174999999999</v>
      </c>
      <c r="F128" s="65">
        <f t="shared" si="40"/>
        <v>5211291.5999999996</v>
      </c>
      <c r="G128" s="65">
        <v>30445.741000000002</v>
      </c>
      <c r="H128" s="65">
        <f t="shared" ref="H128" si="47">G128*$B$142</f>
        <v>13152560.112000002</v>
      </c>
      <c r="I128" s="65">
        <f t="shared" si="42"/>
        <v>27767.837790782949</v>
      </c>
      <c r="J128" s="65">
        <f t="shared" si="43"/>
        <v>11995705.925618233</v>
      </c>
      <c r="K128" s="17"/>
      <c r="L128" s="17"/>
    </row>
    <row r="129" spans="1:12">
      <c r="A129" s="154" t="s">
        <v>440</v>
      </c>
      <c r="B129" s="154" t="s">
        <v>326</v>
      </c>
      <c r="C129" s="69">
        <v>0</v>
      </c>
      <c r="D129" s="65">
        <f t="shared" si="40"/>
        <v>0</v>
      </c>
      <c r="E129" s="65">
        <v>3073.7860000000001</v>
      </c>
      <c r="F129" s="65">
        <f t="shared" si="40"/>
        <v>1327875.5520000001</v>
      </c>
      <c r="G129" s="69">
        <v>0</v>
      </c>
      <c r="H129" s="65">
        <f t="shared" ref="H129" si="48">G129*$B$142</f>
        <v>0</v>
      </c>
      <c r="I129" s="65">
        <f t="shared" si="42"/>
        <v>1267.5264564652289</v>
      </c>
      <c r="J129" s="65">
        <f t="shared" si="43"/>
        <v>547571.42919297889</v>
      </c>
      <c r="K129" s="17"/>
      <c r="L129" s="17"/>
    </row>
    <row r="130" spans="1:12">
      <c r="A130" s="154" t="s">
        <v>441</v>
      </c>
      <c r="B130" s="154" t="s">
        <v>326</v>
      </c>
      <c r="C130" s="65">
        <v>128160.796</v>
      </c>
      <c r="D130" s="65">
        <f t="shared" si="40"/>
        <v>55365463.872000001</v>
      </c>
      <c r="E130" s="65">
        <v>110304.977</v>
      </c>
      <c r="F130" s="65">
        <f t="shared" si="40"/>
        <v>47651750.064000003</v>
      </c>
      <c r="G130" s="65">
        <v>167112.11300000001</v>
      </c>
      <c r="H130" s="65">
        <f t="shared" ref="H130" si="49">G130*$B$142</f>
        <v>72192432.816</v>
      </c>
      <c r="I130" s="65">
        <f t="shared" si="42"/>
        <v>167246.74413320853</v>
      </c>
      <c r="J130" s="65">
        <f t="shared" si="43"/>
        <v>72250593.465546086</v>
      </c>
      <c r="K130" s="17"/>
      <c r="L130" s="17"/>
    </row>
    <row r="131" spans="1:12">
      <c r="A131" s="154" t="s">
        <v>442</v>
      </c>
      <c r="B131" s="154" t="s">
        <v>326</v>
      </c>
      <c r="C131" s="65">
        <v>17205.423999999999</v>
      </c>
      <c r="D131" s="65">
        <f t="shared" si="40"/>
        <v>7432743.1679999996</v>
      </c>
      <c r="E131" s="69">
        <v>0</v>
      </c>
      <c r="F131" s="65">
        <f t="shared" si="40"/>
        <v>0</v>
      </c>
      <c r="G131" s="69">
        <v>0</v>
      </c>
      <c r="H131" s="65">
        <f t="shared" ref="H131" si="50">G131*$B$142</f>
        <v>0</v>
      </c>
      <c r="I131" s="65">
        <f t="shared" si="42"/>
        <v>7094.9409343076586</v>
      </c>
      <c r="J131" s="65">
        <f t="shared" si="43"/>
        <v>3065014.4836209086</v>
      </c>
      <c r="K131" s="17"/>
      <c r="L131" s="17"/>
    </row>
    <row r="132" spans="1:12">
      <c r="A132" s="154" t="s">
        <v>443</v>
      </c>
      <c r="B132" s="154" t="s">
        <v>326</v>
      </c>
      <c r="C132" s="65">
        <v>28488.734</v>
      </c>
      <c r="D132" s="65">
        <f t="shared" si="40"/>
        <v>12307133.088</v>
      </c>
      <c r="E132" s="65">
        <v>20964.168000000001</v>
      </c>
      <c r="F132" s="65">
        <f t="shared" si="40"/>
        <v>9056520.5760000013</v>
      </c>
      <c r="G132" s="65">
        <v>1397.5609999999999</v>
      </c>
      <c r="H132" s="65">
        <f t="shared" ref="H132" si="51">G132*$B$142</f>
        <v>603746.35199999996</v>
      </c>
      <c r="I132" s="65">
        <f t="shared" si="42"/>
        <v>20969.028805520695</v>
      </c>
      <c r="J132" s="65">
        <f t="shared" si="43"/>
        <v>9058620.4439849406</v>
      </c>
      <c r="K132" s="17"/>
      <c r="L132" s="17"/>
    </row>
    <row r="133" spans="1:12">
      <c r="A133" s="154" t="s">
        <v>444</v>
      </c>
      <c r="B133" s="154" t="s">
        <v>326</v>
      </c>
      <c r="C133" s="69">
        <v>0</v>
      </c>
      <c r="D133" s="65">
        <f t="shared" si="40"/>
        <v>0</v>
      </c>
      <c r="E133" s="65">
        <v>3705.5949999999998</v>
      </c>
      <c r="F133" s="65">
        <f t="shared" si="40"/>
        <v>1600817.0399999998</v>
      </c>
      <c r="G133" s="65">
        <v>2655.942</v>
      </c>
      <c r="H133" s="65">
        <f t="shared" ref="H133" si="52">G133*$B$142</f>
        <v>1147366.9439999999</v>
      </c>
      <c r="I133" s="65">
        <f t="shared" si="42"/>
        <v>2623.284916803721</v>
      </c>
      <c r="J133" s="65">
        <f t="shared" si="43"/>
        <v>1133259.0840592075</v>
      </c>
      <c r="K133" s="17"/>
      <c r="L133" s="17"/>
    </row>
    <row r="134" spans="1:12">
      <c r="A134" s="154" t="s">
        <v>445</v>
      </c>
      <c r="B134" s="154" t="s">
        <v>326</v>
      </c>
      <c r="C134" s="69">
        <v>0</v>
      </c>
      <c r="D134" s="65">
        <f t="shared" si="40"/>
        <v>0</v>
      </c>
      <c r="E134" s="65">
        <v>7462.5280000000002</v>
      </c>
      <c r="F134" s="65">
        <f t="shared" si="40"/>
        <v>3223812.0959999999</v>
      </c>
      <c r="G134" s="65">
        <v>4813.1239999999998</v>
      </c>
      <c r="H134" s="65">
        <f t="shared" ref="H134" si="53">G134*$B$142</f>
        <v>2079269.568</v>
      </c>
      <c r="I134" s="65">
        <f t="shared" si="42"/>
        <v>5062.0679775235812</v>
      </c>
      <c r="J134" s="65">
        <f t="shared" si="43"/>
        <v>2186813.366290187</v>
      </c>
      <c r="K134" s="17"/>
      <c r="L134" s="17"/>
    </row>
    <row r="135" spans="1:12">
      <c r="A135" s="154" t="s">
        <v>446</v>
      </c>
      <c r="B135" s="154" t="s">
        <v>326</v>
      </c>
      <c r="C135" s="65">
        <f>367932.418+4465.906</f>
        <v>372398.32400000002</v>
      </c>
      <c r="D135" s="65">
        <f t="shared" si="40"/>
        <v>160876075.96799999</v>
      </c>
      <c r="E135" s="65">
        <v>351707.14600000001</v>
      </c>
      <c r="F135" s="65">
        <f t="shared" si="40"/>
        <v>151937487.072</v>
      </c>
      <c r="G135" s="65">
        <v>284572.05300000001</v>
      </c>
      <c r="H135" s="65">
        <f t="shared" ref="H135" si="54">G135*$B$142</f>
        <v>122935126.89600001</v>
      </c>
      <c r="I135" s="65">
        <f t="shared" si="42"/>
        <v>415944.84666281723</v>
      </c>
      <c r="J135" s="65">
        <f t="shared" si="43"/>
        <v>179688173.75833705</v>
      </c>
      <c r="K135" s="17"/>
      <c r="L135" s="17"/>
    </row>
    <row r="136" spans="1:12" ht="16.5">
      <c r="A136" s="609" t="s">
        <v>19</v>
      </c>
      <c r="B136" s="610"/>
      <c r="C136" s="290">
        <f t="shared" ref="C136:H136" si="55">SUM(C103:C135)</f>
        <v>1406446.737</v>
      </c>
      <c r="D136" s="290">
        <f t="shared" si="55"/>
        <v>607584990.38399994</v>
      </c>
      <c r="E136" s="290">
        <f t="shared" si="55"/>
        <v>1205788.6259999999</v>
      </c>
      <c r="F136" s="290">
        <f t="shared" si="55"/>
        <v>520900686.43200004</v>
      </c>
      <c r="G136" s="290">
        <f t="shared" si="55"/>
        <v>1372588.5589980001</v>
      </c>
      <c r="H136" s="290">
        <f t="shared" si="55"/>
        <v>592958257.48713589</v>
      </c>
      <c r="I136" s="290">
        <f t="shared" ref="I136:J136" si="56">SUM(I103:I135)</f>
        <v>1643208</v>
      </c>
      <c r="J136" s="290">
        <f t="shared" si="56"/>
        <v>709865855.99999988</v>
      </c>
      <c r="K136" s="17"/>
      <c r="L136" s="17"/>
    </row>
    <row r="137" spans="1:12" ht="13.15" customHeight="1">
      <c r="A137" s="604" t="s">
        <v>447</v>
      </c>
      <c r="B137" s="605"/>
      <c r="C137" s="605"/>
      <c r="D137" s="605"/>
      <c r="E137" s="605"/>
      <c r="F137" s="605"/>
      <c r="G137" s="605"/>
      <c r="H137" s="605"/>
      <c r="I137" s="605"/>
      <c r="J137" s="606"/>
      <c r="K137" s="17"/>
      <c r="L137" s="17"/>
    </row>
    <row r="138" spans="1:12">
      <c r="A138" s="23"/>
      <c r="B138" s="23"/>
      <c r="C138" s="23"/>
      <c r="D138" s="23"/>
      <c r="E138" s="17"/>
      <c r="F138" s="17"/>
      <c r="G138" s="17"/>
      <c r="H138" s="17"/>
      <c r="I138" s="17"/>
      <c r="J138" s="17"/>
      <c r="K138" s="17"/>
      <c r="L138" s="17"/>
    </row>
    <row r="139" spans="1:12">
      <c r="A139" s="267" t="s">
        <v>448</v>
      </c>
      <c r="B139" s="57" t="s">
        <v>449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>
      <c r="A140" s="14" t="s">
        <v>450</v>
      </c>
      <c r="B140" s="68">
        <v>308.7</v>
      </c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>
      <c r="A141" s="14" t="s">
        <v>122</v>
      </c>
      <c r="B141" s="68">
        <v>393</v>
      </c>
      <c r="C141" s="17"/>
      <c r="D141" s="371"/>
      <c r="E141" s="17"/>
      <c r="F141" s="17"/>
      <c r="G141" s="17"/>
      <c r="H141" s="17"/>
      <c r="I141" s="17"/>
      <c r="J141" s="17"/>
      <c r="K141" s="17"/>
      <c r="L141" s="17"/>
    </row>
    <row r="142" spans="1:12">
      <c r="A142" s="14" t="s">
        <v>451</v>
      </c>
      <c r="B142" s="68">
        <v>432</v>
      </c>
      <c r="C142" s="17"/>
      <c r="D142" s="371"/>
      <c r="E142" s="17"/>
      <c r="F142" s="17"/>
      <c r="G142" s="17"/>
      <c r="H142" s="17"/>
      <c r="I142" s="17"/>
      <c r="J142" s="17"/>
      <c r="K142" s="17"/>
      <c r="L142" s="17"/>
    </row>
    <row r="143" spans="1:12">
      <c r="A143" s="71" t="s">
        <v>123</v>
      </c>
      <c r="B143" s="73">
        <v>445</v>
      </c>
      <c r="C143" s="17"/>
      <c r="D143" s="371"/>
      <c r="E143" s="17"/>
      <c r="F143" s="17"/>
      <c r="G143" s="17"/>
      <c r="H143" s="17"/>
      <c r="I143" s="17"/>
      <c r="J143" s="17"/>
      <c r="K143" s="17"/>
      <c r="L143" s="17"/>
    </row>
    <row r="144" spans="1:12" ht="13.5" thickTop="1">
      <c r="A144" s="293" t="s">
        <v>452</v>
      </c>
      <c r="B144" s="80">
        <f>B143-B140</f>
        <v>136.30000000000001</v>
      </c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>
      <c r="A145" s="308" t="s">
        <v>453</v>
      </c>
      <c r="B145" s="81">
        <f>AVERAGE(B141:B143)</f>
        <v>423.33333333333331</v>
      </c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s="17" customFormat="1">
      <c r="A146" s="291" t="s">
        <v>454</v>
      </c>
      <c r="B146" s="291"/>
      <c r="C146" s="291"/>
      <c r="D146" s="291"/>
      <c r="E146" s="291"/>
    </row>
    <row r="147" spans="1:12" s="17" customFormat="1"/>
    <row r="148" spans="1:12" s="17" customFormat="1">
      <c r="A148" s="607" t="s">
        <v>455</v>
      </c>
      <c r="B148" s="608"/>
    </row>
    <row r="149" spans="1:12" s="17" customFormat="1">
      <c r="A149" s="14" t="s">
        <v>456</v>
      </c>
      <c r="B149" s="69">
        <v>676152</v>
      </c>
    </row>
    <row r="150" spans="1:12" s="17" customFormat="1">
      <c r="A150" s="14" t="s">
        <v>457</v>
      </c>
      <c r="B150" s="69">
        <v>861629</v>
      </c>
    </row>
    <row r="151" spans="1:12" s="17" customFormat="1">
      <c r="A151" s="14" t="s">
        <v>122</v>
      </c>
      <c r="B151" s="69">
        <v>539402</v>
      </c>
    </row>
    <row r="152" spans="1:12" s="17" customFormat="1">
      <c r="A152" s="14" t="s">
        <v>458</v>
      </c>
      <c r="B152" s="69">
        <v>1643208</v>
      </c>
    </row>
    <row r="153" spans="1:12" s="17" customFormat="1">
      <c r="A153" s="604" t="s">
        <v>459</v>
      </c>
      <c r="B153" s="606"/>
    </row>
    <row r="154" spans="1:12" s="17" customFormat="1"/>
    <row r="155" spans="1:12" s="17" customFormat="1"/>
    <row r="156" spans="1:12" s="17" customFormat="1"/>
    <row r="157" spans="1:12" s="17" customFormat="1"/>
    <row r="158" spans="1:12" s="17" customFormat="1"/>
    <row r="159" spans="1:12" s="17" customFormat="1"/>
    <row r="160" spans="1:12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  <row r="315" s="17" customFormat="1"/>
    <row r="316" s="17" customFormat="1"/>
    <row r="317" s="17" customFormat="1"/>
    <row r="318" s="17" customFormat="1"/>
    <row r="319" s="17" customFormat="1"/>
    <row r="320" s="17" customFormat="1"/>
    <row r="321" s="17" customFormat="1"/>
    <row r="322" s="17" customFormat="1"/>
    <row r="323" s="17" customFormat="1"/>
    <row r="324" s="17" customFormat="1"/>
    <row r="325" s="17" customFormat="1"/>
    <row r="326" s="17" customFormat="1"/>
    <row r="327" s="17" customFormat="1"/>
    <row r="328" s="17" customFormat="1"/>
    <row r="329" s="17" customFormat="1"/>
    <row r="330" s="17" customFormat="1"/>
    <row r="331" s="17" customFormat="1"/>
    <row r="332" s="17" customFormat="1"/>
    <row r="333" s="17" customFormat="1"/>
    <row r="334" s="17" customFormat="1"/>
    <row r="335" s="17" customFormat="1"/>
    <row r="336" s="17" customFormat="1"/>
    <row r="337" s="17" customFormat="1"/>
    <row r="338" s="17" customFormat="1"/>
    <row r="339" s="17" customFormat="1"/>
    <row r="340" s="17" customFormat="1"/>
    <row r="341" s="17" customFormat="1"/>
    <row r="342" s="17" customFormat="1"/>
    <row r="343" s="17" customFormat="1"/>
    <row r="344" s="17" customFormat="1"/>
    <row r="345" s="17" customFormat="1"/>
    <row r="346" s="17" customFormat="1"/>
    <row r="347" s="17" customFormat="1"/>
    <row r="348" s="17" customFormat="1"/>
    <row r="349" s="17" customFormat="1"/>
    <row r="350" s="17" customFormat="1"/>
    <row r="351" s="17" customFormat="1"/>
    <row r="352" s="17" customFormat="1"/>
    <row r="353" s="17" customFormat="1"/>
    <row r="354" s="17" customFormat="1"/>
    <row r="355" s="17" customFormat="1"/>
    <row r="356" s="17" customFormat="1"/>
    <row r="357" s="17" customFormat="1"/>
    <row r="358" s="17" customFormat="1"/>
    <row r="359" s="17" customFormat="1"/>
    <row r="360" s="17" customFormat="1"/>
    <row r="361" s="17" customFormat="1"/>
    <row r="362" s="17" customFormat="1"/>
    <row r="363" s="17" customFormat="1"/>
    <row r="364" s="17" customFormat="1"/>
    <row r="365" s="17" customFormat="1"/>
    <row r="366" s="17" customFormat="1"/>
    <row r="367" s="17" customFormat="1"/>
    <row r="368" s="17" customFormat="1"/>
    <row r="369" s="17" customFormat="1"/>
    <row r="370" s="17" customFormat="1"/>
    <row r="371" s="17" customFormat="1"/>
    <row r="372" s="17" customFormat="1"/>
    <row r="373" s="17" customFormat="1"/>
    <row r="374" s="17" customFormat="1"/>
    <row r="375" s="17" customFormat="1"/>
    <row r="376" s="17" customFormat="1"/>
    <row r="377" s="17" customFormat="1"/>
    <row r="378" s="17" customFormat="1"/>
    <row r="379" s="17" customFormat="1"/>
    <row r="380" s="17" customFormat="1"/>
    <row r="381" s="17" customFormat="1"/>
    <row r="382" s="17" customFormat="1"/>
    <row r="383" s="17" customFormat="1"/>
    <row r="384" s="17" customFormat="1"/>
    <row r="385" spans="1:11" s="17" customFormat="1"/>
    <row r="386" spans="1:11" s="17" customFormat="1">
      <c r="K386"/>
    </row>
    <row r="387" spans="1:11" s="17" customFormat="1">
      <c r="K387"/>
    </row>
    <row r="388" spans="1:11" s="17" customFormat="1">
      <c r="K388"/>
    </row>
    <row r="389" spans="1:11" s="17" customFormat="1">
      <c r="K389"/>
    </row>
    <row r="390" spans="1:11" s="17" customFormat="1">
      <c r="K390"/>
    </row>
    <row r="391" spans="1:11">
      <c r="A391" s="17"/>
      <c r="B391" s="17"/>
      <c r="C391" s="17"/>
      <c r="D391" s="17"/>
      <c r="E391" s="17"/>
      <c r="F391" s="17"/>
      <c r="G391" s="17"/>
      <c r="H391" s="17"/>
      <c r="I391" s="17"/>
      <c r="J391" s="17"/>
    </row>
    <row r="392" spans="1:11">
      <c r="A392" s="17"/>
      <c r="B392" s="17"/>
      <c r="C392" s="17"/>
      <c r="D392" s="17"/>
      <c r="E392" s="17"/>
      <c r="F392" s="17"/>
      <c r="G392" s="17"/>
      <c r="H392" s="17"/>
      <c r="I392" s="17"/>
      <c r="J392" s="17"/>
    </row>
    <row r="393" spans="1:11">
      <c r="A393" s="17"/>
      <c r="B393" s="17"/>
      <c r="C393" s="17"/>
      <c r="D393" s="17"/>
      <c r="E393" s="17"/>
      <c r="F393" s="17"/>
      <c r="G393" s="17"/>
      <c r="H393" s="17"/>
      <c r="I393" s="17"/>
      <c r="J393" s="17"/>
    </row>
    <row r="394" spans="1:11">
      <c r="A394" s="17"/>
      <c r="B394" s="17"/>
      <c r="C394" s="17"/>
      <c r="D394" s="17"/>
      <c r="E394" s="17"/>
      <c r="F394" s="17"/>
      <c r="G394" s="17"/>
      <c r="H394" s="17"/>
      <c r="I394" s="17"/>
      <c r="J394" s="17"/>
    </row>
    <row r="395" spans="1:11">
      <c r="A395" s="17"/>
      <c r="B395" s="17"/>
      <c r="C395" s="17"/>
      <c r="D395" s="17"/>
      <c r="E395" s="17"/>
      <c r="F395" s="17"/>
      <c r="G395" s="17"/>
      <c r="H395" s="17"/>
      <c r="I395" s="17"/>
      <c r="J395" s="17"/>
    </row>
    <row r="396" spans="1:11">
      <c r="A396" s="17"/>
      <c r="B396" s="17"/>
      <c r="C396" s="17"/>
      <c r="D396" s="17"/>
      <c r="E396" s="17"/>
      <c r="F396" s="17"/>
      <c r="G396" s="17"/>
      <c r="H396" s="17"/>
      <c r="I396" s="17"/>
      <c r="J396" s="17"/>
    </row>
    <row r="397" spans="1:11">
      <c r="A397" s="17"/>
      <c r="B397" s="17"/>
      <c r="C397" s="17"/>
      <c r="D397" s="17"/>
      <c r="E397" s="17"/>
      <c r="F397" s="17"/>
      <c r="G397" s="17"/>
      <c r="H397" s="17"/>
      <c r="I397" s="17"/>
      <c r="J397" s="17"/>
    </row>
    <row r="398" spans="1:11">
      <c r="A398" s="17"/>
      <c r="B398" s="17"/>
      <c r="C398" s="17"/>
      <c r="D398" s="17"/>
      <c r="E398" s="17"/>
      <c r="F398" s="17"/>
      <c r="G398" s="17"/>
      <c r="H398" s="17"/>
      <c r="I398" s="17"/>
      <c r="J398" s="17"/>
    </row>
    <row r="399" spans="1:11">
      <c r="A399" s="17"/>
      <c r="B399" s="17"/>
      <c r="C399" s="17"/>
      <c r="D399" s="17"/>
      <c r="E399" s="17"/>
      <c r="F399" s="17"/>
      <c r="G399" s="17"/>
      <c r="H399" s="17"/>
      <c r="I399" s="17"/>
      <c r="J399" s="17"/>
    </row>
  </sheetData>
  <mergeCells count="32">
    <mergeCell ref="A95:B95"/>
    <mergeCell ref="C49:D49"/>
    <mergeCell ref="E49:F49"/>
    <mergeCell ref="G49:H49"/>
    <mergeCell ref="A49:B50"/>
    <mergeCell ref="K19:L19"/>
    <mergeCell ref="I49:J49"/>
    <mergeCell ref="B3:E3"/>
    <mergeCell ref="F3:I3"/>
    <mergeCell ref="A44:B44"/>
    <mergeCell ref="A45:L45"/>
    <mergeCell ref="A46:L46"/>
    <mergeCell ref="A48:J48"/>
    <mergeCell ref="A3:A4"/>
    <mergeCell ref="C19:E19"/>
    <mergeCell ref="F19:H19"/>
    <mergeCell ref="I19:J19"/>
    <mergeCell ref="B19:B20"/>
    <mergeCell ref="A19:A20"/>
    <mergeCell ref="A18:L18"/>
    <mergeCell ref="A137:J137"/>
    <mergeCell ref="A153:B153"/>
    <mergeCell ref="A96:J96"/>
    <mergeCell ref="A97:J97"/>
    <mergeCell ref="A148:B148"/>
    <mergeCell ref="A136:B136"/>
    <mergeCell ref="I100:J100"/>
    <mergeCell ref="A100:B101"/>
    <mergeCell ref="C100:D100"/>
    <mergeCell ref="E100:F100"/>
    <mergeCell ref="G100:H100"/>
    <mergeCell ref="A99:J99"/>
  </mergeCells>
  <hyperlinks>
    <hyperlink ref="A146" r:id="rId1" xr:uid="{2C6313C5-AA5E-4D1D-B065-4CE6780E8854}"/>
    <hyperlink ref="A97" r:id="rId2" xr:uid="{C627F758-EB6B-4DC9-AC59-2342775CF535}"/>
    <hyperlink ref="A46" r:id="rId3" xr:uid="{4B641400-A270-4C6A-98C3-3EAEBE753C0B}"/>
  </hyperlinks>
  <pageMargins left="0.7" right="0.7" top="0.75" bottom="0.75" header="0.3" footer="0.3"/>
  <pageSetup orientation="portrait" r:id="rId4"/>
  <ignoredErrors>
    <ignoredError sqref="I103:I135 I52:I72 I75:I94 K22:K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1"/>
  <sheetViews>
    <sheetView zoomScaleNormal="100" workbookViewId="0"/>
  </sheetViews>
  <sheetFormatPr defaultRowHeight="12.75"/>
  <cols>
    <col min="1" max="1" width="11.7109375" customWidth="1"/>
    <col min="2" max="2" width="14.42578125" customWidth="1"/>
    <col min="3" max="3" width="14.28515625" customWidth="1"/>
    <col min="4" max="4" width="13.28515625" customWidth="1"/>
    <col min="5" max="5" width="13.7109375" customWidth="1"/>
    <col min="7" max="8" width="12.7109375" customWidth="1"/>
    <col min="9" max="9" width="14.28515625" customWidth="1"/>
    <col min="10" max="12" width="12.7109375" customWidth="1"/>
    <col min="13" max="13" width="14" customWidth="1"/>
    <col min="14" max="17" width="12.7109375" customWidth="1"/>
    <col min="18" max="18" width="13.7109375" customWidth="1"/>
  </cols>
  <sheetData>
    <row r="1" spans="1:52" ht="23.25">
      <c r="A1" s="36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ht="18.75">
      <c r="A2" s="3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15.75">
      <c r="A3" s="432" t="s">
        <v>7</v>
      </c>
      <c r="B3" s="433"/>
      <c r="C3" s="434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1:52" ht="20.25">
      <c r="A4" s="168" t="s">
        <v>8</v>
      </c>
      <c r="B4" s="168"/>
      <c r="C4" s="16">
        <f>L36/P36</f>
        <v>11.009226058174988</v>
      </c>
      <c r="D4" s="2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ht="15.75">
      <c r="A5" s="169" t="s">
        <v>9</v>
      </c>
      <c r="B5" s="169"/>
      <c r="C5" s="15">
        <f>IRR(D13:D35)</f>
        <v>0.36096330300115032</v>
      </c>
      <c r="D5" s="2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1:52" ht="15.75">
      <c r="A6" s="169" t="s">
        <v>10</v>
      </c>
      <c r="B6" s="169"/>
      <c r="C6" s="119">
        <f>L36-P36</f>
        <v>142752869.24650845</v>
      </c>
      <c r="D6" s="2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</row>
    <row r="7" spans="1:52" ht="15.75">
      <c r="A7" s="169" t="s">
        <v>11</v>
      </c>
      <c r="B7" s="169"/>
      <c r="C7" s="15">
        <v>7.0000000000000007E-2</v>
      </c>
      <c r="D7" s="2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>
      <c r="A8" s="17"/>
      <c r="B8" s="17"/>
      <c r="C8" s="17"/>
      <c r="D8" s="2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>
      <c r="A10" s="439" t="s">
        <v>12</v>
      </c>
      <c r="B10" s="440"/>
      <c r="C10" s="440"/>
      <c r="D10" s="440"/>
      <c r="E10" s="441"/>
      <c r="F10" s="17"/>
      <c r="G10" s="447" t="s">
        <v>13</v>
      </c>
      <c r="H10" s="448"/>
      <c r="I10" s="448"/>
      <c r="J10" s="448"/>
      <c r="K10" s="448"/>
      <c r="L10" s="449"/>
      <c r="M10" s="17"/>
      <c r="N10" s="439" t="s">
        <v>14</v>
      </c>
      <c r="O10" s="440"/>
      <c r="P10" s="441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</row>
    <row r="11" spans="1:52" ht="27.6" customHeight="1">
      <c r="A11" s="442"/>
      <c r="B11" s="443"/>
      <c r="C11" s="443"/>
      <c r="D11" s="443"/>
      <c r="E11" s="444"/>
      <c r="F11" s="17"/>
      <c r="G11" s="435" t="s">
        <v>15</v>
      </c>
      <c r="H11" s="435" t="s">
        <v>16</v>
      </c>
      <c r="I11" s="435" t="s">
        <v>17</v>
      </c>
      <c r="J11" s="435" t="s">
        <v>18</v>
      </c>
      <c r="K11" s="437" t="s">
        <v>19</v>
      </c>
      <c r="L11" s="437" t="s">
        <v>20</v>
      </c>
      <c r="M11" s="17"/>
      <c r="N11" s="442"/>
      <c r="O11" s="443"/>
      <c r="P11" s="444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</row>
    <row r="12" spans="1:52" ht="26.25" thickBot="1">
      <c r="A12" s="2" t="s">
        <v>15</v>
      </c>
      <c r="B12" s="2" t="s">
        <v>21</v>
      </c>
      <c r="C12" s="2" t="s">
        <v>22</v>
      </c>
      <c r="D12" s="2" t="s">
        <v>23</v>
      </c>
      <c r="E12" s="2" t="s">
        <v>24</v>
      </c>
      <c r="F12" s="17"/>
      <c r="G12" s="436"/>
      <c r="H12" s="436"/>
      <c r="I12" s="436"/>
      <c r="J12" s="436"/>
      <c r="K12" s="438"/>
      <c r="L12" s="438"/>
      <c r="M12" s="17"/>
      <c r="N12" s="2" t="s">
        <v>15</v>
      </c>
      <c r="O12" s="2" t="s">
        <v>1</v>
      </c>
      <c r="P12" s="2" t="s">
        <v>20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1:52" ht="13.5" thickTop="1">
      <c r="A13" s="41">
        <v>2022</v>
      </c>
      <c r="B13" s="84">
        <f>P13</f>
        <v>1790549.3929600837</v>
      </c>
      <c r="C13" s="85">
        <f>L13</f>
        <v>0</v>
      </c>
      <c r="D13" s="84">
        <f>C13-B13</f>
        <v>-1790549.3929600837</v>
      </c>
      <c r="E13" s="85">
        <f>D13</f>
        <v>-1790549.3929600837</v>
      </c>
      <c r="F13" s="17"/>
      <c r="G13" s="41">
        <v>2022</v>
      </c>
      <c r="H13" s="270"/>
      <c r="I13" s="85"/>
      <c r="J13" s="270"/>
      <c r="K13" s="85">
        <f>SUM(I13:J13)</f>
        <v>0</v>
      </c>
      <c r="L13" s="270">
        <f>K13*NPV!C6</f>
        <v>0</v>
      </c>
      <c r="M13" s="17"/>
      <c r="N13" s="41">
        <v>2022</v>
      </c>
      <c r="O13" s="84">
        <f>Costs!F5</f>
        <v>2050000</v>
      </c>
      <c r="P13" s="85">
        <f>O13*NPV!C6</f>
        <v>1790549.3929600837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52">
      <c r="A14" s="41">
        <v>2023</v>
      </c>
      <c r="B14" s="84">
        <f>P14</f>
        <v>12550579.857196847</v>
      </c>
      <c r="C14" s="85">
        <f>L14</f>
        <v>0</v>
      </c>
      <c r="D14" s="84">
        <f>C14-B14</f>
        <v>-12550579.857196847</v>
      </c>
      <c r="E14" s="85">
        <f>D14+E13</f>
        <v>-14341129.250156932</v>
      </c>
      <c r="F14" s="17"/>
      <c r="G14" s="41">
        <v>2023</v>
      </c>
      <c r="H14" s="270"/>
      <c r="I14" s="85"/>
      <c r="J14" s="270"/>
      <c r="K14" s="85">
        <f>SUM(I14:J14)</f>
        <v>0</v>
      </c>
      <c r="L14" s="270">
        <f>K14*NPV!C7</f>
        <v>0</v>
      </c>
      <c r="M14" s="17"/>
      <c r="N14" s="41">
        <v>2023</v>
      </c>
      <c r="O14" s="84">
        <f>Costs!F6</f>
        <v>15375000</v>
      </c>
      <c r="P14" s="85">
        <f>O14*NPV!C7</f>
        <v>12550579.857196847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52">
      <c r="A15" s="41">
        <f t="shared" ref="A15:A35" si="0">A14+1</f>
        <v>2024</v>
      </c>
      <c r="B15" s="84">
        <f t="shared" ref="B15:B33" si="1">P15</f>
        <v>2345902.7770461398</v>
      </c>
      <c r="C15" s="85">
        <f t="shared" ref="C15:C33" si="2">L15</f>
        <v>0</v>
      </c>
      <c r="D15" s="84">
        <f>C15-B15</f>
        <v>-2345902.7770461398</v>
      </c>
      <c r="E15" s="85">
        <f>D15+E14</f>
        <v>-16687032.027203072</v>
      </c>
      <c r="F15" s="17"/>
      <c r="G15" s="41">
        <f t="shared" ref="G15:G35" si="3">G14+1</f>
        <v>2024</v>
      </c>
      <c r="H15" s="270"/>
      <c r="I15" s="85"/>
      <c r="J15" s="270"/>
      <c r="K15" s="85">
        <f t="shared" ref="K15:K35" si="4">SUM(H15:J15)</f>
        <v>0</v>
      </c>
      <c r="L15" s="270">
        <f>K15*NPV!C8</f>
        <v>0</v>
      </c>
      <c r="M15" s="17"/>
      <c r="N15" s="41">
        <f t="shared" ref="N15:N35" si="5">N14+1</f>
        <v>2024</v>
      </c>
      <c r="O15" s="84">
        <f>Costs!F7</f>
        <v>3075000</v>
      </c>
      <c r="P15" s="85">
        <f>O15*NPV!C8</f>
        <v>2345902.7770461398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52">
      <c r="A16" s="41">
        <f t="shared" si="0"/>
        <v>2025</v>
      </c>
      <c r="B16" s="84">
        <f t="shared" si="1"/>
        <v>0</v>
      </c>
      <c r="C16" s="85">
        <f>L16</f>
        <v>9024235.9857929088</v>
      </c>
      <c r="D16" s="84">
        <f t="shared" ref="D16:D33" si="6">C16-B16</f>
        <v>9024235.9857929088</v>
      </c>
      <c r="E16" s="85">
        <f>D16+E15</f>
        <v>-7662796.041410163</v>
      </c>
      <c r="F16" s="17"/>
      <c r="G16" s="41">
        <f t="shared" si="3"/>
        <v>2025</v>
      </c>
      <c r="H16" s="270">
        <f>'O&amp;M'!F9</f>
        <v>236300</v>
      </c>
      <c r="I16" s="85">
        <f>'Flood Damage'!D8</f>
        <v>2206.9720270356052</v>
      </c>
      <c r="J16" s="270">
        <f>'Loss of Use'!E8</f>
        <v>12418450.828092031</v>
      </c>
      <c r="K16" s="85">
        <f t="shared" si="4"/>
        <v>12656957.800119067</v>
      </c>
      <c r="L16" s="270">
        <f>K16*NPV!C9</f>
        <v>9024235.9857929088</v>
      </c>
      <c r="M16" s="17"/>
      <c r="N16" s="41">
        <f t="shared" si="5"/>
        <v>2025</v>
      </c>
      <c r="O16" s="84">
        <f>Costs!F8</f>
        <v>0</v>
      </c>
      <c r="P16" s="85">
        <f>O16*NPV!C9</f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>
      <c r="A17" s="41">
        <f t="shared" si="0"/>
        <v>2026</v>
      </c>
      <c r="B17" s="84">
        <f t="shared" si="1"/>
        <v>0</v>
      </c>
      <c r="C17" s="85">
        <f t="shared" si="2"/>
        <v>8489250.0934404526</v>
      </c>
      <c r="D17" s="84">
        <f t="shared" si="6"/>
        <v>8489250.0934404526</v>
      </c>
      <c r="E17" s="85">
        <f>D17+E16</f>
        <v>826454.05203028955</v>
      </c>
      <c r="F17" s="17"/>
      <c r="G17" s="41">
        <f t="shared" si="3"/>
        <v>2026</v>
      </c>
      <c r="H17" s="270">
        <f>'O&amp;M'!F10</f>
        <v>6300</v>
      </c>
      <c r="I17" s="85">
        <f>'Flood Damage'!D9</f>
        <v>2261.3880130885764</v>
      </c>
      <c r="J17" s="270">
        <f>'Loss of Use'!E9</f>
        <v>12731513.891649958</v>
      </c>
      <c r="K17" s="85">
        <f t="shared" si="4"/>
        <v>12740075.279663047</v>
      </c>
      <c r="L17" s="270">
        <f>K17*NPV!C10</f>
        <v>8489250.0934404526</v>
      </c>
      <c r="M17" s="17"/>
      <c r="N17" s="41">
        <f t="shared" si="5"/>
        <v>2026</v>
      </c>
      <c r="O17" s="84">
        <f>Costs!F9</f>
        <v>0</v>
      </c>
      <c r="P17" s="85">
        <f>O17*NPV!C10</f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>
      <c r="A18" s="41">
        <f t="shared" si="0"/>
        <v>2027</v>
      </c>
      <c r="B18" s="84">
        <f t="shared" si="1"/>
        <v>0</v>
      </c>
      <c r="C18" s="85">
        <f>L18</f>
        <v>8173035.9405921232</v>
      </c>
      <c r="D18" s="84">
        <f t="shared" si="6"/>
        <v>8173035.9405921232</v>
      </c>
      <c r="E18" s="85">
        <f t="shared" ref="E18:E33" si="7">D18+E17</f>
        <v>8999489.9926224127</v>
      </c>
      <c r="F18" s="17"/>
      <c r="G18" s="41">
        <f t="shared" si="3"/>
        <v>2027</v>
      </c>
      <c r="H18" s="270">
        <f>'O&amp;M'!F11</f>
        <v>6300</v>
      </c>
      <c r="I18" s="85">
        <f>'Flood Damage'!D10</f>
        <v>2319.6745109155763</v>
      </c>
      <c r="J18" s="270">
        <f>'Loss of Use'!E10</f>
        <v>13115490.045484381</v>
      </c>
      <c r="K18" s="85">
        <f t="shared" si="4"/>
        <v>13124109.719995296</v>
      </c>
      <c r="L18" s="270">
        <f>K18*NPV!C11</f>
        <v>8173035.9405921232</v>
      </c>
      <c r="M18" s="17"/>
      <c r="N18" s="41">
        <f t="shared" si="5"/>
        <v>2027</v>
      </c>
      <c r="O18" s="84">
        <f>Costs!F10</f>
        <v>0</v>
      </c>
      <c r="P18" s="85">
        <f>O18*NPV!C11</f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</row>
    <row r="19" spans="1:49">
      <c r="A19" s="41">
        <f t="shared" si="0"/>
        <v>2028</v>
      </c>
      <c r="B19" s="84">
        <f t="shared" si="1"/>
        <v>0</v>
      </c>
      <c r="C19" s="85">
        <f t="shared" si="2"/>
        <v>7906895.1665893598</v>
      </c>
      <c r="D19" s="84">
        <f t="shared" si="6"/>
        <v>7906895.1665893598</v>
      </c>
      <c r="E19" s="85">
        <f t="shared" si="7"/>
        <v>16906385.159211773</v>
      </c>
      <c r="F19" s="17"/>
      <c r="G19" s="41">
        <f t="shared" si="3"/>
        <v>2028</v>
      </c>
      <c r="H19" s="270">
        <f>'O&amp;M'!F12</f>
        <v>6300</v>
      </c>
      <c r="I19" s="85">
        <f>'Flood Damage'!D11</f>
        <v>2382.1525434415976</v>
      </c>
      <c r="J19" s="270">
        <f>'Loss of Use'!E11</f>
        <v>13576835.848070204</v>
      </c>
      <c r="K19" s="85">
        <f t="shared" si="4"/>
        <v>13585518.000613647</v>
      </c>
      <c r="L19" s="270">
        <f>K19*NPV!C12</f>
        <v>7906895.1665893598</v>
      </c>
      <c r="M19" s="17"/>
      <c r="N19" s="41">
        <f t="shared" si="5"/>
        <v>2028</v>
      </c>
      <c r="O19" s="84">
        <f>Costs!F11</f>
        <v>0</v>
      </c>
      <c r="P19" s="85">
        <f>O19*NPV!C12</f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</row>
    <row r="20" spans="1:49">
      <c r="A20" s="41">
        <f t="shared" si="0"/>
        <v>2029</v>
      </c>
      <c r="B20" s="84">
        <f t="shared" si="1"/>
        <v>0</v>
      </c>
      <c r="C20" s="85">
        <f t="shared" si="2"/>
        <v>7688094.9883086579</v>
      </c>
      <c r="D20" s="84">
        <f t="shared" si="6"/>
        <v>7688094.9883086579</v>
      </c>
      <c r="E20" s="85">
        <f t="shared" si="7"/>
        <v>24594480.14752043</v>
      </c>
      <c r="F20" s="17"/>
      <c r="G20" s="41">
        <f t="shared" si="3"/>
        <v>2029</v>
      </c>
      <c r="H20" s="270">
        <f>'O&amp;M'!F13</f>
        <v>6300</v>
      </c>
      <c r="I20" s="85">
        <f>'Flood Damage'!D12</f>
        <v>2449.5370071341763</v>
      </c>
      <c r="J20" s="270">
        <f>'Loss of Use'!E12</f>
        <v>14125499.520210139</v>
      </c>
      <c r="K20" s="85">
        <f t="shared" si="4"/>
        <v>14134249.057217274</v>
      </c>
      <c r="L20" s="270">
        <f>K20*NPV!C13</f>
        <v>7688094.9883086579</v>
      </c>
      <c r="M20" s="17"/>
      <c r="N20" s="41">
        <f t="shared" si="5"/>
        <v>2029</v>
      </c>
      <c r="O20" s="84">
        <f>Costs!F12</f>
        <v>0</v>
      </c>
      <c r="P20" s="85">
        <f>O20*NPV!C13</f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>
      <c r="A21" s="41">
        <f t="shared" si="0"/>
        <v>2030</v>
      </c>
      <c r="B21" s="84">
        <f t="shared" si="1"/>
        <v>0</v>
      </c>
      <c r="C21" s="85">
        <f t="shared" si="2"/>
        <v>7521217.3986937702</v>
      </c>
      <c r="D21" s="84">
        <f>C21-B21</f>
        <v>7521217.3986937702</v>
      </c>
      <c r="E21" s="85">
        <f t="shared" si="7"/>
        <v>32115697.546214201</v>
      </c>
      <c r="F21" s="17"/>
      <c r="G21" s="41">
        <f t="shared" si="3"/>
        <v>2030</v>
      </c>
      <c r="H21" s="270">
        <f>'O&amp;M'!F14</f>
        <v>6300</v>
      </c>
      <c r="I21" s="85">
        <f>'Flood Damage'!D13</f>
        <v>2523.4390936068007</v>
      </c>
      <c r="J21" s="270">
        <f>'Loss of Use'!E13</f>
        <v>14786549.575216739</v>
      </c>
      <c r="K21" s="85">
        <f t="shared" si="4"/>
        <v>14795373.014310345</v>
      </c>
      <c r="L21" s="270">
        <f>K21*NPV!C14</f>
        <v>7521217.3986937702</v>
      </c>
      <c r="M21" s="17"/>
      <c r="N21" s="41">
        <f t="shared" si="5"/>
        <v>2030</v>
      </c>
      <c r="O21" s="84">
        <f>Costs!F13</f>
        <v>0</v>
      </c>
      <c r="P21" s="85">
        <f>O21*NPV!C14</f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49">
      <c r="A22" s="41">
        <f t="shared" si="0"/>
        <v>2031</v>
      </c>
      <c r="B22" s="84">
        <f t="shared" si="1"/>
        <v>0</v>
      </c>
      <c r="C22" s="85">
        <f t="shared" si="2"/>
        <v>7364514.5959491795</v>
      </c>
      <c r="D22" s="84">
        <f t="shared" si="6"/>
        <v>7364514.5959491795</v>
      </c>
      <c r="E22" s="85">
        <f t="shared" si="7"/>
        <v>39480212.142163381</v>
      </c>
      <c r="F22" s="17"/>
      <c r="G22" s="41">
        <f t="shared" si="3"/>
        <v>2031</v>
      </c>
      <c r="H22" s="270">
        <f>'O&amp;M'!F15</f>
        <v>6300</v>
      </c>
      <c r="I22" s="85">
        <f>'Flood Damage'!D14</f>
        <v>2599.0317318714542</v>
      </c>
      <c r="J22" s="270">
        <f>'Loss of Use'!E14</f>
        <v>15492313.893292392</v>
      </c>
      <c r="K22" s="85">
        <f t="shared" si="4"/>
        <v>15501212.925024264</v>
      </c>
      <c r="L22" s="270">
        <f>K22*NPV!C15</f>
        <v>7364514.5959491795</v>
      </c>
      <c r="M22" s="17"/>
      <c r="N22" s="41">
        <f t="shared" si="5"/>
        <v>2031</v>
      </c>
      <c r="O22" s="84">
        <f>Costs!F14</f>
        <v>0</v>
      </c>
      <c r="P22" s="85">
        <f>O22*NPV!C15</f>
        <v>0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49">
      <c r="A23" s="41">
        <f t="shared" si="0"/>
        <v>2032</v>
      </c>
      <c r="B23" s="84">
        <f t="shared" si="1"/>
        <v>0</v>
      </c>
      <c r="C23" s="85">
        <f t="shared" si="2"/>
        <v>7250632.8470553355</v>
      </c>
      <c r="D23" s="84">
        <f t="shared" si="6"/>
        <v>7250632.8470553355</v>
      </c>
      <c r="E23" s="85">
        <f t="shared" si="7"/>
        <v>46730844.989218719</v>
      </c>
      <c r="F23" s="17"/>
      <c r="G23" s="41">
        <f t="shared" si="3"/>
        <v>2032</v>
      </c>
      <c r="H23" s="270">
        <f>'O&amp;M'!F16</f>
        <v>6300</v>
      </c>
      <c r="I23" s="85">
        <f>'Flood Damage'!D15</f>
        <v>2681.044628316844</v>
      </c>
      <c r="J23" s="270">
        <f>'Loss of Use'!E15</f>
        <v>16320833.268152779</v>
      </c>
      <c r="K23" s="85">
        <f t="shared" si="4"/>
        <v>16329814.312781096</v>
      </c>
      <c r="L23" s="270">
        <f>K23*NPV!C16</f>
        <v>7250632.8470553355</v>
      </c>
      <c r="M23" s="17"/>
      <c r="N23" s="41">
        <f t="shared" si="5"/>
        <v>2032</v>
      </c>
      <c r="O23" s="84">
        <f>Costs!F15</f>
        <v>0</v>
      </c>
      <c r="P23" s="85">
        <f>O23*NPV!C16</f>
        <v>0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</row>
    <row r="24" spans="1:49">
      <c r="A24" s="41">
        <f t="shared" si="0"/>
        <v>2033</v>
      </c>
      <c r="B24" s="84">
        <f t="shared" si="1"/>
        <v>0</v>
      </c>
      <c r="C24" s="85">
        <f t="shared" si="2"/>
        <v>7177952.0889515541</v>
      </c>
      <c r="D24" s="84">
        <f t="shared" si="6"/>
        <v>7177952.0889515541</v>
      </c>
      <c r="E24" s="85">
        <f t="shared" si="7"/>
        <v>53908797.07817027</v>
      </c>
      <c r="F24" s="17"/>
      <c r="G24" s="41">
        <f t="shared" si="3"/>
        <v>2033</v>
      </c>
      <c r="H24" s="270">
        <f>'O&amp;M'!F17</f>
        <v>6300</v>
      </c>
      <c r="I24" s="85">
        <f>'Flood Damage'!D16</f>
        <v>2770.3459906848675</v>
      </c>
      <c r="J24" s="270">
        <f>'Loss of Use'!E16</f>
        <v>17288681.607158814</v>
      </c>
      <c r="K24" s="85">
        <f t="shared" si="4"/>
        <v>17297751.953149498</v>
      </c>
      <c r="L24" s="270">
        <f>K24*NPV!C17</f>
        <v>7177952.0889515541</v>
      </c>
      <c r="M24" s="17"/>
      <c r="N24" s="41">
        <f t="shared" si="5"/>
        <v>2033</v>
      </c>
      <c r="O24" s="84">
        <f>Costs!F16</f>
        <v>0</v>
      </c>
      <c r="P24" s="85">
        <f>O24*NPV!C17</f>
        <v>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</row>
    <row r="25" spans="1:49">
      <c r="A25" s="41">
        <f t="shared" si="0"/>
        <v>2034</v>
      </c>
      <c r="B25" s="84">
        <f t="shared" si="1"/>
        <v>0</v>
      </c>
      <c r="C25" s="85">
        <f t="shared" si="2"/>
        <v>7145530.7922611693</v>
      </c>
      <c r="D25" s="84">
        <f t="shared" si="6"/>
        <v>7145530.7922611693</v>
      </c>
      <c r="E25" s="85">
        <f t="shared" si="7"/>
        <v>61054327.870431438</v>
      </c>
      <c r="F25" s="17"/>
      <c r="G25" s="41">
        <f t="shared" si="3"/>
        <v>2034</v>
      </c>
      <c r="H25" s="270">
        <f>'O&amp;M'!F18</f>
        <v>6300</v>
      </c>
      <c r="I25" s="85">
        <f>'Flood Damage'!D17</f>
        <v>2867.9693494217017</v>
      </c>
      <c r="J25" s="270">
        <f>'Loss of Use'!E17</f>
        <v>18415827.199810576</v>
      </c>
      <c r="K25" s="85">
        <f t="shared" si="4"/>
        <v>18424995.169159997</v>
      </c>
      <c r="L25" s="270">
        <f>K25*NPV!C18</f>
        <v>7145530.7922611693</v>
      </c>
      <c r="M25" s="17"/>
      <c r="N25" s="41">
        <f t="shared" si="5"/>
        <v>2034</v>
      </c>
      <c r="O25" s="84">
        <f>Costs!F17</f>
        <v>0</v>
      </c>
      <c r="P25" s="85">
        <f>O25*NPV!C18</f>
        <v>0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  <row r="26" spans="1:49">
      <c r="A26" s="41">
        <f t="shared" si="0"/>
        <v>2035</v>
      </c>
      <c r="B26" s="84">
        <f t="shared" si="1"/>
        <v>0</v>
      </c>
      <c r="C26" s="85">
        <f t="shared" si="2"/>
        <v>7153080.5509597911</v>
      </c>
      <c r="D26" s="84">
        <f t="shared" si="6"/>
        <v>7153080.5509597911</v>
      </c>
      <c r="E26" s="85">
        <f t="shared" si="7"/>
        <v>68207408.421391234</v>
      </c>
      <c r="F26" s="17"/>
      <c r="G26" s="41">
        <f t="shared" si="3"/>
        <v>2035</v>
      </c>
      <c r="H26" s="270">
        <f>'O&amp;M'!F19</f>
        <v>6300</v>
      </c>
      <c r="I26" s="85">
        <f>'Flood Damage'!D18</f>
        <v>2975.1479491128785</v>
      </c>
      <c r="J26" s="270">
        <f>'Loss of Use'!E18</f>
        <v>19726299.705426373</v>
      </c>
      <c r="K26" s="85">
        <f t="shared" si="4"/>
        <v>19735574.853375487</v>
      </c>
      <c r="L26" s="270">
        <f>K26*NPV!C19</f>
        <v>7153080.5509597911</v>
      </c>
      <c r="M26" s="17"/>
      <c r="N26" s="41">
        <f t="shared" si="5"/>
        <v>2035</v>
      </c>
      <c r="O26" s="84">
        <f>Costs!F18</f>
        <v>0</v>
      </c>
      <c r="P26" s="85">
        <f>O26*NPV!C19</f>
        <v>0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</row>
    <row r="27" spans="1:49">
      <c r="A27" s="41">
        <f t="shared" si="0"/>
        <v>2036</v>
      </c>
      <c r="B27" s="84">
        <f t="shared" si="1"/>
        <v>0</v>
      </c>
      <c r="C27" s="85">
        <f t="shared" si="2"/>
        <v>7200958.695601888</v>
      </c>
      <c r="D27" s="84">
        <f t="shared" si="6"/>
        <v>7200958.695601888</v>
      </c>
      <c r="E27" s="85">
        <f t="shared" si="7"/>
        <v>75408367.116993129</v>
      </c>
      <c r="F27" s="17"/>
      <c r="G27" s="41">
        <f t="shared" si="3"/>
        <v>2036</v>
      </c>
      <c r="H27" s="270">
        <f>'O&amp;M'!F20</f>
        <v>6300</v>
      </c>
      <c r="I27" s="85">
        <f>'Flood Damage'!D19</f>
        <v>3093.2465648160542</v>
      </c>
      <c r="J27" s="270">
        <f>'Loss of Use'!E19</f>
        <v>21249015.969507921</v>
      </c>
      <c r="K27" s="85">
        <f t="shared" si="4"/>
        <v>21258409.216072738</v>
      </c>
      <c r="L27" s="270">
        <f>K27*NPV!C20</f>
        <v>7200958.695601888</v>
      </c>
      <c r="M27" s="17"/>
      <c r="N27" s="41">
        <f t="shared" si="5"/>
        <v>2036</v>
      </c>
      <c r="O27" s="84">
        <f>Costs!F19</f>
        <v>0</v>
      </c>
      <c r="P27" s="85">
        <f>O27*NPV!C20</f>
        <v>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49">
      <c r="A28" s="41">
        <f t="shared" si="0"/>
        <v>2037</v>
      </c>
      <c r="B28" s="84">
        <f t="shared" si="1"/>
        <v>0</v>
      </c>
      <c r="C28" s="85">
        <f t="shared" si="2"/>
        <v>7290178.791753904</v>
      </c>
      <c r="D28" s="84">
        <f t="shared" si="6"/>
        <v>7290178.791753904</v>
      </c>
      <c r="E28" s="85">
        <f t="shared" si="7"/>
        <v>82698545.908747032</v>
      </c>
      <c r="F28" s="17"/>
      <c r="G28" s="41">
        <f t="shared" si="3"/>
        <v>2037</v>
      </c>
      <c r="H28" s="270">
        <f>'O&amp;M'!F21</f>
        <v>6300</v>
      </c>
      <c r="I28" s="85">
        <f>'Flood Damage'!D20</f>
        <v>3224.242414876981</v>
      </c>
      <c r="J28" s="270">
        <f>'Loss of Use'!E20</f>
        <v>23018803.415631697</v>
      </c>
      <c r="K28" s="85">
        <f t="shared" si="4"/>
        <v>23028327.658046573</v>
      </c>
      <c r="L28" s="270">
        <f>K28*NPV!C21</f>
        <v>7290178.791753904</v>
      </c>
      <c r="M28" s="17"/>
      <c r="N28" s="41">
        <f t="shared" si="5"/>
        <v>2037</v>
      </c>
      <c r="O28" s="84">
        <f>Costs!F20</f>
        <v>0</v>
      </c>
      <c r="P28" s="85">
        <f>O28*NPV!C21</f>
        <v>0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</row>
    <row r="29" spans="1:49">
      <c r="A29" s="41">
        <f t="shared" si="0"/>
        <v>2038</v>
      </c>
      <c r="B29" s="84">
        <f t="shared" si="1"/>
        <v>0</v>
      </c>
      <c r="C29" s="85">
        <f t="shared" si="2"/>
        <v>7422438.796757957</v>
      </c>
      <c r="D29" s="84">
        <f t="shared" si="6"/>
        <v>7422438.796757957</v>
      </c>
      <c r="E29" s="85">
        <f t="shared" si="7"/>
        <v>90120984.705504984</v>
      </c>
      <c r="F29" s="17"/>
      <c r="G29" s="41">
        <f t="shared" si="3"/>
        <v>2038</v>
      </c>
      <c r="H29" s="270">
        <f>'O&amp;M'!F22</f>
        <v>6300</v>
      </c>
      <c r="I29" s="85">
        <f>'Flood Damage'!D21</f>
        <v>3370.1603364214357</v>
      </c>
      <c r="J29" s="270">
        <f>'Loss of Use'!E21</f>
        <v>25077670.293475162</v>
      </c>
      <c r="K29" s="85">
        <f t="shared" si="4"/>
        <v>25087340.453811582</v>
      </c>
      <c r="L29" s="270">
        <f>K29*NPV!C22</f>
        <v>7422438.796757957</v>
      </c>
      <c r="M29" s="17"/>
      <c r="N29" s="41">
        <f t="shared" si="5"/>
        <v>2038</v>
      </c>
      <c r="O29" s="84">
        <f>Costs!F21</f>
        <v>0</v>
      </c>
      <c r="P29" s="85">
        <f>O29*NPV!C22</f>
        <v>0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</row>
    <row r="30" spans="1:49">
      <c r="A30" s="41">
        <f t="shared" si="0"/>
        <v>2039</v>
      </c>
      <c r="B30" s="84">
        <f t="shared" si="1"/>
        <v>0</v>
      </c>
      <c r="C30" s="85">
        <f t="shared" si="2"/>
        <v>7600168.6373896999</v>
      </c>
      <c r="D30" s="84">
        <f t="shared" si="6"/>
        <v>7600168.6373896999</v>
      </c>
      <c r="E30" s="85">
        <f t="shared" si="7"/>
        <v>97721153.342894688</v>
      </c>
      <c r="F30" s="17"/>
      <c r="G30" s="41">
        <f t="shared" si="3"/>
        <v>2039</v>
      </c>
      <c r="H30" s="270">
        <f>'O&amp;M'!F23</f>
        <v>6300</v>
      </c>
      <c r="I30" s="85">
        <f>'Flood Damage'!D22</f>
        <v>3533.5628048543267</v>
      </c>
      <c r="J30" s="270">
        <f>'Loss of Use'!E22</f>
        <v>27476385.585215408</v>
      </c>
      <c r="K30" s="85">
        <f t="shared" si="4"/>
        <v>27486219.148020264</v>
      </c>
      <c r="L30" s="270">
        <f>K30*NPV!C23</f>
        <v>7600168.6373896999</v>
      </c>
      <c r="M30" s="17"/>
      <c r="N30" s="41">
        <f t="shared" si="5"/>
        <v>2039</v>
      </c>
      <c r="O30" s="84">
        <f>Costs!F22</f>
        <v>0</v>
      </c>
      <c r="P30" s="85">
        <f>O30*NPV!C23</f>
        <v>0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</row>
    <row r="31" spans="1:49">
      <c r="A31" s="41">
        <f t="shared" si="0"/>
        <v>2040</v>
      </c>
      <c r="B31" s="84">
        <f t="shared" si="1"/>
        <v>0</v>
      </c>
      <c r="C31" s="85">
        <f t="shared" si="2"/>
        <v>7826598.4308306025</v>
      </c>
      <c r="D31" s="84">
        <f t="shared" si="6"/>
        <v>7826598.4308306025</v>
      </c>
      <c r="E31" s="85">
        <f t="shared" si="7"/>
        <v>105547751.77372529</v>
      </c>
      <c r="F31" s="17"/>
      <c r="G31" s="41">
        <f t="shared" si="3"/>
        <v>2040</v>
      </c>
      <c r="H31" s="270">
        <f>'O&amp;M'!F25</f>
        <v>6300</v>
      </c>
      <c r="I31" s="85">
        <f>'Flood Damage'!D23</f>
        <v>3717.549235344391</v>
      </c>
      <c r="J31" s="270">
        <f>'Loss of Use'!E23</f>
        <v>30276448.792668551</v>
      </c>
      <c r="K31" s="85">
        <f t="shared" si="4"/>
        <v>30286466.341903895</v>
      </c>
      <c r="L31" s="270">
        <f>K31*NPV!C24</f>
        <v>7826598.4308306025</v>
      </c>
      <c r="M31" s="17"/>
      <c r="N31" s="41">
        <f t="shared" si="5"/>
        <v>2040</v>
      </c>
      <c r="O31" s="84">
        <f>Costs!F23</f>
        <v>0</v>
      </c>
      <c r="P31" s="85">
        <f>O31*NPV!C24</f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</row>
    <row r="32" spans="1:49">
      <c r="A32" s="41">
        <f t="shared" si="0"/>
        <v>2041</v>
      </c>
      <c r="B32" s="84">
        <f t="shared" si="1"/>
        <v>0</v>
      </c>
      <c r="C32" s="85">
        <f t="shared" si="2"/>
        <v>8105850.1694728285</v>
      </c>
      <c r="D32" s="84">
        <f t="shared" si="6"/>
        <v>8105850.1694728285</v>
      </c>
      <c r="E32" s="85">
        <f t="shared" si="7"/>
        <v>113653601.94319811</v>
      </c>
      <c r="F32" s="17"/>
      <c r="G32" s="41">
        <f t="shared" si="3"/>
        <v>2041</v>
      </c>
      <c r="H32" s="270">
        <f>'O&amp;M'!F26</f>
        <v>6300</v>
      </c>
      <c r="I32" s="85">
        <f>'Flood Damage'!D24</f>
        <v>3925.8808132154008</v>
      </c>
      <c r="J32" s="270">
        <f>'Loss of Use'!E24</f>
        <v>33552552.347160254</v>
      </c>
      <c r="K32" s="85">
        <f t="shared" si="4"/>
        <v>33562778.227973469</v>
      </c>
      <c r="L32" s="270">
        <f>K32*NPV!C25</f>
        <v>8105850.1694728285</v>
      </c>
      <c r="M32" s="17"/>
      <c r="N32" s="41">
        <f t="shared" si="5"/>
        <v>2041</v>
      </c>
      <c r="O32" s="84">
        <f>Costs!F24</f>
        <v>0</v>
      </c>
      <c r="P32" s="85">
        <f>O32*NPV!C25</f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2">
      <c r="A33" s="41">
        <f t="shared" si="0"/>
        <v>2042</v>
      </c>
      <c r="B33" s="84">
        <f t="shared" si="1"/>
        <v>0</v>
      </c>
      <c r="C33" s="85">
        <f t="shared" si="2"/>
        <v>8443056.3892933168</v>
      </c>
      <c r="D33" s="84">
        <f t="shared" si="6"/>
        <v>8443056.3892933168</v>
      </c>
      <c r="E33" s="85">
        <f t="shared" si="7"/>
        <v>122096658.33249143</v>
      </c>
      <c r="F33" s="17"/>
      <c r="G33" s="41">
        <f t="shared" si="3"/>
        <v>2042</v>
      </c>
      <c r="H33" s="270">
        <f>'O&amp;M'!F27</f>
        <v>6300</v>
      </c>
      <c r="I33" s="85">
        <f>'Flood Damage'!D25</f>
        <v>4163.1350423149297</v>
      </c>
      <c r="J33" s="270">
        <f>'Loss of Use'!E25</f>
        <v>37395668.592291877</v>
      </c>
      <c r="K33" s="85">
        <f t="shared" si="4"/>
        <v>37406131.727334194</v>
      </c>
      <c r="L33" s="270">
        <f>K33*NPV!C26</f>
        <v>8443056.3892933168</v>
      </c>
      <c r="M33" s="17"/>
      <c r="N33" s="41">
        <f t="shared" si="5"/>
        <v>2042</v>
      </c>
      <c r="O33" s="84">
        <f>Costs!F25</f>
        <v>0</v>
      </c>
      <c r="P33" s="85">
        <f>O33*NPV!C26</f>
        <v>0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</row>
    <row r="34" spans="1:52">
      <c r="A34" s="41">
        <f t="shared" si="0"/>
        <v>2043</v>
      </c>
      <c r="B34" s="133">
        <f>P34</f>
        <v>0</v>
      </c>
      <c r="C34" s="134">
        <f>L34</f>
        <v>8844510.4622494988</v>
      </c>
      <c r="D34" s="133">
        <f>C34-B34</f>
        <v>8844510.4622494988</v>
      </c>
      <c r="E34" s="134">
        <f>D34+E33</f>
        <v>130941168.79474093</v>
      </c>
      <c r="F34" s="17"/>
      <c r="G34" s="41">
        <f t="shared" si="3"/>
        <v>2043</v>
      </c>
      <c r="H34" s="270">
        <f>'O&amp;M'!F28</f>
        <v>6300</v>
      </c>
      <c r="I34" s="85">
        <f>'Flood Damage'!D26</f>
        <v>4434.6740353268833</v>
      </c>
      <c r="J34" s="270">
        <f>'Loss of Use'!E26</f>
        <v>41916931.29567498</v>
      </c>
      <c r="K34" s="85">
        <f t="shared" si="4"/>
        <v>41927665.969710305</v>
      </c>
      <c r="L34" s="270">
        <f>K34*NPV!C27</f>
        <v>8844510.4622494988</v>
      </c>
      <c r="M34" s="17"/>
      <c r="N34" s="41">
        <f t="shared" si="5"/>
        <v>2043</v>
      </c>
      <c r="O34" s="84">
        <f>Costs!F26</f>
        <v>0</v>
      </c>
      <c r="P34" s="85">
        <f>O34*NPV!C27</f>
        <v>0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</row>
    <row r="35" spans="1:52" ht="13.5" thickBot="1">
      <c r="A35" s="42">
        <f t="shared" si="0"/>
        <v>2044</v>
      </c>
      <c r="B35" s="132">
        <f>P35</f>
        <v>-2424903.4253701954</v>
      </c>
      <c r="C35" s="91">
        <f>L35</f>
        <v>9386797.0263973251</v>
      </c>
      <c r="D35" s="132">
        <f>C35-B35</f>
        <v>11811700.451767521</v>
      </c>
      <c r="E35" s="91">
        <f>D35+E34</f>
        <v>142752869.24650845</v>
      </c>
      <c r="F35" s="17"/>
      <c r="G35" s="44">
        <f t="shared" si="3"/>
        <v>2044</v>
      </c>
      <c r="H35" s="270">
        <f>'O&amp;M'!F29</f>
        <v>356000</v>
      </c>
      <c r="I35" s="85">
        <f>'Flood Damage'!D27</f>
        <v>4747.7772002157535</v>
      </c>
      <c r="J35" s="270">
        <f>'Loss of Use'!E27</f>
        <v>47252531.257638417</v>
      </c>
      <c r="K35" s="87">
        <f t="shared" si="4"/>
        <v>47613279.034838632</v>
      </c>
      <c r="L35" s="271">
        <f>K35*NPV!C28</f>
        <v>9386797.0263973251</v>
      </c>
      <c r="M35" s="17"/>
      <c r="N35" s="44">
        <f t="shared" si="5"/>
        <v>2044</v>
      </c>
      <c r="O35" s="86">
        <f>Costs!F27</f>
        <v>-12300000</v>
      </c>
      <c r="P35" s="87">
        <f>O35*NPV!C28</f>
        <v>-2424903.4253701954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2" ht="17.25" thickTop="1">
      <c r="A36" s="43" t="s">
        <v>19</v>
      </c>
      <c r="B36" s="88">
        <f>SUM(B13:B35)</f>
        <v>14262128.601832876</v>
      </c>
      <c r="C36" s="89">
        <f>SUM(C13:C35)</f>
        <v>157014997.84834132</v>
      </c>
      <c r="D36" s="88">
        <f>SUM(D13:D35)</f>
        <v>142752869.24650845</v>
      </c>
      <c r="E36" s="90"/>
      <c r="F36" s="17"/>
      <c r="G36" s="445" t="s">
        <v>25</v>
      </c>
      <c r="H36" s="450"/>
      <c r="I36" s="450"/>
      <c r="J36" s="446"/>
      <c r="K36" s="89">
        <f>SUM(K13:K35)</f>
        <v>455982249.86312068</v>
      </c>
      <c r="L36" s="272">
        <f>SUM(L13:L35)</f>
        <v>157014997.84834132</v>
      </c>
      <c r="M36" s="17"/>
      <c r="N36" s="445" t="s">
        <v>26</v>
      </c>
      <c r="O36" s="446"/>
      <c r="P36" s="89">
        <f>SUM(P13:P35)</f>
        <v>14262128.601832876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</row>
    <row r="38" spans="1:5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</row>
    <row r="39" spans="1:5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</row>
    <row r="40" spans="1:5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</row>
    <row r="45" spans="1:5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</row>
    <row r="46" spans="1:5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</row>
    <row r="47" spans="1:5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</row>
    <row r="48" spans="1:5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</row>
    <row r="49" spans="1:5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spans="1:5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</row>
    <row r="51" spans="1:5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</row>
    <row r="52" spans="1: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5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</row>
    <row r="54" spans="1:5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</row>
    <row r="55" spans="1:5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</row>
    <row r="56" spans="1:5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</row>
    <row r="57" spans="1:5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</row>
    <row r="58" spans="1:5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</row>
    <row r="59" spans="1:5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</row>
    <row r="60" spans="1:5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</row>
    <row r="62" spans="1:5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</row>
    <row r="63" spans="1:5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</row>
    <row r="64" spans="1:5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</row>
    <row r="65" spans="1:5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</row>
    <row r="66" spans="1:5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</row>
    <row r="67" spans="1:5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</row>
    <row r="68" spans="1:5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</row>
    <row r="69" spans="1:5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</row>
    <row r="70" spans="1:5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</row>
    <row r="71" spans="1:5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</row>
    <row r="72" spans="1:5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</row>
    <row r="73" spans="1:5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</row>
    <row r="74" spans="1:5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</row>
    <row r="75" spans="1:5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</row>
    <row r="76" spans="1:5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</row>
    <row r="77" spans="1:5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</row>
    <row r="78" spans="1:5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</row>
    <row r="79" spans="1:5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</row>
    <row r="80" spans="1:5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</row>
    <row r="81" spans="1:5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</row>
    <row r="82" spans="1:5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</row>
    <row r="83" spans="1:5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</row>
    <row r="84" spans="1:5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</row>
    <row r="85" spans="1:5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</row>
    <row r="86" spans="1:5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</row>
    <row r="87" spans="1:5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</row>
    <row r="88" spans="1:5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</row>
    <row r="89" spans="1:5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</row>
    <row r="90" spans="1:5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</row>
    <row r="91" spans="1:5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</row>
    <row r="92" spans="1:5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</row>
    <row r="93" spans="1:5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</row>
    <row r="94" spans="1:5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</row>
    <row r="95" spans="1:5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</row>
    <row r="96" spans="1:5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</row>
    <row r="97" spans="1:5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</row>
    <row r="98" spans="1:5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</row>
    <row r="99" spans="1:5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</row>
    <row r="100" spans="1:5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</row>
    <row r="101" spans="1:5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</row>
  </sheetData>
  <mergeCells count="12">
    <mergeCell ref="N36:O36"/>
    <mergeCell ref="I11:I12"/>
    <mergeCell ref="J11:J12"/>
    <mergeCell ref="G10:L10"/>
    <mergeCell ref="G36:J36"/>
    <mergeCell ref="N10:P11"/>
    <mergeCell ref="A3:C3"/>
    <mergeCell ref="H11:H12"/>
    <mergeCell ref="K11:K12"/>
    <mergeCell ref="L11:L12"/>
    <mergeCell ref="A10:E11"/>
    <mergeCell ref="G11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206"/>
  <sheetViews>
    <sheetView workbookViewId="0"/>
  </sheetViews>
  <sheetFormatPr defaultRowHeight="12.75"/>
  <cols>
    <col min="6" max="6" width="13.7109375" customWidth="1"/>
    <col min="7" max="7" width="11" customWidth="1"/>
    <col min="10" max="74" width="8.85546875" style="17"/>
  </cols>
  <sheetData>
    <row r="1" spans="1:9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451" t="s">
        <v>27</v>
      </c>
      <c r="B2" s="451"/>
      <c r="C2" s="451"/>
      <c r="D2" s="451"/>
      <c r="E2" s="17"/>
      <c r="F2" s="447" t="s">
        <v>28</v>
      </c>
      <c r="G2" s="449"/>
      <c r="H2" s="17"/>
      <c r="I2" s="17"/>
    </row>
    <row r="3" spans="1:9">
      <c r="A3" s="79"/>
      <c r="B3" s="79" t="s">
        <v>29</v>
      </c>
      <c r="C3" s="276">
        <v>7.0000000000000007E-2</v>
      </c>
      <c r="D3" s="276">
        <v>0.03</v>
      </c>
      <c r="E3" s="17"/>
      <c r="F3" s="83" t="s">
        <v>30</v>
      </c>
      <c r="G3" s="79" t="s">
        <v>31</v>
      </c>
      <c r="H3" s="17"/>
      <c r="I3" s="17"/>
    </row>
    <row r="4" spans="1:9">
      <c r="A4" s="41">
        <v>0</v>
      </c>
      <c r="B4" s="41">
        <v>2020</v>
      </c>
      <c r="C4" s="244">
        <v>1</v>
      </c>
      <c r="D4" s="309">
        <v>1</v>
      </c>
      <c r="E4" s="17"/>
      <c r="F4" s="41">
        <v>2003</v>
      </c>
      <c r="G4" s="426">
        <v>1.38</v>
      </c>
      <c r="H4" s="17"/>
      <c r="I4" s="17"/>
    </row>
    <row r="5" spans="1:9">
      <c r="A5" s="41">
        <f t="shared" ref="A5:A44" si="0">A4+1</f>
        <v>1</v>
      </c>
      <c r="B5" s="41">
        <f t="shared" ref="B5:B44" si="1">B4+1</f>
        <v>2021</v>
      </c>
      <c r="C5" s="244">
        <f>1/(1+$C$45)^A5</f>
        <v>0.93457943925233644</v>
      </c>
      <c r="D5" s="309">
        <f>1/(1+$D$45)^A5</f>
        <v>0.970873786407767</v>
      </c>
      <c r="E5" s="17"/>
      <c r="F5" s="41">
        <f t="shared" ref="F5:F21" si="2">F4+1</f>
        <v>2004</v>
      </c>
      <c r="G5" s="426">
        <v>1.34</v>
      </c>
      <c r="H5" s="17"/>
      <c r="I5" s="17"/>
    </row>
    <row r="6" spans="1:9">
      <c r="A6" s="41">
        <f t="shared" si="0"/>
        <v>2</v>
      </c>
      <c r="B6" s="41">
        <f t="shared" si="1"/>
        <v>2022</v>
      </c>
      <c r="C6" s="244">
        <f t="shared" ref="C6:C44" si="3">1/(1+$C$45)^A6</f>
        <v>0.87343872827321156</v>
      </c>
      <c r="D6" s="309">
        <f t="shared" ref="D6:D44" si="4">1/(1+$D$45)^A6</f>
        <v>0.94259590913375435</v>
      </c>
      <c r="E6" s="17"/>
      <c r="F6" s="41">
        <f t="shared" si="2"/>
        <v>2005</v>
      </c>
      <c r="G6" s="426">
        <v>1.3</v>
      </c>
      <c r="H6" s="17"/>
      <c r="I6" s="17"/>
    </row>
    <row r="7" spans="1:9">
      <c r="A7" s="41">
        <f t="shared" si="0"/>
        <v>3</v>
      </c>
      <c r="B7" s="41">
        <f t="shared" si="1"/>
        <v>2023</v>
      </c>
      <c r="C7" s="244">
        <f t="shared" si="3"/>
        <v>0.81629787689085187</v>
      </c>
      <c r="D7" s="309">
        <f t="shared" si="4"/>
        <v>0.91514165935315961</v>
      </c>
      <c r="E7" s="17"/>
      <c r="F7" s="41">
        <f t="shared" si="2"/>
        <v>2006</v>
      </c>
      <c r="G7" s="426">
        <v>1.26</v>
      </c>
      <c r="H7" s="17"/>
      <c r="I7" s="17"/>
    </row>
    <row r="8" spans="1:9">
      <c r="A8" s="41">
        <f t="shared" si="0"/>
        <v>4</v>
      </c>
      <c r="B8" s="41">
        <f t="shared" si="1"/>
        <v>2024</v>
      </c>
      <c r="C8" s="244">
        <f t="shared" si="3"/>
        <v>0.7628952120475252</v>
      </c>
      <c r="D8" s="309">
        <f t="shared" si="4"/>
        <v>0.888487047915689</v>
      </c>
      <c r="E8" s="17"/>
      <c r="F8" s="41">
        <f t="shared" si="2"/>
        <v>2007</v>
      </c>
      <c r="G8" s="426">
        <v>1.23</v>
      </c>
      <c r="H8" s="17"/>
      <c r="I8" s="17"/>
    </row>
    <row r="9" spans="1:9">
      <c r="A9" s="41">
        <f t="shared" si="0"/>
        <v>5</v>
      </c>
      <c r="B9" s="41">
        <f t="shared" si="1"/>
        <v>2025</v>
      </c>
      <c r="C9" s="244">
        <f t="shared" si="3"/>
        <v>0.71298617948366838</v>
      </c>
      <c r="D9" s="309">
        <f t="shared" si="4"/>
        <v>0.86260878438416411</v>
      </c>
      <c r="E9" s="17"/>
      <c r="F9" s="41">
        <f t="shared" si="2"/>
        <v>2008</v>
      </c>
      <c r="G9" s="426">
        <v>1.2</v>
      </c>
      <c r="H9" s="17"/>
      <c r="I9" s="17"/>
    </row>
    <row r="10" spans="1:9">
      <c r="A10" s="41">
        <f t="shared" si="0"/>
        <v>6</v>
      </c>
      <c r="B10" s="41">
        <f t="shared" si="1"/>
        <v>2026</v>
      </c>
      <c r="C10" s="244">
        <f t="shared" si="3"/>
        <v>0.66634222381651254</v>
      </c>
      <c r="D10" s="309">
        <f>1/(1+$D$45)^A10</f>
        <v>0.83748425668365445</v>
      </c>
      <c r="E10" s="17"/>
      <c r="F10" s="41">
        <f t="shared" si="2"/>
        <v>2009</v>
      </c>
      <c r="G10" s="426">
        <v>1.2</v>
      </c>
      <c r="H10" s="17"/>
      <c r="I10" s="17"/>
    </row>
    <row r="11" spans="1:9">
      <c r="A11" s="41">
        <f t="shared" si="0"/>
        <v>7</v>
      </c>
      <c r="B11" s="41">
        <f t="shared" si="1"/>
        <v>2027</v>
      </c>
      <c r="C11" s="244">
        <f t="shared" si="3"/>
        <v>0.62274974188459109</v>
      </c>
      <c r="D11" s="309">
        <f t="shared" si="4"/>
        <v>0.81309151134335378</v>
      </c>
      <c r="E11" s="17"/>
      <c r="F11" s="41">
        <f t="shared" si="2"/>
        <v>2010</v>
      </c>
      <c r="G11" s="426">
        <v>1.18</v>
      </c>
      <c r="H11" s="17"/>
      <c r="I11" s="17"/>
    </row>
    <row r="12" spans="1:9">
      <c r="A12" s="41">
        <f t="shared" si="0"/>
        <v>8</v>
      </c>
      <c r="B12" s="41">
        <f t="shared" si="1"/>
        <v>2028</v>
      </c>
      <c r="C12" s="244">
        <f t="shared" si="3"/>
        <v>0.5820091045650384</v>
      </c>
      <c r="D12" s="309">
        <f t="shared" si="4"/>
        <v>0.78940923431393573</v>
      </c>
      <c r="E12" s="17"/>
      <c r="F12" s="41">
        <f t="shared" si="2"/>
        <v>2011</v>
      </c>
      <c r="G12" s="426">
        <v>1.1599999999999999</v>
      </c>
      <c r="H12" s="17"/>
      <c r="I12" s="17"/>
    </row>
    <row r="13" spans="1:9">
      <c r="A13" s="41">
        <f t="shared" si="0"/>
        <v>9</v>
      </c>
      <c r="B13" s="41">
        <f t="shared" si="1"/>
        <v>2029</v>
      </c>
      <c r="C13" s="244">
        <f t="shared" si="3"/>
        <v>0.54393374258414806</v>
      </c>
      <c r="D13" s="309">
        <f t="shared" si="4"/>
        <v>0.76641673234362695</v>
      </c>
      <c r="E13" s="17"/>
      <c r="F13" s="41">
        <f t="shared" si="2"/>
        <v>2012</v>
      </c>
      <c r="G13" s="426">
        <v>1.1399999999999999</v>
      </c>
      <c r="H13" s="17"/>
      <c r="I13" s="17"/>
    </row>
    <row r="14" spans="1:9">
      <c r="A14" s="41">
        <f t="shared" si="0"/>
        <v>10</v>
      </c>
      <c r="B14" s="41">
        <f t="shared" si="1"/>
        <v>2030</v>
      </c>
      <c r="C14" s="244">
        <f t="shared" si="3"/>
        <v>0.5083492921347178</v>
      </c>
      <c r="D14" s="309">
        <f t="shared" si="4"/>
        <v>0.74409391489672516</v>
      </c>
      <c r="E14" s="17"/>
      <c r="F14" s="41">
        <f t="shared" si="2"/>
        <v>2013</v>
      </c>
      <c r="G14" s="426">
        <v>1.1200000000000001</v>
      </c>
      <c r="H14" s="17"/>
      <c r="I14" s="17"/>
    </row>
    <row r="15" spans="1:9">
      <c r="A15" s="41">
        <f t="shared" si="0"/>
        <v>11</v>
      </c>
      <c r="B15" s="41">
        <f t="shared" si="1"/>
        <v>2031</v>
      </c>
      <c r="C15" s="244">
        <f t="shared" si="3"/>
        <v>0.47509279638758667</v>
      </c>
      <c r="D15" s="309">
        <f t="shared" si="4"/>
        <v>0.72242127659876232</v>
      </c>
      <c r="E15" s="17"/>
      <c r="F15" s="41">
        <f t="shared" si="2"/>
        <v>2014</v>
      </c>
      <c r="G15" s="426">
        <v>1.1000000000000001</v>
      </c>
      <c r="H15" s="17"/>
      <c r="I15" s="17"/>
    </row>
    <row r="16" spans="1:9">
      <c r="A16" s="41">
        <f t="shared" si="0"/>
        <v>12</v>
      </c>
      <c r="B16" s="41">
        <f t="shared" si="1"/>
        <v>2032</v>
      </c>
      <c r="C16" s="244">
        <f t="shared" si="3"/>
        <v>0.44401195924073528</v>
      </c>
      <c r="D16" s="309">
        <f t="shared" si="4"/>
        <v>0.70137988019297326</v>
      </c>
      <c r="E16" s="17"/>
      <c r="F16" s="41">
        <f t="shared" si="2"/>
        <v>2015</v>
      </c>
      <c r="G16" s="426">
        <v>1.0900000000000001</v>
      </c>
      <c r="H16" s="17"/>
      <c r="I16" s="17"/>
    </row>
    <row r="17" spans="1:9">
      <c r="A17" s="41">
        <f t="shared" si="0"/>
        <v>13</v>
      </c>
      <c r="B17" s="41">
        <f t="shared" si="1"/>
        <v>2033</v>
      </c>
      <c r="C17" s="244">
        <f t="shared" si="3"/>
        <v>0.41496444788853759</v>
      </c>
      <c r="D17" s="309">
        <f t="shared" si="4"/>
        <v>0.68095133999317792</v>
      </c>
      <c r="E17" s="17"/>
      <c r="F17" s="41">
        <f t="shared" si="2"/>
        <v>2016</v>
      </c>
      <c r="G17" s="426">
        <v>1.07</v>
      </c>
      <c r="H17" s="17"/>
      <c r="I17" s="17"/>
    </row>
    <row r="18" spans="1:9">
      <c r="A18" s="41">
        <f t="shared" si="0"/>
        <v>14</v>
      </c>
      <c r="B18" s="41">
        <f t="shared" si="1"/>
        <v>2034</v>
      </c>
      <c r="C18" s="244">
        <f t="shared" si="3"/>
        <v>0.3878172410173249</v>
      </c>
      <c r="D18" s="309">
        <f t="shared" si="4"/>
        <v>0.66111780581861923</v>
      </c>
      <c r="E18" s="17"/>
      <c r="F18" s="41">
        <f t="shared" si="2"/>
        <v>2017</v>
      </c>
      <c r="G18" s="426">
        <v>1.05</v>
      </c>
      <c r="H18" s="17"/>
      <c r="I18" s="17"/>
    </row>
    <row r="19" spans="1:9">
      <c r="A19" s="41">
        <f t="shared" si="0"/>
        <v>15</v>
      </c>
      <c r="B19" s="41">
        <f t="shared" si="1"/>
        <v>2035</v>
      </c>
      <c r="C19" s="244">
        <f t="shared" si="3"/>
        <v>0.36244601964235967</v>
      </c>
      <c r="D19" s="309">
        <f t="shared" si="4"/>
        <v>0.64186194739671765</v>
      </c>
      <c r="E19" s="17"/>
      <c r="F19" s="41">
        <f t="shared" si="2"/>
        <v>2018</v>
      </c>
      <c r="G19" s="426">
        <v>1.03</v>
      </c>
      <c r="H19" s="17"/>
      <c r="I19" s="17"/>
    </row>
    <row r="20" spans="1:9">
      <c r="A20" s="41">
        <f t="shared" si="0"/>
        <v>16</v>
      </c>
      <c r="B20" s="41">
        <f t="shared" si="1"/>
        <v>2036</v>
      </c>
      <c r="C20" s="244">
        <f t="shared" si="3"/>
        <v>0.33873459779659787</v>
      </c>
      <c r="D20" s="309">
        <f t="shared" si="4"/>
        <v>0.62316693922011435</v>
      </c>
      <c r="E20" s="17"/>
      <c r="F20" s="41">
        <f t="shared" si="2"/>
        <v>2019</v>
      </c>
      <c r="G20" s="426">
        <v>1.01</v>
      </c>
      <c r="H20" s="17"/>
      <c r="I20" s="17"/>
    </row>
    <row r="21" spans="1:9">
      <c r="A21" s="41">
        <f t="shared" si="0"/>
        <v>17</v>
      </c>
      <c r="B21" s="41">
        <f t="shared" si="1"/>
        <v>2037</v>
      </c>
      <c r="C21" s="244">
        <f t="shared" si="3"/>
        <v>0.31657439046411018</v>
      </c>
      <c r="D21" s="309">
        <f t="shared" si="4"/>
        <v>0.60501644584477121</v>
      </c>
      <c r="E21" s="17"/>
      <c r="F21" s="41">
        <f t="shared" si="2"/>
        <v>2020</v>
      </c>
      <c r="G21" s="426">
        <v>1</v>
      </c>
      <c r="H21" s="17"/>
      <c r="I21" s="17"/>
    </row>
    <row r="22" spans="1:9">
      <c r="A22" s="41">
        <f t="shared" si="0"/>
        <v>18</v>
      </c>
      <c r="B22" s="41">
        <f t="shared" si="1"/>
        <v>2038</v>
      </c>
      <c r="C22" s="244">
        <f t="shared" si="3"/>
        <v>0.29586391632159825</v>
      </c>
      <c r="D22" s="309">
        <f t="shared" si="4"/>
        <v>0.5873946076162827</v>
      </c>
      <c r="E22" s="17"/>
      <c r="F22" s="170" t="s">
        <v>32</v>
      </c>
      <c r="G22" s="171"/>
      <c r="H22" s="17"/>
      <c r="I22" s="17"/>
    </row>
    <row r="23" spans="1:9">
      <c r="A23" s="41">
        <f t="shared" si="0"/>
        <v>19</v>
      </c>
      <c r="B23" s="41">
        <f t="shared" si="1"/>
        <v>2039</v>
      </c>
      <c r="C23" s="244">
        <f t="shared" si="3"/>
        <v>0.27650833301083949</v>
      </c>
      <c r="D23" s="309">
        <f t="shared" si="4"/>
        <v>0.57028602681192497</v>
      </c>
      <c r="E23" s="17"/>
      <c r="F23" s="17"/>
      <c r="G23" s="17"/>
      <c r="H23" s="17"/>
      <c r="I23" s="17"/>
    </row>
    <row r="24" spans="1:9">
      <c r="A24" s="41">
        <f t="shared" si="0"/>
        <v>20</v>
      </c>
      <c r="B24" s="41">
        <f t="shared" si="1"/>
        <v>2040</v>
      </c>
      <c r="C24" s="244">
        <f t="shared" si="3"/>
        <v>0.2584190028138687</v>
      </c>
      <c r="D24" s="309">
        <f t="shared" si="4"/>
        <v>0.55367575418633497</v>
      </c>
      <c r="E24" s="17"/>
      <c r="F24" s="17"/>
      <c r="G24" s="17"/>
      <c r="H24" s="17"/>
      <c r="I24" s="17"/>
    </row>
    <row r="25" spans="1:9">
      <c r="A25" s="41">
        <f t="shared" si="0"/>
        <v>21</v>
      </c>
      <c r="B25" s="41">
        <f t="shared" si="1"/>
        <v>2041</v>
      </c>
      <c r="C25" s="244">
        <f t="shared" si="3"/>
        <v>0.24151308674193336</v>
      </c>
      <c r="D25" s="309">
        <f t="shared" si="4"/>
        <v>0.5375492759090631</v>
      </c>
      <c r="E25" s="17"/>
      <c r="F25" s="17"/>
      <c r="G25" s="17"/>
      <c r="H25" s="17"/>
      <c r="I25" s="17"/>
    </row>
    <row r="26" spans="1:9">
      <c r="A26" s="41">
        <f t="shared" si="0"/>
        <v>22</v>
      </c>
      <c r="B26" s="41">
        <f t="shared" si="1"/>
        <v>2042</v>
      </c>
      <c r="C26" s="244">
        <f t="shared" si="3"/>
        <v>0.22571316517937698</v>
      </c>
      <c r="D26" s="309">
        <f t="shared" si="4"/>
        <v>0.52189250088258554</v>
      </c>
      <c r="E26" s="17"/>
      <c r="F26" s="17"/>
      <c r="G26" s="17"/>
      <c r="H26" s="17"/>
      <c r="I26" s="17"/>
    </row>
    <row r="27" spans="1:9">
      <c r="A27" s="41">
        <f t="shared" si="0"/>
        <v>23</v>
      </c>
      <c r="B27" s="41">
        <f t="shared" si="1"/>
        <v>2043</v>
      </c>
      <c r="C27" s="244">
        <f t="shared" si="3"/>
        <v>0.21094688334521211</v>
      </c>
      <c r="D27" s="309">
        <f t="shared" si="4"/>
        <v>0.50669174842969467</v>
      </c>
      <c r="E27" s="17"/>
      <c r="F27" s="17"/>
      <c r="G27" s="17"/>
      <c r="H27" s="17"/>
      <c r="I27" s="17"/>
    </row>
    <row r="28" spans="1:9">
      <c r="A28" s="41">
        <f t="shared" si="0"/>
        <v>24</v>
      </c>
      <c r="B28" s="41">
        <f t="shared" si="1"/>
        <v>2044</v>
      </c>
      <c r="C28" s="244">
        <f t="shared" si="3"/>
        <v>0.19714661994879637</v>
      </c>
      <c r="D28" s="309">
        <f t="shared" si="4"/>
        <v>0.49193373633950943</v>
      </c>
      <c r="E28" s="17"/>
      <c r="F28" s="17"/>
      <c r="G28" s="17"/>
      <c r="H28" s="17"/>
      <c r="I28" s="17"/>
    </row>
    <row r="29" spans="1:9">
      <c r="A29" s="41">
        <f t="shared" si="0"/>
        <v>25</v>
      </c>
      <c r="B29" s="41">
        <f t="shared" si="1"/>
        <v>2045</v>
      </c>
      <c r="C29" s="244">
        <f t="shared" si="3"/>
        <v>0.18424917752223957</v>
      </c>
      <c r="D29" s="309">
        <f t="shared" si="4"/>
        <v>0.47760556926165965</v>
      </c>
      <c r="E29" s="17"/>
      <c r="F29" s="17"/>
      <c r="G29" s="17"/>
      <c r="H29" s="17"/>
      <c r="I29" s="17"/>
    </row>
    <row r="30" spans="1:9">
      <c r="A30" s="41">
        <f t="shared" si="0"/>
        <v>26</v>
      </c>
      <c r="B30" s="41">
        <f t="shared" si="1"/>
        <v>2046</v>
      </c>
      <c r="C30" s="244">
        <f t="shared" si="3"/>
        <v>0.17219549301143888</v>
      </c>
      <c r="D30" s="309">
        <f t="shared" si="4"/>
        <v>0.46369472743850448</v>
      </c>
      <c r="E30" s="17"/>
      <c r="F30" s="17"/>
      <c r="G30" s="17"/>
      <c r="H30" s="17"/>
      <c r="I30" s="17"/>
    </row>
    <row r="31" spans="1:9">
      <c r="A31" s="41">
        <f t="shared" si="0"/>
        <v>27</v>
      </c>
      <c r="B31" s="41">
        <f t="shared" si="1"/>
        <v>2047</v>
      </c>
      <c r="C31" s="244">
        <f t="shared" si="3"/>
        <v>0.16093036730041013</v>
      </c>
      <c r="D31" s="309">
        <f t="shared" si="4"/>
        <v>0.45018905576553836</v>
      </c>
      <c r="E31" s="17"/>
      <c r="F31" s="17"/>
      <c r="G31" s="17"/>
      <c r="H31" s="17"/>
      <c r="I31" s="17"/>
    </row>
    <row r="32" spans="1:9">
      <c r="A32" s="41">
        <f t="shared" si="0"/>
        <v>28</v>
      </c>
      <c r="B32" s="41">
        <f t="shared" si="1"/>
        <v>2048</v>
      </c>
      <c r="C32" s="244">
        <f t="shared" si="3"/>
        <v>0.15040221243028987</v>
      </c>
      <c r="D32" s="309">
        <f t="shared" si="4"/>
        <v>0.4370767531704256</v>
      </c>
      <c r="E32" s="17"/>
      <c r="F32" s="17"/>
      <c r="G32" s="17"/>
      <c r="H32" s="17"/>
      <c r="I32" s="17"/>
    </row>
    <row r="33" spans="1:9">
      <c r="A33" s="41">
        <f t="shared" si="0"/>
        <v>29</v>
      </c>
      <c r="B33" s="41">
        <f t="shared" si="1"/>
        <v>2049</v>
      </c>
      <c r="C33" s="244">
        <f t="shared" si="3"/>
        <v>0.1405628153554111</v>
      </c>
      <c r="D33" s="309">
        <f t="shared" si="4"/>
        <v>0.42434636230138412</v>
      </c>
      <c r="E33" s="17"/>
      <c r="F33" s="17"/>
      <c r="G33" s="17"/>
      <c r="H33" s="17"/>
      <c r="I33" s="17"/>
    </row>
    <row r="34" spans="1:9">
      <c r="A34" s="41">
        <f t="shared" si="0"/>
        <v>30</v>
      </c>
      <c r="B34" s="41">
        <f t="shared" si="1"/>
        <v>2050</v>
      </c>
      <c r="C34" s="244">
        <f t="shared" ref="C34:C35" si="5">1/(1+$C$45)^A34</f>
        <v>0.13136711715458982</v>
      </c>
      <c r="D34" s="309">
        <f t="shared" ref="D34:D35" si="6">1/(1+$D$45)^A34</f>
        <v>0.41198675951590691</v>
      </c>
      <c r="E34" s="17"/>
      <c r="F34" s="17"/>
      <c r="G34" s="17"/>
      <c r="H34" s="17"/>
      <c r="I34" s="17"/>
    </row>
    <row r="35" spans="1:9">
      <c r="A35" s="41">
        <f t="shared" si="0"/>
        <v>31</v>
      </c>
      <c r="B35" s="41">
        <f t="shared" si="1"/>
        <v>2051</v>
      </c>
      <c r="C35" s="244">
        <f t="shared" si="5"/>
        <v>0.1227730066865325</v>
      </c>
      <c r="D35" s="309">
        <f t="shared" si="6"/>
        <v>0.39998714516107459</v>
      </c>
      <c r="E35" s="17"/>
      <c r="F35" s="17"/>
      <c r="G35" s="17"/>
      <c r="H35" s="17"/>
      <c r="I35" s="17"/>
    </row>
    <row r="36" spans="1:9">
      <c r="A36" s="41">
        <f t="shared" si="0"/>
        <v>32</v>
      </c>
      <c r="B36" s="41">
        <f t="shared" si="1"/>
        <v>2052</v>
      </c>
      <c r="C36" s="244">
        <f t="shared" si="3"/>
        <v>0.11474112774442291</v>
      </c>
      <c r="D36" s="309">
        <f t="shared" si="4"/>
        <v>0.38833703413696569</v>
      </c>
      <c r="E36" s="17"/>
      <c r="F36" s="17"/>
      <c r="G36" s="17"/>
      <c r="H36" s="17"/>
      <c r="I36" s="17"/>
    </row>
    <row r="37" spans="1:9">
      <c r="A37" s="41">
        <f t="shared" si="0"/>
        <v>33</v>
      </c>
      <c r="B37" s="41">
        <f t="shared" si="1"/>
        <v>2053</v>
      </c>
      <c r="C37" s="244">
        <f t="shared" si="3"/>
        <v>0.10723469882656347</v>
      </c>
      <c r="D37" s="309">
        <f t="shared" si="4"/>
        <v>0.37702624673491814</v>
      </c>
      <c r="E37" s="17"/>
      <c r="F37" s="17"/>
      <c r="G37" s="17"/>
      <c r="H37" s="17"/>
      <c r="I37" s="17"/>
    </row>
    <row r="38" spans="1:9">
      <c r="A38" s="41">
        <f t="shared" si="0"/>
        <v>34</v>
      </c>
      <c r="B38" s="41">
        <f t="shared" si="1"/>
        <v>2054</v>
      </c>
      <c r="C38" s="244">
        <f t="shared" si="3"/>
        <v>0.10021934469772288</v>
      </c>
      <c r="D38" s="309">
        <f t="shared" si="4"/>
        <v>0.36604489974263904</v>
      </c>
      <c r="E38" s="17"/>
      <c r="F38" s="17"/>
      <c r="G38" s="17"/>
      <c r="H38" s="17"/>
      <c r="I38" s="17"/>
    </row>
    <row r="39" spans="1:9">
      <c r="A39" s="41">
        <f t="shared" si="0"/>
        <v>35</v>
      </c>
      <c r="B39" s="41">
        <f t="shared" si="1"/>
        <v>2055</v>
      </c>
      <c r="C39" s="244">
        <f t="shared" si="3"/>
        <v>9.366293896983445E-2</v>
      </c>
      <c r="D39" s="309">
        <f t="shared" si="4"/>
        <v>0.35538339780838735</v>
      </c>
      <c r="E39" s="17"/>
      <c r="F39" s="17"/>
      <c r="G39" s="17"/>
      <c r="H39" s="17"/>
      <c r="I39" s="17"/>
    </row>
    <row r="40" spans="1:9">
      <c r="A40" s="41">
        <f t="shared" si="0"/>
        <v>36</v>
      </c>
      <c r="B40" s="41">
        <f t="shared" si="1"/>
        <v>2056</v>
      </c>
      <c r="C40" s="244">
        <f t="shared" si="3"/>
        <v>8.7535456981153698E-2</v>
      </c>
      <c r="D40" s="309">
        <f t="shared" si="4"/>
        <v>0.34503242505668674</v>
      </c>
      <c r="E40" s="17"/>
      <c r="F40" s="17"/>
      <c r="G40" s="17"/>
      <c r="H40" s="17"/>
      <c r="I40" s="17"/>
    </row>
    <row r="41" spans="1:9">
      <c r="A41" s="41">
        <f t="shared" si="0"/>
        <v>37</v>
      </c>
      <c r="B41" s="41">
        <f t="shared" si="1"/>
        <v>2057</v>
      </c>
      <c r="C41" s="244">
        <f t="shared" si="3"/>
        <v>8.1808838300143641E-2</v>
      </c>
      <c r="D41" s="309">
        <f t="shared" si="4"/>
        <v>0.33498293694823961</v>
      </c>
      <c r="E41" s="17"/>
      <c r="F41" s="17"/>
      <c r="G41" s="17"/>
      <c r="H41" s="17"/>
      <c r="I41" s="17"/>
    </row>
    <row r="42" spans="1:9">
      <c r="A42" s="41">
        <f t="shared" si="0"/>
        <v>38</v>
      </c>
      <c r="B42" s="41">
        <f t="shared" si="1"/>
        <v>2058</v>
      </c>
      <c r="C42" s="244">
        <f t="shared" si="3"/>
        <v>7.6456858224433308E-2</v>
      </c>
      <c r="D42" s="309">
        <f t="shared" si="4"/>
        <v>0.3252261523769317</v>
      </c>
      <c r="E42" s="17"/>
      <c r="F42" s="17"/>
      <c r="G42" s="17"/>
      <c r="H42" s="17"/>
      <c r="I42" s="17"/>
    </row>
    <row r="43" spans="1:9">
      <c r="A43" s="41">
        <f t="shared" si="0"/>
        <v>39</v>
      </c>
      <c r="B43" s="41">
        <f t="shared" si="1"/>
        <v>2059</v>
      </c>
      <c r="C43" s="244">
        <f t="shared" si="3"/>
        <v>7.1455007686386268E-2</v>
      </c>
      <c r="D43" s="309">
        <f t="shared" si="4"/>
        <v>0.31575354599702099</v>
      </c>
      <c r="E43" s="17"/>
      <c r="F43" s="17"/>
      <c r="G43" s="17"/>
      <c r="H43" s="17"/>
      <c r="I43" s="17"/>
    </row>
    <row r="44" spans="1:9">
      <c r="A44" s="41">
        <f t="shared" si="0"/>
        <v>40</v>
      </c>
      <c r="B44" s="41">
        <f t="shared" si="1"/>
        <v>2060</v>
      </c>
      <c r="C44" s="244">
        <f t="shared" si="3"/>
        <v>6.6780381015314264E-2</v>
      </c>
      <c r="D44" s="309">
        <f t="shared" si="4"/>
        <v>0.30655684077380685</v>
      </c>
      <c r="E44" s="17"/>
      <c r="F44" s="17"/>
      <c r="G44" s="17"/>
      <c r="H44" s="17"/>
      <c r="I44" s="17"/>
    </row>
    <row r="45" spans="1:9">
      <c r="A45" s="452" t="s">
        <v>11</v>
      </c>
      <c r="B45" s="453"/>
      <c r="C45" s="10">
        <f>0.07</f>
        <v>7.0000000000000007E-2</v>
      </c>
      <c r="D45" s="310">
        <v>0.03</v>
      </c>
      <c r="E45" s="17"/>
      <c r="F45" s="17"/>
      <c r="G45" s="17"/>
      <c r="H45" s="17"/>
      <c r="I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 s="17" customFormat="1"/>
    <row r="52" spans="1:9" s="17" customFormat="1"/>
    <row r="53" spans="1:9" s="17" customFormat="1"/>
    <row r="54" spans="1:9" s="17" customFormat="1"/>
    <row r="55" spans="1:9" s="17" customFormat="1"/>
    <row r="56" spans="1:9" s="17" customFormat="1"/>
    <row r="57" spans="1:9" s="17" customFormat="1"/>
    <row r="58" spans="1:9" s="17" customFormat="1"/>
    <row r="59" spans="1:9" s="17" customFormat="1"/>
    <row r="60" spans="1:9" s="17" customFormat="1"/>
    <row r="61" spans="1:9" s="17" customFormat="1"/>
    <row r="62" spans="1:9" s="17" customFormat="1"/>
    <row r="63" spans="1:9" s="17" customFormat="1"/>
    <row r="64" spans="1:9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pans="1:4" s="17" customFormat="1"/>
    <row r="194" spans="1:4" s="17" customFormat="1"/>
    <row r="195" spans="1:4" s="17" customFormat="1"/>
    <row r="196" spans="1:4" s="17" customFormat="1"/>
    <row r="197" spans="1:4" s="17" customFormat="1"/>
    <row r="198" spans="1:4" s="17" customFormat="1"/>
    <row r="199" spans="1:4" s="17" customFormat="1"/>
    <row r="200" spans="1:4" s="17" customFormat="1"/>
    <row r="201" spans="1:4" s="17" customFormat="1"/>
    <row r="202" spans="1:4" s="17" customFormat="1"/>
    <row r="203" spans="1:4" s="17" customFormat="1"/>
    <row r="204" spans="1:4" s="17" customFormat="1"/>
    <row r="205" spans="1:4" s="17" customFormat="1"/>
    <row r="206" spans="1:4" s="17" customFormat="1">
      <c r="A206"/>
      <c r="B206"/>
      <c r="C206"/>
      <c r="D206"/>
    </row>
  </sheetData>
  <mergeCells count="3">
    <mergeCell ref="A2:D2"/>
    <mergeCell ref="F2:G2"/>
    <mergeCell ref="A45:B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251"/>
  <sheetViews>
    <sheetView zoomScaleNormal="100" workbookViewId="0"/>
  </sheetViews>
  <sheetFormatPr defaultRowHeight="12.75"/>
  <cols>
    <col min="1" max="1" width="21.7109375" customWidth="1"/>
    <col min="2" max="2" width="13.140625" bestFit="1" customWidth="1"/>
    <col min="6" max="6" width="11.28515625" bestFit="1" customWidth="1"/>
    <col min="7" max="7" width="10.7109375" bestFit="1" customWidth="1"/>
    <col min="16" max="78" width="8.85546875" style="17"/>
  </cols>
  <sheetData>
    <row r="1" spans="1:15" ht="18">
      <c r="A1" s="49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6.5">
      <c r="A2" s="3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72" t="s">
        <v>34</v>
      </c>
      <c r="B3" s="362">
        <v>20500000</v>
      </c>
      <c r="C3" s="17"/>
      <c r="D3" s="454" t="s">
        <v>35</v>
      </c>
      <c r="E3" s="455"/>
      <c r="F3" s="455"/>
      <c r="G3" s="456"/>
      <c r="H3" s="17"/>
      <c r="I3" s="17"/>
      <c r="J3" s="17"/>
      <c r="K3" s="17"/>
      <c r="L3" s="17"/>
      <c r="M3" s="17"/>
      <c r="N3" s="17"/>
      <c r="O3" s="17"/>
    </row>
    <row r="4" spans="1:15" ht="38.25">
      <c r="A4" s="172" t="s">
        <v>36</v>
      </c>
      <c r="B4" s="93">
        <f>((B5-20)/B5)*B3</f>
        <v>12300000</v>
      </c>
      <c r="C4" s="17"/>
      <c r="D4" s="1" t="s">
        <v>29</v>
      </c>
      <c r="E4" s="2" t="s">
        <v>37</v>
      </c>
      <c r="F4" s="2" t="s">
        <v>38</v>
      </c>
      <c r="G4" s="2" t="s">
        <v>39</v>
      </c>
      <c r="H4" s="17"/>
      <c r="I4" s="17"/>
      <c r="J4" s="17"/>
      <c r="K4" s="17"/>
      <c r="L4" s="17"/>
      <c r="M4" s="17"/>
      <c r="N4" s="17"/>
      <c r="O4" s="17"/>
    </row>
    <row r="5" spans="1:15">
      <c r="A5" s="172" t="s">
        <v>40</v>
      </c>
      <c r="B5" s="8">
        <v>50</v>
      </c>
      <c r="C5" s="17"/>
      <c r="D5" s="41">
        <v>2022</v>
      </c>
      <c r="E5" s="363">
        <v>0.1</v>
      </c>
      <c r="F5" s="94">
        <f>E5*$B$3</f>
        <v>2050000</v>
      </c>
      <c r="G5" s="95">
        <f>ROUND((F5)*NPV!C6,0)</f>
        <v>1790549</v>
      </c>
      <c r="H5" s="17"/>
      <c r="I5" s="17"/>
      <c r="J5" s="274"/>
      <c r="K5" s="17"/>
      <c r="L5" s="17"/>
      <c r="M5" s="17"/>
      <c r="N5" s="17"/>
      <c r="O5" s="17"/>
    </row>
    <row r="6" spans="1:15">
      <c r="A6" s="32"/>
      <c r="B6" s="17"/>
      <c r="C6" s="17"/>
      <c r="D6" s="41">
        <v>2023</v>
      </c>
      <c r="E6" s="363">
        <v>0.75</v>
      </c>
      <c r="F6" s="94">
        <f>E6*$B$3</f>
        <v>15375000</v>
      </c>
      <c r="G6" s="95">
        <f>ROUND((F6)*NPV!C7,0)</f>
        <v>12550580</v>
      </c>
      <c r="H6" s="17"/>
      <c r="I6" s="17"/>
      <c r="J6" s="17"/>
      <c r="K6" s="17"/>
      <c r="L6" s="17"/>
      <c r="M6" s="17"/>
      <c r="N6" s="17"/>
      <c r="O6" s="17"/>
    </row>
    <row r="7" spans="1:15">
      <c r="A7" s="17"/>
      <c r="B7" s="17"/>
      <c r="C7" s="17"/>
      <c r="D7" s="41">
        <f t="shared" ref="D7:D27" si="0">D6+1</f>
        <v>2024</v>
      </c>
      <c r="E7" s="363">
        <f>1-E6-E5</f>
        <v>0.15</v>
      </c>
      <c r="F7" s="94">
        <f t="shared" ref="F7:F23" si="1">E7*$B$3</f>
        <v>3075000</v>
      </c>
      <c r="G7" s="95">
        <f>ROUND((F7)*NPV!C8,0)</f>
        <v>2345903</v>
      </c>
      <c r="H7" s="17"/>
      <c r="I7" s="17"/>
      <c r="J7" s="17"/>
      <c r="K7" s="17"/>
      <c r="L7" s="17"/>
      <c r="M7" s="17"/>
      <c r="N7" s="17"/>
      <c r="O7" s="17"/>
    </row>
    <row r="8" spans="1:15">
      <c r="A8" s="17"/>
      <c r="B8" s="17"/>
      <c r="C8" s="17"/>
      <c r="D8" s="41">
        <f t="shared" si="0"/>
        <v>2025</v>
      </c>
      <c r="E8" s="7"/>
      <c r="F8" s="94">
        <f t="shared" si="1"/>
        <v>0</v>
      </c>
      <c r="G8" s="95">
        <f>ROUND((F8)*NPV!C9,0)</f>
        <v>0</v>
      </c>
      <c r="H8" s="17"/>
      <c r="I8" s="17"/>
      <c r="J8" s="17"/>
      <c r="K8" s="17"/>
      <c r="L8" s="17"/>
      <c r="M8" s="17"/>
      <c r="N8" s="17"/>
      <c r="O8" s="17"/>
    </row>
    <row r="9" spans="1:15">
      <c r="A9" s="17"/>
      <c r="B9" s="17"/>
      <c r="C9" s="17"/>
      <c r="D9" s="41">
        <f t="shared" si="0"/>
        <v>2026</v>
      </c>
      <c r="E9" s="7"/>
      <c r="F9" s="94">
        <f t="shared" si="1"/>
        <v>0</v>
      </c>
      <c r="G9" s="95">
        <f>ROUND((F9)*NPV!C10,0)</f>
        <v>0</v>
      </c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41">
        <f t="shared" si="0"/>
        <v>2027</v>
      </c>
      <c r="E10" s="7"/>
      <c r="F10" s="94">
        <f t="shared" si="1"/>
        <v>0</v>
      </c>
      <c r="G10" s="95">
        <f>ROUND((F10)*NPV!C11,0)</f>
        <v>0</v>
      </c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41">
        <f t="shared" si="0"/>
        <v>2028</v>
      </c>
      <c r="E11" s="7"/>
      <c r="F11" s="94">
        <f t="shared" si="1"/>
        <v>0</v>
      </c>
      <c r="G11" s="95">
        <f>ROUND((F11)*NPV!C12,0)</f>
        <v>0</v>
      </c>
      <c r="H11" s="17"/>
      <c r="I11" s="17"/>
      <c r="J11" s="17"/>
      <c r="K11" s="17"/>
      <c r="L11" s="17"/>
      <c r="M11" s="17"/>
      <c r="N11" s="17"/>
      <c r="O11" s="17"/>
    </row>
    <row r="12" spans="1:15">
      <c r="A12" s="17"/>
      <c r="B12" s="17"/>
      <c r="C12" s="17"/>
      <c r="D12" s="41">
        <f t="shared" si="0"/>
        <v>2029</v>
      </c>
      <c r="E12" s="7"/>
      <c r="F12" s="94">
        <f t="shared" si="1"/>
        <v>0</v>
      </c>
      <c r="G12" s="95">
        <f>ROUND((F12)*NPV!C13,0)</f>
        <v>0</v>
      </c>
      <c r="H12" s="17"/>
      <c r="I12" s="17"/>
      <c r="J12" s="17"/>
      <c r="K12" s="17"/>
      <c r="L12" s="17"/>
      <c r="M12" s="17"/>
      <c r="N12" s="17"/>
      <c r="O12" s="17"/>
    </row>
    <row r="13" spans="1:15">
      <c r="A13" s="17"/>
      <c r="B13" s="17"/>
      <c r="C13" s="17"/>
      <c r="D13" s="41">
        <f t="shared" si="0"/>
        <v>2030</v>
      </c>
      <c r="E13" s="7"/>
      <c r="F13" s="94">
        <f t="shared" si="1"/>
        <v>0</v>
      </c>
      <c r="G13" s="95">
        <f>ROUND((F13)*NPV!C14,0)</f>
        <v>0</v>
      </c>
      <c r="H13" s="17"/>
      <c r="I13" s="17"/>
      <c r="J13" s="17"/>
      <c r="K13" s="17"/>
      <c r="L13" s="17"/>
      <c r="M13" s="17"/>
      <c r="N13" s="17"/>
      <c r="O13" s="17"/>
    </row>
    <row r="14" spans="1:15">
      <c r="A14" s="17"/>
      <c r="B14" s="17"/>
      <c r="C14" s="17"/>
      <c r="D14" s="41">
        <f t="shared" si="0"/>
        <v>2031</v>
      </c>
      <c r="E14" s="7"/>
      <c r="F14" s="94">
        <f t="shared" si="1"/>
        <v>0</v>
      </c>
      <c r="G14" s="95">
        <f>ROUND((F14)*NPV!C15,0)</f>
        <v>0</v>
      </c>
      <c r="H14" s="17"/>
      <c r="I14" s="17"/>
      <c r="J14" s="17"/>
      <c r="K14" s="17"/>
      <c r="L14" s="17"/>
      <c r="M14" s="17"/>
      <c r="N14" s="17"/>
      <c r="O14" s="17"/>
    </row>
    <row r="15" spans="1:15">
      <c r="A15" s="17"/>
      <c r="B15" s="17"/>
      <c r="C15" s="17"/>
      <c r="D15" s="41">
        <f t="shared" si="0"/>
        <v>2032</v>
      </c>
      <c r="E15" s="7"/>
      <c r="F15" s="94">
        <f t="shared" si="1"/>
        <v>0</v>
      </c>
      <c r="G15" s="95">
        <f>ROUND((F15)*NPV!C16,0)</f>
        <v>0</v>
      </c>
      <c r="H15" s="17"/>
      <c r="I15" s="17"/>
      <c r="J15" s="17"/>
      <c r="K15" s="17"/>
      <c r="L15" s="17"/>
      <c r="M15" s="17"/>
      <c r="N15" s="17"/>
      <c r="O15" s="17"/>
    </row>
    <row r="16" spans="1:15">
      <c r="A16" s="17"/>
      <c r="B16" s="17"/>
      <c r="C16" s="17"/>
      <c r="D16" s="41">
        <f t="shared" si="0"/>
        <v>2033</v>
      </c>
      <c r="E16" s="7"/>
      <c r="F16" s="94">
        <f t="shared" si="1"/>
        <v>0</v>
      </c>
      <c r="G16" s="95">
        <f>ROUND((F16)*NPV!C17,0)</f>
        <v>0</v>
      </c>
      <c r="H16" s="17"/>
      <c r="I16" s="17"/>
      <c r="J16" s="17"/>
      <c r="K16" s="17"/>
      <c r="L16" s="17"/>
      <c r="M16" s="17"/>
      <c r="N16" s="17"/>
      <c r="O16" s="17"/>
    </row>
    <row r="17" spans="1:15">
      <c r="A17" s="17"/>
      <c r="B17" s="17"/>
      <c r="C17" s="17"/>
      <c r="D17" s="41">
        <f t="shared" si="0"/>
        <v>2034</v>
      </c>
      <c r="E17" s="7"/>
      <c r="F17" s="94">
        <f t="shared" si="1"/>
        <v>0</v>
      </c>
      <c r="G17" s="95">
        <f>ROUND((F17)*NPV!C18,0)</f>
        <v>0</v>
      </c>
      <c r="H17" s="17"/>
      <c r="I17" s="17"/>
      <c r="J17" s="17"/>
      <c r="K17" s="17"/>
      <c r="L17" s="17"/>
      <c r="M17" s="17"/>
      <c r="N17" s="17"/>
      <c r="O17" s="17"/>
    </row>
    <row r="18" spans="1:15">
      <c r="A18" s="17"/>
      <c r="B18" s="17"/>
      <c r="C18" s="17"/>
      <c r="D18" s="41">
        <f t="shared" si="0"/>
        <v>2035</v>
      </c>
      <c r="E18" s="7"/>
      <c r="F18" s="94">
        <f t="shared" si="1"/>
        <v>0</v>
      </c>
      <c r="G18" s="95">
        <f>ROUND((F18)*NPV!C19,0)</f>
        <v>0</v>
      </c>
      <c r="H18" s="17"/>
      <c r="I18" s="17"/>
      <c r="J18" s="17"/>
      <c r="K18" s="17"/>
      <c r="L18" s="17"/>
      <c r="M18" s="17"/>
      <c r="N18" s="17"/>
      <c r="O18" s="17"/>
    </row>
    <row r="19" spans="1:15">
      <c r="A19" s="17"/>
      <c r="B19" s="17"/>
      <c r="C19" s="17"/>
      <c r="D19" s="41">
        <f t="shared" si="0"/>
        <v>2036</v>
      </c>
      <c r="E19" s="7"/>
      <c r="F19" s="94">
        <f t="shared" si="1"/>
        <v>0</v>
      </c>
      <c r="G19" s="95">
        <f>ROUND((F19)*NPV!C20,0)</f>
        <v>0</v>
      </c>
      <c r="H19" s="17"/>
      <c r="I19" s="17"/>
      <c r="J19" s="17"/>
      <c r="K19" s="17"/>
      <c r="L19" s="17"/>
      <c r="M19" s="17"/>
      <c r="N19" s="17"/>
      <c r="O19" s="17"/>
    </row>
    <row r="20" spans="1:15">
      <c r="A20" s="17"/>
      <c r="B20" s="17"/>
      <c r="C20" s="17"/>
      <c r="D20" s="41">
        <f t="shared" si="0"/>
        <v>2037</v>
      </c>
      <c r="E20" s="7"/>
      <c r="F20" s="94">
        <f t="shared" si="1"/>
        <v>0</v>
      </c>
      <c r="G20" s="95">
        <f>ROUND((F20)*NPV!C21,0)</f>
        <v>0</v>
      </c>
      <c r="H20" s="17"/>
      <c r="I20" s="17"/>
      <c r="J20" s="17"/>
      <c r="K20" s="17"/>
      <c r="L20" s="17"/>
      <c r="M20" s="17"/>
      <c r="N20" s="17"/>
      <c r="O20" s="17"/>
    </row>
    <row r="21" spans="1:15">
      <c r="A21" s="17"/>
      <c r="B21" s="17"/>
      <c r="C21" s="17"/>
      <c r="D21" s="41">
        <f t="shared" si="0"/>
        <v>2038</v>
      </c>
      <c r="E21" s="7"/>
      <c r="F21" s="94">
        <f t="shared" si="1"/>
        <v>0</v>
      </c>
      <c r="G21" s="95">
        <f>ROUND((F21)*NPV!C22,0)</f>
        <v>0</v>
      </c>
      <c r="H21" s="17"/>
      <c r="I21" s="17"/>
      <c r="J21" s="17"/>
      <c r="K21" s="17"/>
      <c r="L21" s="17"/>
      <c r="M21" s="17"/>
      <c r="N21" s="17"/>
      <c r="O21" s="17"/>
    </row>
    <row r="22" spans="1:15">
      <c r="A22" s="17"/>
      <c r="B22" s="17"/>
      <c r="C22" s="17"/>
      <c r="D22" s="41">
        <f t="shared" si="0"/>
        <v>2039</v>
      </c>
      <c r="E22" s="7"/>
      <c r="F22" s="94">
        <f t="shared" si="1"/>
        <v>0</v>
      </c>
      <c r="G22" s="95">
        <f>ROUND((F22)*NPV!C23,0)</f>
        <v>0</v>
      </c>
      <c r="H22" s="17"/>
      <c r="I22" s="17"/>
      <c r="J22" s="17"/>
      <c r="K22" s="17"/>
      <c r="L22" s="17"/>
      <c r="M22" s="17"/>
      <c r="N22" s="17"/>
      <c r="O22" s="17"/>
    </row>
    <row r="23" spans="1:15">
      <c r="A23" s="17"/>
      <c r="B23" s="17"/>
      <c r="C23" s="17"/>
      <c r="D23" s="41">
        <f t="shared" si="0"/>
        <v>2040</v>
      </c>
      <c r="E23" s="7"/>
      <c r="F23" s="94">
        <f t="shared" si="1"/>
        <v>0</v>
      </c>
      <c r="G23" s="95">
        <f>ROUND((F23)*NPV!C24,0)</f>
        <v>0</v>
      </c>
      <c r="H23" s="17"/>
      <c r="I23" s="17"/>
      <c r="J23" s="17"/>
      <c r="K23" s="17"/>
      <c r="L23" s="17"/>
      <c r="M23" s="17"/>
      <c r="N23" s="17"/>
      <c r="O23" s="17"/>
    </row>
    <row r="24" spans="1:15">
      <c r="A24" s="17"/>
      <c r="B24" s="17"/>
      <c r="C24" s="17"/>
      <c r="D24" s="41">
        <f t="shared" si="0"/>
        <v>2041</v>
      </c>
      <c r="E24" s="7"/>
      <c r="F24" s="94">
        <f>E24*$B$3</f>
        <v>0</v>
      </c>
      <c r="G24" s="95">
        <f>ROUND((F24)*NPV!C25,0)</f>
        <v>0</v>
      </c>
      <c r="H24" s="17"/>
      <c r="I24" s="17"/>
      <c r="J24" s="17"/>
      <c r="K24" s="17"/>
      <c r="L24" s="17"/>
      <c r="M24" s="17"/>
      <c r="N24" s="17"/>
      <c r="O24" s="17"/>
    </row>
    <row r="25" spans="1:15">
      <c r="A25" s="17"/>
      <c r="B25" s="17"/>
      <c r="C25" s="17"/>
      <c r="D25" s="41">
        <f t="shared" si="0"/>
        <v>2042</v>
      </c>
      <c r="E25" s="7"/>
      <c r="F25" s="94">
        <f>E25*$B$3</f>
        <v>0</v>
      </c>
      <c r="G25" s="95">
        <f>ROUND((F25)*NPV!C26,0)</f>
        <v>0</v>
      </c>
      <c r="H25" s="17"/>
      <c r="I25" s="17"/>
      <c r="J25" s="17"/>
      <c r="K25" s="17"/>
      <c r="L25" s="17"/>
      <c r="M25" s="17"/>
      <c r="N25" s="17"/>
      <c r="O25" s="17"/>
    </row>
    <row r="26" spans="1:15">
      <c r="A26" s="17"/>
      <c r="B26" s="17"/>
      <c r="C26" s="17"/>
      <c r="D26" s="41">
        <f t="shared" si="0"/>
        <v>2043</v>
      </c>
      <c r="E26" s="7"/>
      <c r="F26" s="94">
        <f t="shared" ref="F26" si="2">E26*$B$3</f>
        <v>0</v>
      </c>
      <c r="G26" s="95">
        <f>ROUND((F26)*NPV!C27,0)</f>
        <v>0</v>
      </c>
      <c r="H26" s="17"/>
      <c r="I26" s="17"/>
      <c r="J26" s="17"/>
      <c r="K26" s="17"/>
      <c r="L26" s="17"/>
      <c r="M26" s="17"/>
      <c r="N26" s="17"/>
      <c r="O26" s="17"/>
    </row>
    <row r="27" spans="1:15">
      <c r="A27" s="17"/>
      <c r="B27" s="17"/>
      <c r="C27" s="17"/>
      <c r="D27" s="44">
        <f t="shared" si="0"/>
        <v>2044</v>
      </c>
      <c r="E27" s="13"/>
      <c r="F27" s="96">
        <f>-B4</f>
        <v>-12300000</v>
      </c>
      <c r="G27" s="97">
        <f>ROUND((F27)*NPV!C28,0)</f>
        <v>-2424903</v>
      </c>
      <c r="H27" s="17"/>
      <c r="I27" s="17"/>
      <c r="J27" s="17"/>
      <c r="K27" s="17"/>
      <c r="L27" s="17"/>
      <c r="M27" s="17"/>
      <c r="N27" s="17"/>
      <c r="O27" s="17"/>
    </row>
    <row r="28" spans="1:15">
      <c r="A28" s="17"/>
      <c r="B28" s="17"/>
      <c r="C28" s="17"/>
      <c r="D28" s="45" t="s">
        <v>19</v>
      </c>
      <c r="E28" s="9">
        <f>SUM(E5:E27)</f>
        <v>1</v>
      </c>
      <c r="F28" s="98">
        <f>SUM(F5:F27)</f>
        <v>8200000</v>
      </c>
      <c r="G28" s="99">
        <f>SUM(G5:G27)</f>
        <v>14262129</v>
      </c>
      <c r="H28" s="17"/>
      <c r="I28" s="17"/>
      <c r="J28" s="17"/>
      <c r="K28" s="17"/>
      <c r="L28" s="17"/>
      <c r="M28" s="17"/>
      <c r="O28" s="17"/>
    </row>
    <row r="29" spans="1: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s="17" customFormat="1"/>
    <row r="41" spans="1:15" s="17" customFormat="1"/>
    <row r="42" spans="1:15" s="17" customFormat="1"/>
    <row r="43" spans="1:15" s="17" customFormat="1"/>
    <row r="44" spans="1:15" s="17" customFormat="1"/>
    <row r="45" spans="1:15" s="17" customFormat="1"/>
    <row r="46" spans="1:15" s="17" customFormat="1"/>
    <row r="47" spans="1:15" s="17" customFormat="1"/>
    <row r="48" spans="1:15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pans="4:7" s="17" customFormat="1"/>
    <row r="242" spans="4:7" s="17" customFormat="1"/>
    <row r="243" spans="4:7" s="17" customFormat="1"/>
    <row r="244" spans="4:7" s="17" customFormat="1"/>
    <row r="245" spans="4:7" s="17" customFormat="1"/>
    <row r="246" spans="4:7" s="17" customFormat="1"/>
    <row r="247" spans="4:7" s="17" customFormat="1"/>
    <row r="248" spans="4:7" s="17" customFormat="1"/>
    <row r="249" spans="4:7" s="17" customFormat="1"/>
    <row r="250" spans="4:7" s="17" customFormat="1"/>
    <row r="251" spans="4:7">
      <c r="D251" s="17"/>
      <c r="E251" s="17"/>
      <c r="F251" s="17"/>
      <c r="G251" s="17"/>
    </row>
  </sheetData>
  <mergeCells count="1">
    <mergeCell ref="D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379"/>
  <sheetViews>
    <sheetView zoomScaleNormal="100" workbookViewId="0">
      <selection activeCell="A5" sqref="A5:A6"/>
    </sheetView>
  </sheetViews>
  <sheetFormatPr defaultRowHeight="12.75"/>
  <cols>
    <col min="1" max="1" width="10.5703125" customWidth="1"/>
    <col min="2" max="2" width="19.140625" customWidth="1"/>
    <col min="3" max="3" width="13.85546875" customWidth="1"/>
    <col min="4" max="4" width="12.42578125" customWidth="1"/>
    <col min="5" max="5" width="12" customWidth="1"/>
    <col min="6" max="7" width="18.28515625" customWidth="1"/>
    <col min="8" max="8" width="23" bestFit="1" customWidth="1"/>
    <col min="20" max="52" width="8.85546875" style="17"/>
  </cols>
  <sheetData>
    <row r="1" spans="1:19" ht="15.75">
      <c r="A1" s="469" t="s">
        <v>41</v>
      </c>
      <c r="B1" s="469"/>
      <c r="C1" s="469"/>
      <c r="D1" s="469"/>
      <c r="E1" s="52"/>
      <c r="F1" s="52"/>
      <c r="G1" s="52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.75">
      <c r="A2" s="470" t="s">
        <v>42</v>
      </c>
      <c r="B2" s="470"/>
      <c r="C2" s="471">
        <f>F29</f>
        <v>356000</v>
      </c>
      <c r="D2" s="471"/>
      <c r="E2" s="52"/>
      <c r="F2" s="52"/>
      <c r="G2" s="52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5.75">
      <c r="A3" s="470" t="s">
        <v>43</v>
      </c>
      <c r="B3" s="470"/>
      <c r="C3" s="471">
        <f>G29</f>
        <v>214904.19457012933</v>
      </c>
      <c r="D3" s="471"/>
      <c r="E3" s="52"/>
      <c r="F3" s="52"/>
      <c r="G3" s="52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5">
      <c r="A4" s="52"/>
      <c r="B4" s="52"/>
      <c r="C4" s="52"/>
      <c r="D4" s="52"/>
      <c r="E4" s="52"/>
      <c r="F4" s="52"/>
      <c r="G4" s="5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>
      <c r="A5" s="435" t="s">
        <v>29</v>
      </c>
      <c r="B5" s="465" t="s">
        <v>44</v>
      </c>
      <c r="C5" s="467"/>
      <c r="D5" s="465" t="s">
        <v>45</v>
      </c>
      <c r="E5" s="467"/>
      <c r="F5" s="435" t="s">
        <v>42</v>
      </c>
      <c r="G5" s="435" t="s">
        <v>43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5.5">
      <c r="A6" s="468"/>
      <c r="B6" s="184" t="s">
        <v>46</v>
      </c>
      <c r="C6" s="56" t="s">
        <v>47</v>
      </c>
      <c r="D6" s="184" t="s">
        <v>46</v>
      </c>
      <c r="E6" s="56" t="s">
        <v>47</v>
      </c>
      <c r="F6" s="468"/>
      <c r="G6" s="468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16.5">
      <c r="A7" s="50">
        <v>2023</v>
      </c>
      <c r="B7" s="51" t="s">
        <v>48</v>
      </c>
      <c r="C7" s="100">
        <f>$B$47*$C$33+$B$48*$C$34+$B$49*$B$35</f>
        <v>9500</v>
      </c>
      <c r="D7" s="51" t="s">
        <v>49</v>
      </c>
      <c r="E7" s="100">
        <v>0</v>
      </c>
      <c r="F7" s="101">
        <v>0</v>
      </c>
      <c r="G7" s="100">
        <f>F7*NPV!C7</f>
        <v>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16.5">
      <c r="A8" s="50">
        <v>2024</v>
      </c>
      <c r="B8" s="51" t="s">
        <v>48</v>
      </c>
      <c r="C8" s="100">
        <f>$B$47*$C$33+$B$48*$C$34+$B$49*$B$35</f>
        <v>9500</v>
      </c>
      <c r="D8" s="51" t="s">
        <v>50</v>
      </c>
      <c r="E8" s="100">
        <v>0</v>
      </c>
      <c r="F8" s="101">
        <v>0</v>
      </c>
      <c r="G8" s="100">
        <f>F8*NPV!C8</f>
        <v>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6.5">
      <c r="A9" s="50">
        <v>2025</v>
      </c>
      <c r="B9" s="51" t="s">
        <v>48</v>
      </c>
      <c r="C9" s="100">
        <f>$B$47*$C$33+$B$48*$C$34+$B$49*$B$35+55*$B$55</f>
        <v>239500</v>
      </c>
      <c r="D9" s="51" t="s">
        <v>50</v>
      </c>
      <c r="E9" s="100">
        <f t="shared" ref="E9:E23" si="0">$G$47*$B$39+$B$40*$G$48+$B$41*$G$49</f>
        <v>3200</v>
      </c>
      <c r="F9" s="101">
        <f t="shared" ref="F9:F23" si="1">C9-E9</f>
        <v>236300</v>
      </c>
      <c r="G9" s="100">
        <f>F9*NPV!C9</f>
        <v>168478.63421199084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6.5">
      <c r="A10" s="50">
        <v>2026</v>
      </c>
      <c r="B10" s="51" t="s">
        <v>48</v>
      </c>
      <c r="C10" s="100">
        <f t="shared" ref="C10:C23" si="2">$B$47*$C$33+$B$48*$C$34+$B$49*$B$35</f>
        <v>9500</v>
      </c>
      <c r="D10" s="51" t="s">
        <v>50</v>
      </c>
      <c r="E10" s="100">
        <f t="shared" si="0"/>
        <v>3200</v>
      </c>
      <c r="F10" s="101">
        <f t="shared" si="1"/>
        <v>6300</v>
      </c>
      <c r="G10" s="100">
        <f>F10*NPV!C10</f>
        <v>4197.9560100440294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6.5">
      <c r="A11" s="50">
        <v>2027</v>
      </c>
      <c r="B11" s="51" t="s">
        <v>48</v>
      </c>
      <c r="C11" s="100">
        <f t="shared" si="2"/>
        <v>9500</v>
      </c>
      <c r="D11" s="51" t="s">
        <v>50</v>
      </c>
      <c r="E11" s="100">
        <f t="shared" si="0"/>
        <v>3200</v>
      </c>
      <c r="F11" s="101">
        <f t="shared" si="1"/>
        <v>6300</v>
      </c>
      <c r="G11" s="100">
        <f>F11*NPV!C11</f>
        <v>3923.3233738729241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16.5">
      <c r="A12" s="50">
        <v>2028</v>
      </c>
      <c r="B12" s="51" t="s">
        <v>48</v>
      </c>
      <c r="C12" s="100">
        <f t="shared" si="2"/>
        <v>9500</v>
      </c>
      <c r="D12" s="51" t="s">
        <v>50</v>
      </c>
      <c r="E12" s="100">
        <f t="shared" si="0"/>
        <v>3200</v>
      </c>
      <c r="F12" s="101">
        <f t="shared" si="1"/>
        <v>6300</v>
      </c>
      <c r="G12" s="100">
        <f>F12*NPV!C12</f>
        <v>3666.6573587597418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6.5">
      <c r="A13" s="50">
        <v>2029</v>
      </c>
      <c r="B13" s="51" t="s">
        <v>48</v>
      </c>
      <c r="C13" s="100">
        <f t="shared" si="2"/>
        <v>9500</v>
      </c>
      <c r="D13" s="51" t="s">
        <v>50</v>
      </c>
      <c r="E13" s="100">
        <f t="shared" si="0"/>
        <v>3200</v>
      </c>
      <c r="F13" s="101">
        <f t="shared" si="1"/>
        <v>6300</v>
      </c>
      <c r="G13" s="100">
        <f>F13*NPV!C13</f>
        <v>3426.7825782801328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6.5">
      <c r="A14" s="50">
        <v>2030</v>
      </c>
      <c r="B14" s="51" t="s">
        <v>48</v>
      </c>
      <c r="C14" s="100">
        <f t="shared" si="2"/>
        <v>9500</v>
      </c>
      <c r="D14" s="51" t="s">
        <v>50</v>
      </c>
      <c r="E14" s="100">
        <f t="shared" si="0"/>
        <v>3200</v>
      </c>
      <c r="F14" s="101">
        <f t="shared" si="1"/>
        <v>6300</v>
      </c>
      <c r="G14" s="100">
        <f>F14*NPV!C14</f>
        <v>3202.6005404487223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6.5">
      <c r="A15" s="50">
        <v>2031</v>
      </c>
      <c r="B15" s="51" t="s">
        <v>48</v>
      </c>
      <c r="C15" s="100">
        <f t="shared" si="2"/>
        <v>9500</v>
      </c>
      <c r="D15" s="51" t="s">
        <v>50</v>
      </c>
      <c r="E15" s="100">
        <f t="shared" si="0"/>
        <v>3200</v>
      </c>
      <c r="F15" s="101">
        <f t="shared" si="1"/>
        <v>6300</v>
      </c>
      <c r="G15" s="100">
        <f>F15*NPV!C15</f>
        <v>2993.084617241796</v>
      </c>
      <c r="H15" s="619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6.5">
      <c r="A16" s="50">
        <v>2032</v>
      </c>
      <c r="B16" s="51" t="s">
        <v>48</v>
      </c>
      <c r="C16" s="100">
        <f t="shared" si="2"/>
        <v>9500</v>
      </c>
      <c r="D16" s="51" t="s">
        <v>50</v>
      </c>
      <c r="E16" s="100">
        <f t="shared" si="0"/>
        <v>3200</v>
      </c>
      <c r="F16" s="101">
        <f t="shared" si="1"/>
        <v>6300</v>
      </c>
      <c r="G16" s="100">
        <f>F16*NPV!C16</f>
        <v>2797.2753432166323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6.5">
      <c r="A17" s="50">
        <v>2033</v>
      </c>
      <c r="B17" s="51" t="s">
        <v>48</v>
      </c>
      <c r="C17" s="100">
        <f t="shared" si="2"/>
        <v>9500</v>
      </c>
      <c r="D17" s="51" t="s">
        <v>50</v>
      </c>
      <c r="E17" s="100">
        <f t="shared" si="0"/>
        <v>3200</v>
      </c>
      <c r="F17" s="101">
        <f t="shared" si="1"/>
        <v>6300</v>
      </c>
      <c r="G17" s="100">
        <f>F17*NPV!C17</f>
        <v>2614.2760216977867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6.5">
      <c r="A18" s="50">
        <v>2034</v>
      </c>
      <c r="B18" s="51" t="s">
        <v>48</v>
      </c>
      <c r="C18" s="100">
        <f t="shared" si="2"/>
        <v>9500</v>
      </c>
      <c r="D18" s="51" t="s">
        <v>50</v>
      </c>
      <c r="E18" s="100">
        <f t="shared" si="0"/>
        <v>3200</v>
      </c>
      <c r="F18" s="101">
        <f t="shared" si="1"/>
        <v>6300</v>
      </c>
      <c r="G18" s="100">
        <f>F18*NPV!C18</f>
        <v>2443.2486184091467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6.5">
      <c r="A19" s="50">
        <v>2035</v>
      </c>
      <c r="B19" s="51" t="s">
        <v>48</v>
      </c>
      <c r="C19" s="100">
        <f t="shared" si="2"/>
        <v>9500</v>
      </c>
      <c r="D19" s="51" t="s">
        <v>50</v>
      </c>
      <c r="E19" s="100">
        <f t="shared" si="0"/>
        <v>3200</v>
      </c>
      <c r="F19" s="101">
        <f t="shared" si="1"/>
        <v>6300</v>
      </c>
      <c r="G19" s="100">
        <f>F19*NPV!C19</f>
        <v>2283.4099237468658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6.5">
      <c r="A20" s="50">
        <v>2036</v>
      </c>
      <c r="B20" s="51" t="s">
        <v>48</v>
      </c>
      <c r="C20" s="100">
        <f t="shared" si="2"/>
        <v>9500</v>
      </c>
      <c r="D20" s="51" t="s">
        <v>50</v>
      </c>
      <c r="E20" s="100">
        <f t="shared" si="0"/>
        <v>3200</v>
      </c>
      <c r="F20" s="101">
        <f t="shared" si="1"/>
        <v>6300</v>
      </c>
      <c r="G20" s="100">
        <f>F20*NPV!C20</f>
        <v>2134.0279661185664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6.5">
      <c r="A21" s="50">
        <v>2037</v>
      </c>
      <c r="B21" s="51" t="s">
        <v>48</v>
      </c>
      <c r="C21" s="100">
        <f t="shared" si="2"/>
        <v>9500</v>
      </c>
      <c r="D21" s="51" t="s">
        <v>50</v>
      </c>
      <c r="E21" s="100">
        <f t="shared" si="0"/>
        <v>3200</v>
      </c>
      <c r="F21" s="101">
        <f t="shared" si="1"/>
        <v>6300</v>
      </c>
      <c r="G21" s="100">
        <f>F21*NPV!C21</f>
        <v>1994.4186599238942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>
      <c r="A22" s="50">
        <v>2038</v>
      </c>
      <c r="B22" s="51" t="s">
        <v>48</v>
      </c>
      <c r="C22" s="100">
        <f t="shared" si="2"/>
        <v>9500</v>
      </c>
      <c r="D22" s="51" t="s">
        <v>50</v>
      </c>
      <c r="E22" s="100">
        <f t="shared" si="0"/>
        <v>3200</v>
      </c>
      <c r="F22" s="101">
        <f t="shared" si="1"/>
        <v>6300</v>
      </c>
      <c r="G22" s="100">
        <f>F22*NPV!C22</f>
        <v>1863.9426728260689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6.5">
      <c r="A23" s="50">
        <v>2039</v>
      </c>
      <c r="B23" s="51" t="s">
        <v>48</v>
      </c>
      <c r="C23" s="100">
        <f t="shared" si="2"/>
        <v>9500</v>
      </c>
      <c r="D23" s="51" t="s">
        <v>50</v>
      </c>
      <c r="E23" s="100">
        <f t="shared" si="0"/>
        <v>3200</v>
      </c>
      <c r="F23" s="101">
        <f t="shared" si="1"/>
        <v>6300</v>
      </c>
      <c r="G23" s="100">
        <f>F23*NPV!C23</f>
        <v>1742.0024979682887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>
      <c r="A24" s="50">
        <v>2040</v>
      </c>
      <c r="B24" s="51" t="s">
        <v>48</v>
      </c>
      <c r="C24" s="100">
        <f t="shared" ref="C24:C28" si="3">$B$47*$C$33+$B$48*$C$34+$B$49*$B$35</f>
        <v>9500</v>
      </c>
      <c r="D24" s="51" t="s">
        <v>50</v>
      </c>
      <c r="E24" s="100">
        <f t="shared" ref="E24:E28" si="4">$G$47*$B$39+$B$40*$G$48+$B$41*$G$49</f>
        <v>3200</v>
      </c>
      <c r="F24" s="101">
        <f t="shared" ref="F24:F28" si="5">C24-E24</f>
        <v>6300</v>
      </c>
      <c r="G24" s="100">
        <f>F24*NPV!C24</f>
        <v>1628.0397177273728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>
      <c r="A25" s="50">
        <v>2041</v>
      </c>
      <c r="B25" s="51" t="s">
        <v>48</v>
      </c>
      <c r="C25" s="100">
        <f t="shared" si="3"/>
        <v>9500</v>
      </c>
      <c r="D25" s="51" t="s">
        <v>50</v>
      </c>
      <c r="E25" s="100">
        <f t="shared" si="4"/>
        <v>3200</v>
      </c>
      <c r="F25" s="101">
        <f t="shared" si="5"/>
        <v>6300</v>
      </c>
      <c r="G25" s="100">
        <f>F25*NPV!C25</f>
        <v>1521.5324464741802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6.5">
      <c r="A26" s="50">
        <v>2042</v>
      </c>
      <c r="B26" s="51" t="s">
        <v>48</v>
      </c>
      <c r="C26" s="100">
        <f t="shared" si="3"/>
        <v>9500</v>
      </c>
      <c r="D26" s="51" t="s">
        <v>50</v>
      </c>
      <c r="E26" s="100">
        <f t="shared" si="4"/>
        <v>3200</v>
      </c>
      <c r="F26" s="101">
        <f t="shared" si="5"/>
        <v>6300</v>
      </c>
      <c r="G26" s="100">
        <f>F26*NPV!C26</f>
        <v>1421.9929406300751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6.5">
      <c r="A27" s="50">
        <v>2043</v>
      </c>
      <c r="B27" s="51" t="s">
        <v>48</v>
      </c>
      <c r="C27" s="100">
        <f>$B$47*$C$33+$B$48*$C$34+$B$49*$B$35</f>
        <v>9500</v>
      </c>
      <c r="D27" s="51" t="s">
        <v>50</v>
      </c>
      <c r="E27" s="100">
        <f t="shared" si="4"/>
        <v>3200</v>
      </c>
      <c r="F27" s="101">
        <f t="shared" si="5"/>
        <v>6300</v>
      </c>
      <c r="G27" s="100">
        <f>F27*NPV!C27</f>
        <v>1328.9653650748362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6.5">
      <c r="A28" s="395">
        <v>2044</v>
      </c>
      <c r="B28" s="348" t="s">
        <v>48</v>
      </c>
      <c r="C28" s="396">
        <f t="shared" si="3"/>
        <v>9500</v>
      </c>
      <c r="D28" s="348" t="s">
        <v>50</v>
      </c>
      <c r="E28" s="396">
        <f t="shared" si="4"/>
        <v>3200</v>
      </c>
      <c r="F28" s="397">
        <f t="shared" si="5"/>
        <v>6300</v>
      </c>
      <c r="G28" s="100">
        <f>F28*NPV!C28</f>
        <v>1242.0237056774172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>
      <c r="A29" s="398" t="s">
        <v>19</v>
      </c>
      <c r="B29" s="349"/>
      <c r="C29" s="399">
        <f>SUM(C9:C28)</f>
        <v>420000</v>
      </c>
      <c r="D29" s="400"/>
      <c r="E29" s="399">
        <f>SUM(E9:E28)</f>
        <v>64000</v>
      </c>
      <c r="F29" s="401">
        <f>SUM(F9:F28)</f>
        <v>356000</v>
      </c>
      <c r="G29" s="399">
        <f>SUM(G9:G28)</f>
        <v>214904.19457012933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">
      <c r="A30" s="53"/>
      <c r="B30" s="52"/>
      <c r="C30" s="52"/>
      <c r="D30" s="52"/>
      <c r="E30" s="52"/>
      <c r="F30" s="52"/>
      <c r="G30" s="52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>
      <c r="A31" s="435" t="s">
        <v>51</v>
      </c>
      <c r="B31" s="465" t="s">
        <v>52</v>
      </c>
      <c r="C31" s="467"/>
      <c r="D31" s="52"/>
      <c r="E31" s="52"/>
      <c r="F31" s="52"/>
      <c r="G31" s="5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25.5">
      <c r="A32" s="468"/>
      <c r="B32" s="58" t="s">
        <v>53</v>
      </c>
      <c r="C32" s="58" t="s">
        <v>54</v>
      </c>
      <c r="D32" s="52"/>
      <c r="E32" s="52"/>
      <c r="F32" s="52"/>
      <c r="G32" s="52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36" ht="15">
      <c r="A33" s="47" t="s">
        <v>55</v>
      </c>
      <c r="B33" s="102"/>
      <c r="C33" s="423">
        <v>250</v>
      </c>
      <c r="D33" s="52"/>
      <c r="E33" s="52"/>
      <c r="F33" s="52"/>
      <c r="G33" s="52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36" ht="15">
      <c r="A34" s="59" t="s">
        <v>56</v>
      </c>
      <c r="B34" s="103"/>
      <c r="C34" s="424">
        <v>250</v>
      </c>
      <c r="D34" s="52"/>
      <c r="E34" s="52"/>
      <c r="F34" s="52"/>
      <c r="G34" s="52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36" ht="15">
      <c r="A35" s="48" t="s">
        <v>57</v>
      </c>
      <c r="B35" s="425">
        <v>500</v>
      </c>
      <c r="C35" s="104"/>
      <c r="D35" s="619"/>
      <c r="E35" s="52"/>
      <c r="F35" s="52"/>
      <c r="G35" s="52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36" ht="15">
      <c r="A36" s="462" t="s">
        <v>58</v>
      </c>
      <c r="B36" s="463"/>
      <c r="C36" s="464"/>
      <c r="D36" s="619"/>
      <c r="E36" s="52"/>
      <c r="F36" s="52"/>
      <c r="G36" s="52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36" ht="15">
      <c r="A37" s="53"/>
      <c r="B37" s="52"/>
      <c r="C37" s="52"/>
      <c r="D37" s="52"/>
      <c r="E37" s="52"/>
      <c r="F37" s="52"/>
      <c r="G37" s="5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36" ht="15">
      <c r="A38" s="56" t="s">
        <v>51</v>
      </c>
      <c r="B38" s="55" t="s">
        <v>52</v>
      </c>
      <c r="C38" s="52"/>
      <c r="D38" s="52"/>
      <c r="E38" s="52"/>
      <c r="F38" s="52"/>
      <c r="G38" s="52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AH38" s="52"/>
      <c r="AI38" s="52"/>
      <c r="AJ38" s="52"/>
    </row>
    <row r="39" spans="1:36" ht="15">
      <c r="A39" s="47" t="s">
        <v>55</v>
      </c>
      <c r="B39" s="423">
        <v>100</v>
      </c>
      <c r="C39" s="52"/>
      <c r="D39" s="52"/>
      <c r="E39" s="52"/>
      <c r="F39" s="52"/>
      <c r="G39" s="52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AH39" s="52"/>
      <c r="AI39" s="52"/>
      <c r="AJ39" s="52"/>
    </row>
    <row r="40" spans="1:36" ht="15">
      <c r="A40" s="59" t="s">
        <v>56</v>
      </c>
      <c r="B40" s="423">
        <v>100</v>
      </c>
      <c r="C40" s="54"/>
      <c r="D40" s="52"/>
      <c r="E40" s="52"/>
      <c r="F40" s="52"/>
      <c r="G40" s="52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AH40" s="52"/>
      <c r="AI40" s="52"/>
      <c r="AJ40" s="52"/>
    </row>
    <row r="41" spans="1:36" ht="15">
      <c r="A41" s="48" t="s">
        <v>59</v>
      </c>
      <c r="B41" s="422">
        <v>100</v>
      </c>
      <c r="C41" s="54"/>
      <c r="D41" s="52"/>
      <c r="E41" s="52"/>
      <c r="F41" s="52"/>
      <c r="G41" s="52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AH41" s="52"/>
      <c r="AI41" s="52"/>
      <c r="AJ41" s="52"/>
    </row>
    <row r="42" spans="1:36" ht="15">
      <c r="A42" s="462" t="s">
        <v>58</v>
      </c>
      <c r="B42" s="464"/>
      <c r="C42" s="54"/>
      <c r="D42" s="52"/>
      <c r="E42" s="52"/>
      <c r="F42" s="52"/>
      <c r="G42" s="52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AH42" s="52"/>
      <c r="AI42" s="52"/>
      <c r="AJ42" s="52"/>
    </row>
    <row r="43" spans="1:36" ht="15">
      <c r="A43" s="53"/>
      <c r="B43" s="52"/>
      <c r="C43" s="52"/>
      <c r="D43" s="52"/>
      <c r="E43" s="52"/>
      <c r="F43" s="52"/>
      <c r="G43" s="52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36" ht="15">
      <c r="A44" s="465" t="s">
        <v>60</v>
      </c>
      <c r="B44" s="466"/>
      <c r="C44" s="466"/>
      <c r="D44" s="466"/>
      <c r="E44" s="466"/>
      <c r="F44" s="466"/>
      <c r="G44" s="466"/>
      <c r="H44" s="467"/>
      <c r="I44" s="17"/>
      <c r="J44" s="620"/>
      <c r="K44" s="17"/>
      <c r="L44" s="17"/>
      <c r="M44" s="17"/>
      <c r="N44" s="17"/>
      <c r="O44" s="17"/>
      <c r="P44" s="17"/>
      <c r="Q44" s="17"/>
      <c r="R44" s="17"/>
      <c r="S44" s="17"/>
    </row>
    <row r="45" spans="1:36" ht="15">
      <c r="A45" s="435" t="s">
        <v>61</v>
      </c>
      <c r="B45" s="465" t="s">
        <v>62</v>
      </c>
      <c r="C45" s="466"/>
      <c r="D45" s="467"/>
      <c r="E45" s="465" t="s">
        <v>63</v>
      </c>
      <c r="F45" s="467"/>
      <c r="G45" s="465" t="s">
        <v>64</v>
      </c>
      <c r="H45" s="467"/>
      <c r="I45" s="17"/>
      <c r="J45" s="621"/>
      <c r="K45" s="17"/>
      <c r="L45" s="17"/>
      <c r="M45" s="17"/>
      <c r="N45" s="17"/>
      <c r="O45" s="17"/>
      <c r="P45" s="17"/>
      <c r="Q45" s="17"/>
      <c r="R45" s="17"/>
      <c r="S45" s="17"/>
    </row>
    <row r="46" spans="1:36" ht="38.25">
      <c r="A46" s="468"/>
      <c r="B46" s="56" t="s">
        <v>65</v>
      </c>
      <c r="C46" s="56" t="s">
        <v>66</v>
      </c>
      <c r="D46" s="56" t="s">
        <v>67</v>
      </c>
      <c r="E46" s="56" t="s">
        <v>68</v>
      </c>
      <c r="F46" s="56" t="s">
        <v>69</v>
      </c>
      <c r="G46" s="56" t="s">
        <v>70</v>
      </c>
      <c r="H46" s="56" t="s">
        <v>71</v>
      </c>
      <c r="I46" s="17"/>
      <c r="J46" s="621"/>
      <c r="K46" s="17"/>
      <c r="L46" s="619"/>
      <c r="M46" s="17"/>
      <c r="N46" s="17"/>
      <c r="O46" s="17"/>
      <c r="P46" s="17"/>
      <c r="Q46" s="17"/>
      <c r="R46" s="17"/>
      <c r="S46" s="17"/>
    </row>
    <row r="47" spans="1:36" ht="15">
      <c r="A47" s="47" t="s">
        <v>55</v>
      </c>
      <c r="B47" s="357">
        <v>20</v>
      </c>
      <c r="C47" s="199" t="s">
        <v>72</v>
      </c>
      <c r="D47" s="359">
        <v>60</v>
      </c>
      <c r="E47" s="419">
        <v>20</v>
      </c>
      <c r="F47" s="359">
        <f>E47*3</f>
        <v>60</v>
      </c>
      <c r="G47" s="419">
        <v>20</v>
      </c>
      <c r="H47" s="359">
        <f>G47*3</f>
        <v>60</v>
      </c>
      <c r="I47" s="17"/>
      <c r="J47" s="621"/>
      <c r="K47" s="17"/>
      <c r="L47" s="619"/>
      <c r="M47" s="17"/>
      <c r="N47" s="17"/>
      <c r="O47" s="17"/>
      <c r="P47" s="17"/>
      <c r="Q47" s="17"/>
      <c r="R47" s="17"/>
      <c r="S47" s="17"/>
    </row>
    <row r="48" spans="1:36" ht="15">
      <c r="A48" s="59" t="s">
        <v>56</v>
      </c>
      <c r="B48" s="358">
        <v>6</v>
      </c>
      <c r="C48" s="200" t="s">
        <v>72</v>
      </c>
      <c r="D48" s="360">
        <v>140</v>
      </c>
      <c r="E48" s="420">
        <v>6</v>
      </c>
      <c r="F48" s="360">
        <f>E48*3</f>
        <v>18</v>
      </c>
      <c r="G48" s="420">
        <v>6</v>
      </c>
      <c r="H48" s="360">
        <f>G48*3</f>
        <v>18</v>
      </c>
      <c r="I48" s="17"/>
      <c r="J48" s="621"/>
      <c r="K48" s="17"/>
      <c r="L48" s="619"/>
      <c r="M48" s="17"/>
      <c r="N48" s="17"/>
      <c r="O48" s="17"/>
      <c r="P48" s="17"/>
      <c r="Q48" s="17"/>
      <c r="R48" s="17"/>
      <c r="S48" s="17"/>
    </row>
    <row r="49" spans="1:19" ht="25.5">
      <c r="A49" s="48" t="s">
        <v>73</v>
      </c>
      <c r="B49" s="416">
        <v>6</v>
      </c>
      <c r="C49" s="350" t="s">
        <v>74</v>
      </c>
      <c r="D49" s="418">
        <v>82</v>
      </c>
      <c r="E49" s="421">
        <v>0</v>
      </c>
      <c r="F49" s="418">
        <f>E49*3</f>
        <v>0</v>
      </c>
      <c r="G49" s="421">
        <v>6</v>
      </c>
      <c r="H49" s="418">
        <f>G49*3-20</f>
        <v>-2</v>
      </c>
      <c r="I49" s="17"/>
      <c r="J49" s="621"/>
      <c r="K49" s="17"/>
      <c r="L49" s="619"/>
      <c r="M49" s="17"/>
      <c r="N49" s="17"/>
      <c r="O49" s="17"/>
      <c r="P49" s="17"/>
      <c r="Q49" s="17"/>
      <c r="R49" s="17"/>
      <c r="S49" s="17"/>
    </row>
    <row r="50" spans="1:19" ht="16.5">
      <c r="A50" s="459" t="s">
        <v>19</v>
      </c>
      <c r="B50" s="460"/>
      <c r="C50" s="461"/>
      <c r="D50" s="75">
        <f>SUM(D47:D49)</f>
        <v>282</v>
      </c>
      <c r="E50" s="351">
        <f>SUM(E47:E49)</f>
        <v>26</v>
      </c>
      <c r="F50" s="75">
        <f>SUM(F47:F49)</f>
        <v>78</v>
      </c>
      <c r="G50" s="351">
        <f>SUM(G47:G49)</f>
        <v>32</v>
      </c>
      <c r="H50" s="75">
        <f>SUM(H47:H49)</f>
        <v>76</v>
      </c>
      <c r="I50" s="17"/>
      <c r="J50" s="621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6.5">
      <c r="A51" s="459" t="s">
        <v>75</v>
      </c>
      <c r="B51" s="460"/>
      <c r="C51" s="461"/>
      <c r="D51" s="78">
        <v>1</v>
      </c>
      <c r="E51" s="352"/>
      <c r="F51" s="78">
        <f>(D50-F50)/D50</f>
        <v>0.72340425531914898</v>
      </c>
      <c r="G51" s="352"/>
      <c r="H51" s="78">
        <f>1-(F50-H50)/D50</f>
        <v>0.99290780141843971</v>
      </c>
      <c r="I51" s="17"/>
      <c r="J51" s="621"/>
      <c r="K51" s="17"/>
      <c r="L51" s="619"/>
      <c r="M51" s="17"/>
      <c r="N51" s="17"/>
      <c r="O51" s="17"/>
      <c r="P51" s="17"/>
      <c r="Q51" s="17"/>
      <c r="R51" s="17"/>
      <c r="S51" s="17"/>
    </row>
    <row r="52" spans="1:19" ht="15">
      <c r="A52" s="462" t="s">
        <v>76</v>
      </c>
      <c r="B52" s="463"/>
      <c r="C52" s="463"/>
      <c r="D52" s="463"/>
      <c r="E52" s="463"/>
      <c r="F52" s="463"/>
      <c r="G52" s="463"/>
      <c r="H52" s="464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5">
      <c r="A53" s="5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619"/>
      <c r="M53" s="17"/>
      <c r="N53" s="17"/>
      <c r="O53" s="17"/>
      <c r="P53" s="17"/>
      <c r="Q53" s="17"/>
      <c r="R53" s="17"/>
      <c r="S53" s="17"/>
    </row>
    <row r="54" spans="1:19">
      <c r="A54" s="56" t="s">
        <v>77</v>
      </c>
      <c r="B54" s="55" t="s">
        <v>78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25.5">
      <c r="A55" s="251" t="s">
        <v>57</v>
      </c>
      <c r="B55" s="422">
        <f>230000/55</f>
        <v>4181.818181818182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7" customFormat="1">
      <c r="A56" s="457" t="s">
        <v>79</v>
      </c>
      <c r="B56" s="458"/>
    </row>
    <row r="57" spans="1:19" s="17" customFormat="1"/>
    <row r="58" spans="1:19" s="17" customFormat="1">
      <c r="F58" s="417"/>
    </row>
    <row r="59" spans="1:19" s="17" customFormat="1"/>
    <row r="60" spans="1:19" s="17" customFormat="1"/>
    <row r="61" spans="1:19" s="17" customFormat="1"/>
    <row r="62" spans="1:19" s="17" customFormat="1"/>
    <row r="63" spans="1:19" s="17" customFormat="1"/>
    <row r="64" spans="1:19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  <row r="315" s="17" customFormat="1"/>
    <row r="316" s="17" customFormat="1"/>
    <row r="317" s="17" customFormat="1"/>
    <row r="318" s="17" customFormat="1"/>
    <row r="319" s="17" customFormat="1"/>
    <row r="320" s="17" customFormat="1"/>
    <row r="321" s="17" customFormat="1"/>
    <row r="322" s="17" customFormat="1"/>
    <row r="323" s="17" customFormat="1"/>
    <row r="324" s="17" customFormat="1"/>
    <row r="325" s="17" customFormat="1"/>
    <row r="326" s="17" customFormat="1"/>
    <row r="327" s="17" customFormat="1"/>
    <row r="328" s="17" customFormat="1"/>
    <row r="329" s="17" customFormat="1"/>
    <row r="330" s="17" customFormat="1"/>
    <row r="331" s="17" customFormat="1"/>
    <row r="332" s="17" customFormat="1"/>
    <row r="333" s="17" customFormat="1"/>
    <row r="334" s="17" customFormat="1"/>
    <row r="335" s="17" customFormat="1"/>
    <row r="336" s="17" customFormat="1"/>
    <row r="337" s="17" customFormat="1"/>
    <row r="338" s="17" customFormat="1"/>
    <row r="339" s="17" customFormat="1"/>
    <row r="340" s="17" customFormat="1"/>
    <row r="341" s="17" customFormat="1"/>
    <row r="342" s="17" customFormat="1"/>
    <row r="343" s="17" customFormat="1"/>
    <row r="344" s="17" customFormat="1"/>
    <row r="345" s="17" customFormat="1"/>
    <row r="346" s="17" customFormat="1"/>
    <row r="347" s="17" customFormat="1"/>
    <row r="348" s="17" customFormat="1"/>
    <row r="349" s="17" customFormat="1"/>
    <row r="350" s="17" customFormat="1"/>
    <row r="351" s="17" customFormat="1"/>
    <row r="352" s="17" customFormat="1"/>
    <row r="353" s="17" customFormat="1"/>
    <row r="354" s="17" customFormat="1"/>
    <row r="355" s="17" customFormat="1"/>
    <row r="356" s="17" customFormat="1"/>
    <row r="357" s="17" customFormat="1"/>
    <row r="358" s="17" customFormat="1"/>
    <row r="359" s="17" customFormat="1"/>
    <row r="360" s="17" customFormat="1"/>
    <row r="361" s="17" customFormat="1"/>
    <row r="362" s="17" customFormat="1"/>
    <row r="363" s="17" customFormat="1"/>
    <row r="364" s="17" customFormat="1"/>
    <row r="365" s="17" customFormat="1"/>
    <row r="366" s="17" customFormat="1"/>
    <row r="367" s="17" customFormat="1"/>
    <row r="368" s="17" customFormat="1"/>
    <row r="369" s="17" customFormat="1"/>
    <row r="370" s="17" customFormat="1"/>
    <row r="371" s="17" customFormat="1"/>
    <row r="372" s="17" customFormat="1"/>
    <row r="373" s="17" customFormat="1"/>
    <row r="374" s="17" customFormat="1"/>
    <row r="375" s="17" customFormat="1"/>
    <row r="376" s="17" customFormat="1"/>
    <row r="377" s="17" customFormat="1"/>
    <row r="378" s="17" customFormat="1"/>
    <row r="379" s="17" customFormat="1"/>
  </sheetData>
  <mergeCells count="23">
    <mergeCell ref="A1:D1"/>
    <mergeCell ref="A2:B2"/>
    <mergeCell ref="A3:B3"/>
    <mergeCell ref="C2:D2"/>
    <mergeCell ref="C3:D3"/>
    <mergeCell ref="F5:F6"/>
    <mergeCell ref="G5:G6"/>
    <mergeCell ref="B31:C31"/>
    <mergeCell ref="A31:A32"/>
    <mergeCell ref="A5:A6"/>
    <mergeCell ref="B5:C5"/>
    <mergeCell ref="D5:E5"/>
    <mergeCell ref="A56:B56"/>
    <mergeCell ref="A50:C50"/>
    <mergeCell ref="A36:C36"/>
    <mergeCell ref="A42:B42"/>
    <mergeCell ref="A52:H52"/>
    <mergeCell ref="A51:C51"/>
    <mergeCell ref="A44:H44"/>
    <mergeCell ref="A45:A46"/>
    <mergeCell ref="B45:D45"/>
    <mergeCell ref="E45:F45"/>
    <mergeCell ref="G45:H45"/>
  </mergeCells>
  <pageMargins left="0.7" right="0.7" top="0.75" bottom="0.75" header="0.3" footer="0.3"/>
  <pageSetup paperSize="25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6370-E17A-4EC5-93C5-84B35BEB1538}">
  <dimension ref="A1:GK1010"/>
  <sheetViews>
    <sheetView zoomScaleNormal="100" workbookViewId="0">
      <selection activeCell="J39" sqref="J39:J58"/>
    </sheetView>
  </sheetViews>
  <sheetFormatPr defaultRowHeight="12.75"/>
  <cols>
    <col min="1" max="1" width="34" customWidth="1"/>
    <col min="2" max="2" width="16.28515625" bestFit="1" customWidth="1"/>
    <col min="3" max="3" width="22.7109375" bestFit="1" customWidth="1"/>
    <col min="4" max="4" width="22.5703125" bestFit="1" customWidth="1"/>
    <col min="5" max="5" width="18.28515625" bestFit="1" customWidth="1"/>
    <col min="6" max="8" width="13.28515625" bestFit="1" customWidth="1"/>
    <col min="9" max="9" width="11.7109375" bestFit="1" customWidth="1"/>
    <col min="10" max="10" width="16.5703125" customWidth="1"/>
    <col min="11" max="11" width="11.7109375" bestFit="1" customWidth="1"/>
    <col min="12" max="12" width="13.140625" bestFit="1" customWidth="1"/>
    <col min="40" max="187" width="8.85546875" style="17"/>
  </cols>
  <sheetData>
    <row r="1" spans="1:39" ht="15.75">
      <c r="A1" s="475" t="s">
        <v>80</v>
      </c>
      <c r="B1" s="47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ht="15.75">
      <c r="A2" s="187" t="s">
        <v>81</v>
      </c>
      <c r="B2" s="188">
        <f>D28</f>
        <v>62246.931292016234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.75">
      <c r="A3" s="187" t="s">
        <v>82</v>
      </c>
      <c r="B3" s="188">
        <f>E28</f>
        <v>23054.625916007168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15.75">
      <c r="A5" s="475" t="s">
        <v>83</v>
      </c>
      <c r="B5" s="477"/>
      <c r="C5" s="477"/>
      <c r="D5" s="477"/>
      <c r="E5" s="47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2.75" customHeight="1">
      <c r="A6" s="437" t="s">
        <v>29</v>
      </c>
      <c r="B6" s="435" t="s">
        <v>84</v>
      </c>
      <c r="C6" s="435" t="s">
        <v>85</v>
      </c>
      <c r="D6" s="435" t="s">
        <v>86</v>
      </c>
      <c r="E6" s="435" t="s">
        <v>87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3.9" customHeight="1" thickBot="1">
      <c r="A7" s="438"/>
      <c r="B7" s="436"/>
      <c r="C7" s="436"/>
      <c r="D7" s="436"/>
      <c r="E7" s="436"/>
      <c r="F7" s="32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3.5" thickTop="1">
      <c r="A8" s="18">
        <v>2025</v>
      </c>
      <c r="B8" s="162">
        <f>L39*$B$68*$B$69</f>
        <v>2252.0122724853113</v>
      </c>
      <c r="C8" s="125">
        <f>L39*$B$68*$B$70</f>
        <v>45.040245449706227</v>
      </c>
      <c r="D8" s="162">
        <f>B8-C8</f>
        <v>2206.9720270356052</v>
      </c>
      <c r="E8" s="125">
        <f>D8*NPV!C9</f>
        <v>1573.5405537834433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>
      <c r="A9" s="18">
        <v>2026</v>
      </c>
      <c r="B9" s="162">
        <f t="shared" ref="B9:B27" si="0">L40*$B$68*$B$69</f>
        <v>2307.5387888658943</v>
      </c>
      <c r="C9" s="125">
        <f t="shared" ref="C9:C27" si="1">L40*$B$68*$B$70</f>
        <v>46.150775777317882</v>
      </c>
      <c r="D9" s="162">
        <f t="shared" ref="D9:D27" si="2">B9-C9</f>
        <v>2261.3880130885764</v>
      </c>
      <c r="E9" s="125">
        <f>D9*NPV!C10</f>
        <v>1506.8583175534468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>
      <c r="A10" s="18">
        <f t="shared" ref="A10:A27" si="3">A9+1</f>
        <v>2027</v>
      </c>
      <c r="B10" s="162">
        <f t="shared" si="0"/>
        <v>2367.0148070567107</v>
      </c>
      <c r="C10" s="125">
        <f t="shared" si="1"/>
        <v>47.34029614113421</v>
      </c>
      <c r="D10" s="162">
        <f t="shared" si="2"/>
        <v>2319.6745109155763</v>
      </c>
      <c r="E10" s="125">
        <f>D10*NPV!C11</f>
        <v>1444.5767029289402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>
      <c r="A11" s="18">
        <f t="shared" si="3"/>
        <v>2028</v>
      </c>
      <c r="B11" s="162">
        <f t="shared" si="0"/>
        <v>2430.7679014710179</v>
      </c>
      <c r="C11" s="125">
        <f t="shared" si="1"/>
        <v>48.615358029420356</v>
      </c>
      <c r="D11" s="162">
        <f t="shared" si="2"/>
        <v>2382.1525434415976</v>
      </c>
      <c r="E11" s="125">
        <f>D11*NPV!C12</f>
        <v>1386.4344687457728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>
      <c r="A12" s="18">
        <f t="shared" si="3"/>
        <v>2029</v>
      </c>
      <c r="B12" s="162">
        <f t="shared" si="0"/>
        <v>2499.5275583001799</v>
      </c>
      <c r="C12" s="125">
        <f t="shared" si="1"/>
        <v>49.990551166003598</v>
      </c>
      <c r="D12" s="162">
        <f t="shared" si="2"/>
        <v>2449.5370071341763</v>
      </c>
      <c r="E12" s="125">
        <f>D12*NPV!C13</f>
        <v>1332.3858318888656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>
      <c r="A13" s="18">
        <f t="shared" si="3"/>
        <v>2030</v>
      </c>
      <c r="B13" s="162">
        <f t="shared" si="0"/>
        <v>2574.9378506191842</v>
      </c>
      <c r="C13" s="125">
        <f t="shared" si="1"/>
        <v>51.498757012383692</v>
      </c>
      <c r="D13" s="162">
        <f t="shared" si="2"/>
        <v>2523.4390936068007</v>
      </c>
      <c r="E13" s="125">
        <f>D13*NPV!C14</f>
        <v>1282.788476980091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>
      <c r="A14" s="18">
        <f t="shared" si="3"/>
        <v>2031</v>
      </c>
      <c r="B14" s="162">
        <f t="shared" si="0"/>
        <v>2652.0731957871981</v>
      </c>
      <c r="C14" s="125">
        <f t="shared" si="1"/>
        <v>53.041463915743961</v>
      </c>
      <c r="D14" s="162">
        <f t="shared" si="2"/>
        <v>2599.0317318714542</v>
      </c>
      <c r="E14" s="125">
        <f>D14*NPV!C15</f>
        <v>1234.7812533948816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>
      <c r="A15" s="18">
        <f t="shared" si="3"/>
        <v>2032</v>
      </c>
      <c r="B15" s="162">
        <f t="shared" si="0"/>
        <v>2735.7598248131062</v>
      </c>
      <c r="C15" s="125">
        <f t="shared" si="1"/>
        <v>54.715196496262124</v>
      </c>
      <c r="D15" s="162">
        <f t="shared" si="2"/>
        <v>2681.044628316844</v>
      </c>
      <c r="E15" s="125">
        <f>D15*NPV!C16</f>
        <v>1190.4158782308107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>
      <c r="A16" s="18">
        <f t="shared" si="3"/>
        <v>2033</v>
      </c>
      <c r="B16" s="162">
        <f t="shared" si="0"/>
        <v>2826.8836639641504</v>
      </c>
      <c r="C16" s="125">
        <f t="shared" si="1"/>
        <v>56.537673279283013</v>
      </c>
      <c r="D16" s="162">
        <f t="shared" si="2"/>
        <v>2770.3459906848675</v>
      </c>
      <c r="E16" s="125">
        <f>D16*NPV!C17</f>
        <v>1149.5950944847698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193">
      <c r="A17" s="18">
        <f t="shared" si="3"/>
        <v>2034</v>
      </c>
      <c r="B17" s="162">
        <f t="shared" si="0"/>
        <v>2926.4993361445936</v>
      </c>
      <c r="C17" s="125">
        <f t="shared" si="1"/>
        <v>58.529986722891877</v>
      </c>
      <c r="D17" s="162">
        <f t="shared" si="2"/>
        <v>2867.9693494217017</v>
      </c>
      <c r="E17" s="125">
        <f>D17*NPV!C18</f>
        <v>1112.2479604149767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193">
      <c r="A18" s="18">
        <f t="shared" si="3"/>
        <v>2035</v>
      </c>
      <c r="B18" s="162">
        <f t="shared" si="0"/>
        <v>3035.8652541968149</v>
      </c>
      <c r="C18" s="125">
        <f t="shared" si="1"/>
        <v>60.717305083936303</v>
      </c>
      <c r="D18" s="162">
        <f t="shared" si="2"/>
        <v>2975.1479491128785</v>
      </c>
      <c r="E18" s="125">
        <f>D18*NPV!C19</f>
        <v>1078.3305320030925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193">
      <c r="A19" s="18">
        <f t="shared" si="3"/>
        <v>2036</v>
      </c>
      <c r="B19" s="162">
        <f t="shared" si="0"/>
        <v>3156.3740457306676</v>
      </c>
      <c r="C19" s="125">
        <f t="shared" si="1"/>
        <v>63.127480914613351</v>
      </c>
      <c r="D19" s="162">
        <f t="shared" si="2"/>
        <v>3093.2465648160542</v>
      </c>
      <c r="E19" s="125">
        <f>D19*NPV!C20</f>
        <v>1047.7896310186741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193">
      <c r="A20" s="18">
        <f t="shared" si="3"/>
        <v>2037</v>
      </c>
      <c r="B20" s="162">
        <f t="shared" si="0"/>
        <v>3290.0432804867155</v>
      </c>
      <c r="C20" s="125">
        <f t="shared" si="1"/>
        <v>65.800865609734316</v>
      </c>
      <c r="D20" s="162">
        <f t="shared" si="2"/>
        <v>3224.242414876981</v>
      </c>
      <c r="E20" s="125">
        <f>D20*NPV!C21</f>
        <v>1020.7125771982109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193">
      <c r="A21" s="18">
        <f t="shared" si="3"/>
        <v>2038</v>
      </c>
      <c r="B21" s="162">
        <f t="shared" si="0"/>
        <v>3438.9391187973833</v>
      </c>
      <c r="C21" s="125">
        <f t="shared" si="1"/>
        <v>68.778782375947671</v>
      </c>
      <c r="D21" s="162">
        <f t="shared" si="2"/>
        <v>3370.1603364214357</v>
      </c>
      <c r="E21" s="125">
        <f>D21*NPV!C22</f>
        <v>997.10883576536105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193">
      <c r="A22" s="18">
        <f t="shared" si="3"/>
        <v>2039</v>
      </c>
      <c r="B22" s="162">
        <f t="shared" si="0"/>
        <v>3605.6763314840068</v>
      </c>
      <c r="C22" s="125">
        <f t="shared" si="1"/>
        <v>72.113526629680138</v>
      </c>
      <c r="D22" s="162">
        <f t="shared" si="2"/>
        <v>3533.5628048543267</v>
      </c>
      <c r="E22" s="125">
        <f>D22*NPV!C23</f>
        <v>977.05956075937615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193">
      <c r="A23" s="18">
        <f t="shared" si="3"/>
        <v>2040</v>
      </c>
      <c r="B23" s="162">
        <f t="shared" si="0"/>
        <v>3793.4175870861131</v>
      </c>
      <c r="C23" s="125">
        <f t="shared" si="1"/>
        <v>75.868351741722265</v>
      </c>
      <c r="D23" s="162">
        <f t="shared" si="2"/>
        <v>3717.549235344391</v>
      </c>
      <c r="E23" s="125">
        <f>D23*NPV!C24</f>
        <v>960.68536630915764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193">
      <c r="A24" s="18">
        <f t="shared" si="3"/>
        <v>2041</v>
      </c>
      <c r="B24" s="162">
        <f t="shared" si="0"/>
        <v>4006.0008298116336</v>
      </c>
      <c r="C24" s="125">
        <f t="shared" si="1"/>
        <v>80.120016596232674</v>
      </c>
      <c r="D24" s="162">
        <f t="shared" si="2"/>
        <v>3925.8808132154008</v>
      </c>
      <c r="E24" s="125">
        <f>D24*NPV!C25</f>
        <v>948.15159338058299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193">
      <c r="A25" s="18">
        <f t="shared" si="3"/>
        <v>2042</v>
      </c>
      <c r="B25" s="162">
        <f t="shared" si="0"/>
        <v>4248.0969819540096</v>
      </c>
      <c r="C25" s="125">
        <f t="shared" si="1"/>
        <v>84.961939639080185</v>
      </c>
      <c r="D25" s="162">
        <f t="shared" si="2"/>
        <v>4163.1350423149297</v>
      </c>
      <c r="E25" s="125">
        <f>D25*NPV!C26</f>
        <v>939.67438747008225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193">
      <c r="A26" s="18">
        <f t="shared" si="3"/>
        <v>2043</v>
      </c>
      <c r="B26" s="162">
        <f t="shared" si="0"/>
        <v>4525.1775870682486</v>
      </c>
      <c r="C26" s="125">
        <f t="shared" si="1"/>
        <v>90.503551741364973</v>
      </c>
      <c r="D26" s="162">
        <f t="shared" si="2"/>
        <v>4434.6740353268833</v>
      </c>
      <c r="E26" s="125">
        <f>D26*NPV!C27</f>
        <v>935.48066640414106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193" ht="13.5" thickBot="1">
      <c r="A27" s="44">
        <f t="shared" si="3"/>
        <v>2044</v>
      </c>
      <c r="B27" s="162">
        <f t="shared" si="0"/>
        <v>4844.6706124650545</v>
      </c>
      <c r="C27" s="125">
        <f t="shared" si="1"/>
        <v>96.893412249301093</v>
      </c>
      <c r="D27" s="163">
        <f t="shared" si="2"/>
        <v>4747.7772002157535</v>
      </c>
      <c r="E27" s="189">
        <f>D27*NPV!C28</f>
        <v>936.00822729249569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193" ht="13.5" thickTop="1">
      <c r="A28" s="478" t="s">
        <v>19</v>
      </c>
      <c r="B28" s="479"/>
      <c r="C28" s="480"/>
      <c r="D28" s="190">
        <f>SUM(D8:D27)</f>
        <v>62246.931292016234</v>
      </c>
      <c r="E28" s="191">
        <f>SUM(E8:E27)</f>
        <v>23054.625916007168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193">
      <c r="A29" s="76"/>
      <c r="B29" s="76"/>
      <c r="C29" s="76"/>
      <c r="D29" s="192"/>
      <c r="E29" s="192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193" ht="15.75">
      <c r="A30" s="475" t="s">
        <v>88</v>
      </c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6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GF30" s="17"/>
      <c r="GG30" s="17"/>
      <c r="GH30" s="17"/>
      <c r="GI30" s="17"/>
      <c r="GJ30" s="17"/>
      <c r="GK30" s="17"/>
    </row>
    <row r="31" spans="1:193" ht="13.15" customHeight="1">
      <c r="A31" s="437" t="s">
        <v>29</v>
      </c>
      <c r="B31" s="447" t="s">
        <v>89</v>
      </c>
      <c r="C31" s="448"/>
      <c r="D31" s="448"/>
      <c r="E31" s="448"/>
      <c r="F31" s="448"/>
      <c r="G31" s="449"/>
      <c r="H31" s="447" t="s">
        <v>90</v>
      </c>
      <c r="I31" s="449"/>
      <c r="J31" s="451" t="s">
        <v>91</v>
      </c>
      <c r="K31" s="451"/>
      <c r="L31" s="435" t="s">
        <v>92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GF31" s="17"/>
      <c r="GG31" s="17"/>
      <c r="GH31" s="17"/>
      <c r="GI31" s="17"/>
      <c r="GJ31" s="17"/>
      <c r="GK31" s="17"/>
    </row>
    <row r="32" spans="1:193" ht="13.9" customHeight="1" thickBot="1">
      <c r="A32" s="438"/>
      <c r="B32" s="79" t="s">
        <v>93</v>
      </c>
      <c r="C32" s="79" t="s">
        <v>94</v>
      </c>
      <c r="D32" s="79" t="s">
        <v>95</v>
      </c>
      <c r="E32" s="79" t="s">
        <v>96</v>
      </c>
      <c r="F32" s="79" t="s">
        <v>97</v>
      </c>
      <c r="G32" s="79" t="s">
        <v>98</v>
      </c>
      <c r="H32" s="173" t="s">
        <v>97</v>
      </c>
      <c r="I32" s="175" t="s">
        <v>98</v>
      </c>
      <c r="J32" s="180" t="s">
        <v>99</v>
      </c>
      <c r="K32" s="180" t="s">
        <v>100</v>
      </c>
      <c r="L32" s="46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GF32" s="17"/>
      <c r="GG32" s="17"/>
      <c r="GH32" s="17"/>
      <c r="GI32" s="17"/>
      <c r="GJ32" s="17"/>
      <c r="GK32" s="17"/>
    </row>
    <row r="33" spans="1:193" ht="13.5" thickTop="1">
      <c r="A33" s="18">
        <v>2019</v>
      </c>
      <c r="B33" s="162"/>
      <c r="C33" s="125"/>
      <c r="D33" s="162"/>
      <c r="E33" s="125"/>
      <c r="F33" s="162"/>
      <c r="G33" s="193"/>
      <c r="H33" s="162">
        <f>B75</f>
        <v>88668333.333333328</v>
      </c>
      <c r="I33" s="193"/>
      <c r="J33" s="194"/>
      <c r="K33" s="194"/>
      <c r="L33" s="125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GF33" s="17"/>
      <c r="GG33" s="17"/>
      <c r="GH33" s="17"/>
      <c r="GI33" s="17"/>
      <c r="GJ33" s="17"/>
      <c r="GK33" s="17"/>
    </row>
    <row r="34" spans="1:193">
      <c r="A34" s="18">
        <f>A33+1</f>
        <v>2020</v>
      </c>
      <c r="B34" s="162"/>
      <c r="C34" s="125"/>
      <c r="D34" s="162"/>
      <c r="E34" s="125"/>
      <c r="F34" s="162"/>
      <c r="G34" s="193"/>
      <c r="H34" s="195">
        <f t="shared" ref="H34:H39" si="4">ROUND($H$33*(1+$B$62)^(A34-$A$33),0)</f>
        <v>90441700</v>
      </c>
      <c r="I34" s="193"/>
      <c r="J34" s="194"/>
      <c r="K34" s="194"/>
      <c r="L34" s="125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GF34" s="17"/>
      <c r="GG34" s="17"/>
      <c r="GH34" s="17"/>
      <c r="GI34" s="17"/>
      <c r="GJ34" s="17"/>
      <c r="GK34" s="17"/>
    </row>
    <row r="35" spans="1:193">
      <c r="A35" s="18">
        <f t="shared" ref="A35:A58" si="5">A34+1</f>
        <v>2021</v>
      </c>
      <c r="B35" s="162"/>
      <c r="C35" s="125"/>
      <c r="D35" s="162"/>
      <c r="E35" s="125"/>
      <c r="F35" s="162"/>
      <c r="G35" s="193"/>
      <c r="H35" s="162">
        <f t="shared" si="4"/>
        <v>92250534</v>
      </c>
      <c r="I35" s="193"/>
      <c r="J35" s="194"/>
      <c r="K35" s="194"/>
      <c r="L35" s="125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GF35" s="17"/>
      <c r="GG35" s="17"/>
      <c r="GH35" s="17"/>
      <c r="GI35" s="17"/>
      <c r="GJ35" s="17"/>
      <c r="GK35" s="17"/>
    </row>
    <row r="36" spans="1:193">
      <c r="A36" s="18">
        <f t="shared" si="5"/>
        <v>2022</v>
      </c>
      <c r="B36" s="162"/>
      <c r="C36" s="125"/>
      <c r="D36" s="162"/>
      <c r="E36" s="125"/>
      <c r="F36" s="162"/>
      <c r="G36" s="193"/>
      <c r="H36" s="162">
        <f t="shared" si="4"/>
        <v>94095545</v>
      </c>
      <c r="I36" s="193"/>
      <c r="J36" s="194"/>
      <c r="K36" s="194"/>
      <c r="L36" s="125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GF36" s="17"/>
      <c r="GG36" s="17"/>
      <c r="GH36" s="17"/>
      <c r="GI36" s="17"/>
      <c r="GJ36" s="17"/>
      <c r="GK36" s="17"/>
    </row>
    <row r="37" spans="1:193">
      <c r="A37" s="18">
        <f t="shared" si="5"/>
        <v>2023</v>
      </c>
      <c r="B37" s="162"/>
      <c r="C37" s="125"/>
      <c r="D37" s="162"/>
      <c r="E37" s="125"/>
      <c r="F37" s="162"/>
      <c r="G37" s="193"/>
      <c r="H37" s="162">
        <f t="shared" si="4"/>
        <v>95977456</v>
      </c>
      <c r="I37" s="193"/>
      <c r="J37" s="194"/>
      <c r="K37" s="194"/>
      <c r="L37" s="125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GF37" s="17"/>
      <c r="GG37" s="17"/>
      <c r="GH37" s="17"/>
      <c r="GI37" s="17"/>
      <c r="GJ37" s="17"/>
      <c r="GK37" s="17"/>
    </row>
    <row r="38" spans="1:193">
      <c r="A38" s="18">
        <f t="shared" si="5"/>
        <v>2024</v>
      </c>
      <c r="B38" s="162">
        <f>B74</f>
        <v>20000000</v>
      </c>
      <c r="C38" s="125"/>
      <c r="D38" s="162"/>
      <c r="E38" s="125"/>
      <c r="F38" s="162"/>
      <c r="G38" s="193"/>
      <c r="H38" s="162">
        <f t="shared" si="4"/>
        <v>97897005</v>
      </c>
      <c r="I38" s="193"/>
      <c r="J38" s="196"/>
      <c r="K38" s="196"/>
      <c r="L38" s="125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GF38" s="17"/>
      <c r="GG38" s="17"/>
      <c r="GH38" s="17"/>
      <c r="GI38" s="17"/>
      <c r="GJ38" s="17"/>
      <c r="GK38" s="17"/>
    </row>
    <row r="39" spans="1:193">
      <c r="A39" s="18">
        <f t="shared" si="5"/>
        <v>2025</v>
      </c>
      <c r="B39" s="162">
        <f t="shared" ref="B39:B58" si="6">ROUND($B$38*(1+$B$62)^(A39-$A$38),0)</f>
        <v>20400000</v>
      </c>
      <c r="C39" s="125">
        <f>-Flood_Travel_Time!J37</f>
        <v>111011.2536</v>
      </c>
      <c r="D39" s="162">
        <f>-Flood_Travel_Time!J9</f>
        <v>79158.843636363628</v>
      </c>
      <c r="E39" s="125">
        <f>(C39+D39)*($B$63/12)</f>
        <v>63390.032412121203</v>
      </c>
      <c r="F39" s="162">
        <f t="shared" ref="F39:F58" si="7">B39+E39</f>
        <v>20463390.032412123</v>
      </c>
      <c r="G39" s="193">
        <f t="shared" ref="G39:G58" si="8">$C$74</f>
        <v>0.5</v>
      </c>
      <c r="H39" s="162">
        <f t="shared" si="4"/>
        <v>99854945</v>
      </c>
      <c r="I39" s="193">
        <f t="shared" ref="I39:I58" si="9">$C$75</f>
        <v>0.25</v>
      </c>
      <c r="J39" s="196">
        <f>Flood_Safety!N13</f>
        <v>7371071.8710873974</v>
      </c>
      <c r="K39" s="196">
        <f>Flood_Env_Prot!I6+Flood_Env_Prot!J6</f>
        <v>2473742.3124127667</v>
      </c>
      <c r="L39" s="125">
        <f t="shared" ref="L39:L58" si="10">(F39*G39)+(H39*I39)+J39+K39</f>
        <v>45040245.449706227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GF39" s="17"/>
      <c r="GG39" s="17"/>
      <c r="GH39" s="17"/>
      <c r="GI39" s="17"/>
      <c r="GJ39" s="17"/>
      <c r="GK39" s="17"/>
    </row>
    <row r="40" spans="1:193">
      <c r="A40" s="18">
        <f t="shared" si="5"/>
        <v>2026</v>
      </c>
      <c r="B40" s="162">
        <f t="shared" si="6"/>
        <v>20808000</v>
      </c>
      <c r="C40" s="125">
        <f>-Flood_Travel_Time!J38</f>
        <v>111731.35272000001</v>
      </c>
      <c r="D40" s="162">
        <f>-Flood_Travel_Time!J10</f>
        <v>79688.750545454561</v>
      </c>
      <c r="E40" s="125">
        <f t="shared" ref="E40:E58" si="11">(C40+D40)*($B$63/12)</f>
        <v>63806.701088484857</v>
      </c>
      <c r="F40" s="162">
        <f t="shared" si="7"/>
        <v>20871806.701088484</v>
      </c>
      <c r="G40" s="193">
        <f t="shared" si="8"/>
        <v>0.5</v>
      </c>
      <c r="H40" s="162">
        <f t="shared" ref="H40:H57" si="12">ROUND($H$33*(1+$B$62)^(A40-$A$33),0)</f>
        <v>101852044</v>
      </c>
      <c r="I40" s="193">
        <f t="shared" si="9"/>
        <v>0.25</v>
      </c>
      <c r="J40" s="196">
        <f>Flood_Safety!N14</f>
        <v>7638973.5522951325</v>
      </c>
      <c r="K40" s="196">
        <f>Flood_Env_Prot!I7+Flood_Env_Prot!J7</f>
        <v>2612887.8744785069</v>
      </c>
      <c r="L40" s="125">
        <f t="shared" si="10"/>
        <v>46150775.777317882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GF40" s="17"/>
      <c r="GG40" s="17"/>
      <c r="GH40" s="17"/>
      <c r="GI40" s="17"/>
      <c r="GJ40" s="17"/>
      <c r="GK40" s="17"/>
    </row>
    <row r="41" spans="1:193">
      <c r="A41" s="18">
        <f t="shared" si="5"/>
        <v>2027</v>
      </c>
      <c r="B41" s="162">
        <f t="shared" si="6"/>
        <v>21224160</v>
      </c>
      <c r="C41" s="125">
        <f>-Flood_Travel_Time!J39</f>
        <v>112451.45183999999</v>
      </c>
      <c r="D41" s="162">
        <f>-Flood_Travel_Time!J11</f>
        <v>80190.257454545455</v>
      </c>
      <c r="E41" s="125">
        <f t="shared" si="11"/>
        <v>64213.903098181821</v>
      </c>
      <c r="F41" s="162">
        <f t="shared" si="7"/>
        <v>21288373.903098181</v>
      </c>
      <c r="G41" s="193">
        <f t="shared" si="8"/>
        <v>0.5</v>
      </c>
      <c r="H41" s="162">
        <f t="shared" si="12"/>
        <v>103889085</v>
      </c>
      <c r="I41" s="193">
        <f t="shared" si="9"/>
        <v>0.25</v>
      </c>
      <c r="J41" s="196">
        <f>Flood_Safety!N15</f>
        <v>7952660.6046899687</v>
      </c>
      <c r="K41" s="196">
        <f>Flood_Env_Prot!I8+Flood_Env_Prot!J8</f>
        <v>2771177.3348951484</v>
      </c>
      <c r="L41" s="125">
        <f t="shared" si="10"/>
        <v>47340296.14113421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GF41" s="17"/>
      <c r="GG41" s="17"/>
      <c r="GH41" s="17"/>
      <c r="GI41" s="17"/>
      <c r="GJ41" s="17"/>
      <c r="GK41" s="17"/>
    </row>
    <row r="42" spans="1:193">
      <c r="A42" s="18">
        <f t="shared" si="5"/>
        <v>2028</v>
      </c>
      <c r="B42" s="162">
        <f t="shared" si="6"/>
        <v>21648643</v>
      </c>
      <c r="C42" s="125">
        <f>-Flood_Travel_Time!J40</f>
        <v>113176.38384000001</v>
      </c>
      <c r="D42" s="162">
        <f>-Flood_Travel_Time!J12</f>
        <v>80709.330181818179</v>
      </c>
      <c r="E42" s="125">
        <f t="shared" si="11"/>
        <v>64628.57134060606</v>
      </c>
      <c r="F42" s="162">
        <f t="shared" si="7"/>
        <v>21713271.571340606</v>
      </c>
      <c r="G42" s="193">
        <f t="shared" si="8"/>
        <v>0.5</v>
      </c>
      <c r="H42" s="162">
        <f t="shared" si="12"/>
        <v>105966866</v>
      </c>
      <c r="I42" s="193">
        <f t="shared" si="9"/>
        <v>0.25</v>
      </c>
      <c r="J42" s="196">
        <f>Flood_Safety!N16</f>
        <v>8317396.731570079</v>
      </c>
      <c r="K42" s="196">
        <f>Flood_Env_Prot!I9+Flood_Env_Prot!J9</f>
        <v>2949609.0121799698</v>
      </c>
      <c r="L42" s="125">
        <f t="shared" si="10"/>
        <v>48615358.029420353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GF42" s="17"/>
      <c r="GG42" s="17"/>
      <c r="GH42" s="17"/>
      <c r="GI42" s="17"/>
      <c r="GJ42" s="17"/>
      <c r="GK42" s="17"/>
    </row>
    <row r="43" spans="1:193">
      <c r="A43" s="18">
        <f t="shared" si="5"/>
        <v>2029</v>
      </c>
      <c r="B43" s="162">
        <f t="shared" si="6"/>
        <v>22081616</v>
      </c>
      <c r="C43" s="125">
        <f>-Flood_Travel_Time!J41</f>
        <v>113906.14872000001</v>
      </c>
      <c r="D43" s="162">
        <f>-Flood_Travel_Time!J13</f>
        <v>81217.568727272752</v>
      </c>
      <c r="E43" s="125">
        <f t="shared" si="11"/>
        <v>65041.239149090921</v>
      </c>
      <c r="F43" s="162">
        <f t="shared" si="7"/>
        <v>22146657.23914909</v>
      </c>
      <c r="G43" s="193">
        <f t="shared" si="8"/>
        <v>0.5</v>
      </c>
      <c r="H43" s="162">
        <f t="shared" si="12"/>
        <v>108086204</v>
      </c>
      <c r="I43" s="193">
        <f t="shared" si="9"/>
        <v>0.25</v>
      </c>
      <c r="J43" s="196">
        <f>Flood_Safety!N17</f>
        <v>8739485.5327186305</v>
      </c>
      <c r="K43" s="196">
        <f>Flood_Env_Prot!I10+Flood_Env_Prot!J10</f>
        <v>3156186.0137104276</v>
      </c>
      <c r="L43" s="125">
        <f t="shared" si="10"/>
        <v>49990551.1660036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GF43" s="17"/>
      <c r="GG43" s="17"/>
      <c r="GH43" s="17"/>
      <c r="GI43" s="17"/>
      <c r="GJ43" s="17"/>
      <c r="GK43" s="17"/>
    </row>
    <row r="44" spans="1:193">
      <c r="A44" s="18">
        <f t="shared" si="5"/>
        <v>2030</v>
      </c>
      <c r="B44" s="162">
        <f t="shared" si="6"/>
        <v>22523248</v>
      </c>
      <c r="C44" s="125">
        <f>-Flood_Travel_Time!J42</f>
        <v>114645.57936000002</v>
      </c>
      <c r="D44" s="162">
        <f>-Flood_Travel_Time!J14</f>
        <v>81760.938909090924</v>
      </c>
      <c r="E44" s="125">
        <f t="shared" si="11"/>
        <v>65468.839423030309</v>
      </c>
      <c r="F44" s="162">
        <f t="shared" si="7"/>
        <v>22588716.839423031</v>
      </c>
      <c r="G44" s="193">
        <f t="shared" si="8"/>
        <v>0.5</v>
      </c>
      <c r="H44" s="162">
        <f t="shared" si="12"/>
        <v>110247928</v>
      </c>
      <c r="I44" s="193">
        <f t="shared" si="9"/>
        <v>0.25</v>
      </c>
      <c r="J44" s="196">
        <f>Flood_Safety!N18</f>
        <v>9226453.2090496905</v>
      </c>
      <c r="K44" s="196">
        <f>Flood_Env_Prot!I11+Flood_Env_Prot!J11</f>
        <v>3415963.3836224857</v>
      </c>
      <c r="L44" s="125">
        <f t="shared" si="10"/>
        <v>51498757.012383685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GF44" s="17"/>
      <c r="GG44" s="17"/>
      <c r="GH44" s="17"/>
      <c r="GI44" s="17"/>
      <c r="GJ44" s="17"/>
      <c r="GK44" s="17"/>
    </row>
    <row r="45" spans="1:193">
      <c r="A45" s="18">
        <f t="shared" si="5"/>
        <v>2031</v>
      </c>
      <c r="B45" s="162">
        <f t="shared" si="6"/>
        <v>22973713</v>
      </c>
      <c r="C45" s="125">
        <f>-Flood_Travel_Time!J43</f>
        <v>115385.01</v>
      </c>
      <c r="D45" s="162">
        <f>-Flood_Travel_Time!J15</f>
        <v>82290.1090909091</v>
      </c>
      <c r="E45" s="125">
        <f t="shared" si="11"/>
        <v>65891.70636363636</v>
      </c>
      <c r="F45" s="162">
        <f t="shared" si="7"/>
        <v>23039604.706363637</v>
      </c>
      <c r="G45" s="193">
        <f t="shared" si="8"/>
        <v>0.5</v>
      </c>
      <c r="H45" s="162">
        <f t="shared" si="12"/>
        <v>112452886</v>
      </c>
      <c r="I45" s="193">
        <f t="shared" si="9"/>
        <v>0.25</v>
      </c>
      <c r="J45" s="196">
        <f>Flood_Safety!N19</f>
        <v>9787272.5579245482</v>
      </c>
      <c r="K45" s="196">
        <f>Flood_Env_Prot!I12+Flood_Env_Prot!J12</f>
        <v>3621167.5046376009</v>
      </c>
      <c r="L45" s="125">
        <f t="shared" si="10"/>
        <v>53041463.915743962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GF45" s="17"/>
      <c r="GG45" s="17"/>
      <c r="GH45" s="17"/>
      <c r="GI45" s="17"/>
      <c r="GJ45" s="17"/>
      <c r="GK45" s="17"/>
    </row>
    <row r="46" spans="1:193">
      <c r="A46" s="18">
        <f t="shared" si="5"/>
        <v>2032</v>
      </c>
      <c r="B46" s="162">
        <f t="shared" si="6"/>
        <v>23433188</v>
      </c>
      <c r="C46" s="125">
        <f>-Flood_Travel_Time!J44</f>
        <v>116129.27352000002</v>
      </c>
      <c r="D46" s="162">
        <f>-Flood_Travel_Time!J16</f>
        <v>82808.445090909096</v>
      </c>
      <c r="E46" s="125">
        <f t="shared" si="11"/>
        <v>66312.572870303033</v>
      </c>
      <c r="F46" s="162">
        <f t="shared" si="7"/>
        <v>23499500.572870303</v>
      </c>
      <c r="G46" s="193">
        <f t="shared" si="8"/>
        <v>0.5</v>
      </c>
      <c r="H46" s="162">
        <f t="shared" si="12"/>
        <v>114701944</v>
      </c>
      <c r="I46" s="193">
        <f t="shared" si="9"/>
        <v>0.25</v>
      </c>
      <c r="J46" s="196">
        <f>Flood_Safety!N20</f>
        <v>10432637.52199663</v>
      </c>
      <c r="K46" s="196">
        <f>Flood_Env_Prot!I13+Flood_Env_Prot!J13</f>
        <v>3857322.6878303438</v>
      </c>
      <c r="L46" s="125">
        <f t="shared" si="10"/>
        <v>54715196.496262126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GF46" s="17"/>
      <c r="GG46" s="17"/>
      <c r="GH46" s="17"/>
      <c r="GI46" s="17"/>
      <c r="GJ46" s="17"/>
      <c r="GK46" s="17"/>
    </row>
    <row r="47" spans="1:193">
      <c r="A47" s="18">
        <f t="shared" si="5"/>
        <v>2033</v>
      </c>
      <c r="B47" s="162">
        <f t="shared" si="6"/>
        <v>23901851</v>
      </c>
      <c r="C47" s="125">
        <f>-Flood_Travel_Time!J45</f>
        <v>116878.36992</v>
      </c>
      <c r="D47" s="162">
        <f>-Flood_Travel_Time!J17</f>
        <v>83344.346909090906</v>
      </c>
      <c r="E47" s="125">
        <f t="shared" si="11"/>
        <v>66740.905609696958</v>
      </c>
      <c r="F47" s="162">
        <f t="shared" si="7"/>
        <v>23968591.905609697</v>
      </c>
      <c r="G47" s="193">
        <f t="shared" si="8"/>
        <v>0.5</v>
      </c>
      <c r="H47" s="162">
        <f t="shared" si="12"/>
        <v>116995983</v>
      </c>
      <c r="I47" s="193">
        <f t="shared" si="9"/>
        <v>0.25</v>
      </c>
      <c r="J47" s="196">
        <f>Flood_Safety!N21</f>
        <v>11175299.930997819</v>
      </c>
      <c r="K47" s="196">
        <f>Flood_Env_Prot!I14+Flood_Env_Prot!J14</f>
        <v>4129081.6454803455</v>
      </c>
      <c r="L47" s="125">
        <f t="shared" si="10"/>
        <v>56537673.279283009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GF47" s="17"/>
      <c r="GG47" s="17"/>
      <c r="GH47" s="17"/>
      <c r="GI47" s="17"/>
      <c r="GJ47" s="17"/>
      <c r="GK47" s="17"/>
    </row>
    <row r="48" spans="1:193">
      <c r="A48" s="18">
        <f t="shared" si="5"/>
        <v>2034</v>
      </c>
      <c r="B48" s="162">
        <f t="shared" si="6"/>
        <v>24379888</v>
      </c>
      <c r="C48" s="125">
        <f>-Flood_Travel_Time!J46</f>
        <v>117632.29919999999</v>
      </c>
      <c r="D48" s="162">
        <f>-Flood_Travel_Time!J18</f>
        <v>83883.614545454562</v>
      </c>
      <c r="E48" s="125">
        <f t="shared" si="11"/>
        <v>67171.971248484857</v>
      </c>
      <c r="F48" s="162">
        <f t="shared" si="7"/>
        <v>24447059.971248485</v>
      </c>
      <c r="G48" s="193">
        <f t="shared" si="8"/>
        <v>0.5</v>
      </c>
      <c r="H48" s="162">
        <f t="shared" si="12"/>
        <v>119335902</v>
      </c>
      <c r="I48" s="193">
        <f t="shared" si="9"/>
        <v>0.25</v>
      </c>
      <c r="J48" s="196">
        <f>Flood_Safety!N22</f>
        <v>12030483.081560878</v>
      </c>
      <c r="K48" s="196">
        <f>Flood_Env_Prot!I15+Flood_Env_Prot!J15</f>
        <v>4441998.1557067465</v>
      </c>
      <c r="L48" s="125">
        <f t="shared" si="10"/>
        <v>58529986.722891867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GF48" s="17"/>
      <c r="GG48" s="17"/>
      <c r="GH48" s="17"/>
      <c r="GI48" s="17"/>
      <c r="GJ48" s="17"/>
      <c r="GK48" s="17"/>
    </row>
    <row r="49" spans="1:193">
      <c r="A49" s="18">
        <f t="shared" si="5"/>
        <v>2035</v>
      </c>
      <c r="B49" s="162">
        <f t="shared" si="6"/>
        <v>24867486</v>
      </c>
      <c r="C49" s="125">
        <f>-Flood_Travel_Time!J47</f>
        <v>118395.89424000001</v>
      </c>
      <c r="D49" s="162">
        <f>-Flood_Travel_Time!J19</f>
        <v>84429.613818181839</v>
      </c>
      <c r="E49" s="125">
        <f t="shared" si="11"/>
        <v>67608.502686060616</v>
      </c>
      <c r="F49" s="162">
        <f t="shared" si="7"/>
        <v>24935094.502686061</v>
      </c>
      <c r="G49" s="193">
        <f t="shared" si="8"/>
        <v>0.5</v>
      </c>
      <c r="H49" s="162">
        <f t="shared" si="12"/>
        <v>121722620</v>
      </c>
      <c r="I49" s="193">
        <f t="shared" si="9"/>
        <v>0.25</v>
      </c>
      <c r="J49" s="196">
        <f>Flood_Safety!N23</f>
        <v>13016390.615946097</v>
      </c>
      <c r="K49" s="196">
        <f>Flood_Env_Prot!I16+Flood_Env_Prot!J16</f>
        <v>4802712.2166471733</v>
      </c>
      <c r="L49" s="125">
        <f t="shared" si="10"/>
        <v>60717305.083936296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GF49" s="17"/>
      <c r="GG49" s="17"/>
      <c r="GH49" s="17"/>
      <c r="GI49" s="17"/>
      <c r="GJ49" s="17"/>
      <c r="GK49" s="17"/>
    </row>
    <row r="50" spans="1:193">
      <c r="A50" s="18">
        <f t="shared" si="5"/>
        <v>2036</v>
      </c>
      <c r="B50" s="162">
        <f t="shared" si="6"/>
        <v>25364836</v>
      </c>
      <c r="C50" s="125">
        <f>-Flood_Travel_Time!J48</f>
        <v>119159.48928000001</v>
      </c>
      <c r="D50" s="162">
        <f>-Flood_Travel_Time!J20</f>
        <v>84975.613090909086</v>
      </c>
      <c r="E50" s="125">
        <f t="shared" si="11"/>
        <v>68045.03412363636</v>
      </c>
      <c r="F50" s="162">
        <f t="shared" si="7"/>
        <v>25432881.034123637</v>
      </c>
      <c r="G50" s="193">
        <f t="shared" si="8"/>
        <v>0.5</v>
      </c>
      <c r="H50" s="162">
        <f t="shared" si="12"/>
        <v>124157073</v>
      </c>
      <c r="I50" s="193">
        <f t="shared" si="9"/>
        <v>0.25</v>
      </c>
      <c r="J50" s="196">
        <f>Flood_Safety!N24</f>
        <v>14154834.021656023</v>
      </c>
      <c r="K50" s="196">
        <f>Flood_Env_Prot!I17+Flood_Env_Prot!J17</f>
        <v>5216938.1258955086</v>
      </c>
      <c r="L50" s="125">
        <f t="shared" si="10"/>
        <v>63127480.914613344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GF50" s="17"/>
      <c r="GG50" s="17"/>
      <c r="GH50" s="17"/>
      <c r="GI50" s="17"/>
      <c r="GJ50" s="17"/>
      <c r="GK50" s="17"/>
    </row>
    <row r="51" spans="1:193">
      <c r="A51" s="18">
        <f t="shared" si="5"/>
        <v>2037</v>
      </c>
      <c r="B51" s="162">
        <f t="shared" si="6"/>
        <v>25872133</v>
      </c>
      <c r="C51" s="125">
        <f>-Flood_Travel_Time!J49</f>
        <v>119927.9172</v>
      </c>
      <c r="D51" s="162">
        <f>-Flood_Travel_Time!J21</f>
        <v>85510.778181818197</v>
      </c>
      <c r="E51" s="125">
        <f t="shared" si="11"/>
        <v>68479.565127272726</v>
      </c>
      <c r="F51" s="162">
        <f t="shared" si="7"/>
        <v>25940612.565127272</v>
      </c>
      <c r="G51" s="193">
        <f t="shared" si="8"/>
        <v>0.5</v>
      </c>
      <c r="H51" s="162">
        <f t="shared" si="12"/>
        <v>126640214</v>
      </c>
      <c r="I51" s="193">
        <f t="shared" si="9"/>
        <v>0.25</v>
      </c>
      <c r="J51" s="196">
        <f>Flood_Safety!N25</f>
        <v>15472008.287203604</v>
      </c>
      <c r="K51" s="196">
        <f>Flood_Env_Prot!I18+Flood_Env_Prot!J18</f>
        <v>5698497.5399670647</v>
      </c>
      <c r="L51" s="125">
        <f t="shared" si="10"/>
        <v>65800865.609734304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GF51" s="17"/>
      <c r="GG51" s="17"/>
      <c r="GH51" s="17"/>
      <c r="GI51" s="17"/>
      <c r="GJ51" s="17"/>
      <c r="GK51" s="17"/>
    </row>
    <row r="52" spans="1:193">
      <c r="A52" s="18">
        <f t="shared" si="5"/>
        <v>2038</v>
      </c>
      <c r="B52" s="162">
        <f t="shared" si="6"/>
        <v>26389575</v>
      </c>
      <c r="C52" s="125">
        <f>-Flood_Travel_Time!J50</f>
        <v>120701.17799999999</v>
      </c>
      <c r="D52" s="162">
        <f>-Flood_Travel_Time!J22</f>
        <v>86077.709090909106</v>
      </c>
      <c r="E52" s="125">
        <f t="shared" si="11"/>
        <v>68926.295696969697</v>
      </c>
      <c r="F52" s="162">
        <f t="shared" si="7"/>
        <v>26458501.29569697</v>
      </c>
      <c r="G52" s="193">
        <f t="shared" si="8"/>
        <v>0.5</v>
      </c>
      <c r="H52" s="162">
        <f t="shared" si="12"/>
        <v>129173019</v>
      </c>
      <c r="I52" s="193">
        <f t="shared" si="9"/>
        <v>0.25</v>
      </c>
      <c r="J52" s="196">
        <f>Flood_Safety!N26</f>
        <v>16999453.216157865</v>
      </c>
      <c r="K52" s="196">
        <f>Flood_Env_Prot!I19+Flood_Env_Prot!J19</f>
        <v>6256823.7619413082</v>
      </c>
      <c r="L52" s="125">
        <f t="shared" si="10"/>
        <v>68778782.375947669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GF52" s="17"/>
      <c r="GG52" s="17"/>
      <c r="GH52" s="17"/>
      <c r="GI52" s="17"/>
      <c r="GJ52" s="17"/>
      <c r="GK52" s="17"/>
    </row>
    <row r="53" spans="1:193">
      <c r="A53" s="18">
        <f t="shared" si="5"/>
        <v>2039</v>
      </c>
      <c r="B53" s="162">
        <f t="shared" si="6"/>
        <v>26917367</v>
      </c>
      <c r="C53" s="125">
        <f>-Flood_Travel_Time!J51</f>
        <v>121484.10456000002</v>
      </c>
      <c r="D53" s="162">
        <f>-Flood_Travel_Time!J23</f>
        <v>86637.171636363637</v>
      </c>
      <c r="E53" s="125">
        <f t="shared" si="11"/>
        <v>69373.75873212122</v>
      </c>
      <c r="F53" s="162">
        <f t="shared" si="7"/>
        <v>26986740.758732121</v>
      </c>
      <c r="G53" s="193">
        <f t="shared" si="8"/>
        <v>0.5</v>
      </c>
      <c r="H53" s="162">
        <f t="shared" si="12"/>
        <v>131756479</v>
      </c>
      <c r="I53" s="193">
        <f t="shared" si="9"/>
        <v>0.25</v>
      </c>
      <c r="J53" s="196">
        <f>Flood_Safety!N27</f>
        <v>18775248.148792032</v>
      </c>
      <c r="K53" s="196">
        <f>Flood_Env_Prot!I20+Flood_Env_Prot!J20</f>
        <v>6905788.3515220452</v>
      </c>
      <c r="L53" s="125">
        <f t="shared" si="10"/>
        <v>72113526.629680142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GF53" s="17"/>
      <c r="GG53" s="17"/>
      <c r="GH53" s="17"/>
      <c r="GI53" s="17"/>
      <c r="GJ53" s="17"/>
      <c r="GK53" s="17"/>
    </row>
    <row r="54" spans="1:193">
      <c r="A54" s="18">
        <f t="shared" si="5"/>
        <v>2040</v>
      </c>
      <c r="B54" s="162">
        <f t="shared" si="6"/>
        <v>27455714</v>
      </c>
      <c r="C54" s="125">
        <f>-Flood_Travel_Time!J52</f>
        <v>122267.03112</v>
      </c>
      <c r="D54" s="162">
        <f>-Flood_Travel_Time!J24</f>
        <v>87182.434181818186</v>
      </c>
      <c r="E54" s="125">
        <f t="shared" si="11"/>
        <v>69816.48843393939</v>
      </c>
      <c r="F54" s="162">
        <f t="shared" si="7"/>
        <v>27525530.488433938</v>
      </c>
      <c r="G54" s="193">
        <f t="shared" si="8"/>
        <v>0.5</v>
      </c>
      <c r="H54" s="162">
        <f t="shared" si="12"/>
        <v>134391609</v>
      </c>
      <c r="I54" s="193">
        <f t="shared" si="9"/>
        <v>0.25</v>
      </c>
      <c r="J54" s="196">
        <f>Flood_Safety!N28</f>
        <v>20845501.061536215</v>
      </c>
      <c r="K54" s="196">
        <f>Flood_Env_Prot!I21+Flood_Env_Prot!J21</f>
        <v>7662183.1859690649</v>
      </c>
      <c r="L54" s="125">
        <f t="shared" si="10"/>
        <v>75868351.741722256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GF54" s="17"/>
      <c r="GG54" s="17"/>
      <c r="GH54" s="17"/>
      <c r="GI54" s="17"/>
      <c r="GJ54" s="17"/>
      <c r="GK54" s="17"/>
    </row>
    <row r="55" spans="1:193">
      <c r="A55" s="18">
        <f t="shared" si="5"/>
        <v>2041</v>
      </c>
      <c r="B55" s="162">
        <f t="shared" si="6"/>
        <v>28004828</v>
      </c>
      <c r="C55" s="125">
        <f>-Flood_Travel_Time!J53</f>
        <v>123054.79056000001</v>
      </c>
      <c r="D55" s="162">
        <f>-Flood_Travel_Time!J25</f>
        <v>87759.46254545456</v>
      </c>
      <c r="E55" s="125">
        <f t="shared" si="11"/>
        <v>70271.41770181818</v>
      </c>
      <c r="F55" s="162">
        <f t="shared" si="7"/>
        <v>28075099.417701818</v>
      </c>
      <c r="G55" s="193">
        <f t="shared" si="8"/>
        <v>0.5</v>
      </c>
      <c r="H55" s="162">
        <f t="shared" si="12"/>
        <v>137079441</v>
      </c>
      <c r="I55" s="193">
        <f t="shared" si="9"/>
        <v>0.25</v>
      </c>
      <c r="J55" s="196">
        <f>Flood_Safety!N29</f>
        <v>23266210.124302749</v>
      </c>
      <c r="K55" s="196">
        <f>Flood_Env_Prot!I22+Flood_Env_Prot!J22</f>
        <v>8546396.5130790211</v>
      </c>
      <c r="L55" s="125">
        <f t="shared" si="10"/>
        <v>80120016.596232668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GF55" s="17"/>
      <c r="GG55" s="17"/>
      <c r="GH55" s="17"/>
      <c r="GI55" s="17"/>
      <c r="GJ55" s="17"/>
      <c r="GK55" s="17"/>
    </row>
    <row r="56" spans="1:193">
      <c r="A56" s="18">
        <f t="shared" si="5"/>
        <v>2042</v>
      </c>
      <c r="B56" s="162">
        <f t="shared" si="6"/>
        <v>28564925</v>
      </c>
      <c r="C56" s="125">
        <f>-Flood_Travel_Time!J54</f>
        <v>123852.21576000002</v>
      </c>
      <c r="D56" s="162">
        <f>-Flood_Travel_Time!J26</f>
        <v>88314.822545454546</v>
      </c>
      <c r="E56" s="125">
        <f t="shared" si="11"/>
        <v>70722.346101818184</v>
      </c>
      <c r="F56" s="162">
        <f t="shared" si="7"/>
        <v>28635647.346101817</v>
      </c>
      <c r="G56" s="193">
        <f t="shared" si="8"/>
        <v>0.5</v>
      </c>
      <c r="H56" s="162">
        <f t="shared" si="12"/>
        <v>139821030</v>
      </c>
      <c r="I56" s="193">
        <f t="shared" si="9"/>
        <v>0.25</v>
      </c>
      <c r="J56" s="196">
        <f>Flood_Safety!N30</f>
        <v>26105598.006576534</v>
      </c>
      <c r="K56" s="196">
        <f>Flood_Env_Prot!I23+Flood_Env_Prot!J23</f>
        <v>9583260.4594527278</v>
      </c>
      <c r="L56" s="125">
        <f t="shared" si="10"/>
        <v>84961939.639080182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GF56" s="17"/>
      <c r="GG56" s="17"/>
      <c r="GH56" s="17"/>
      <c r="GI56" s="17"/>
      <c r="GJ56" s="17"/>
      <c r="GK56" s="17"/>
    </row>
    <row r="57" spans="1:193">
      <c r="A57" s="18">
        <f t="shared" si="5"/>
        <v>2043</v>
      </c>
      <c r="B57" s="162">
        <f t="shared" si="6"/>
        <v>29136223</v>
      </c>
      <c r="C57" s="125">
        <f>-Flood_Travel_Time!J55</f>
        <v>124649.64096000002</v>
      </c>
      <c r="D57" s="162">
        <f>-Flood_Travel_Time!J27</f>
        <v>88884.382545454559</v>
      </c>
      <c r="E57" s="125">
        <f t="shared" si="11"/>
        <v>71178.007835151526</v>
      </c>
      <c r="F57" s="162">
        <f t="shared" si="7"/>
        <v>29207401.00783515</v>
      </c>
      <c r="G57" s="193">
        <f t="shared" si="8"/>
        <v>0.5</v>
      </c>
      <c r="H57" s="162">
        <f t="shared" si="12"/>
        <v>142617450</v>
      </c>
      <c r="I57" s="193">
        <f t="shared" si="9"/>
        <v>0.25</v>
      </c>
      <c r="J57" s="196">
        <f>Flood_Safety!N31</f>
        <v>29447048.144544847</v>
      </c>
      <c r="K57" s="196">
        <f>Flood_Env_Prot!I24+Flood_Env_Prot!J24</f>
        <v>10798440.592902556</v>
      </c>
      <c r="L57" s="125">
        <f t="shared" si="10"/>
        <v>90503551.741364971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GF57" s="17"/>
      <c r="GG57" s="17"/>
      <c r="GH57" s="17"/>
      <c r="GI57" s="17"/>
      <c r="GJ57" s="17"/>
      <c r="GK57" s="17"/>
    </row>
    <row r="58" spans="1:193" ht="13.5" thickBot="1">
      <c r="A58" s="337">
        <f t="shared" si="5"/>
        <v>2044</v>
      </c>
      <c r="B58" s="338">
        <f t="shared" si="6"/>
        <v>29718948</v>
      </c>
      <c r="C58" s="125">
        <f>-Flood_Travel_Time!J56</f>
        <v>125456.73192000003</v>
      </c>
      <c r="D58" s="162">
        <f>-Flood_Travel_Time!J28</f>
        <v>89474.874181818188</v>
      </c>
      <c r="E58" s="125">
        <f t="shared" si="11"/>
        <v>71643.868700606065</v>
      </c>
      <c r="F58" s="162">
        <f t="shared" si="7"/>
        <v>29790591.868700605</v>
      </c>
      <c r="G58" s="339">
        <f t="shared" si="8"/>
        <v>0.5</v>
      </c>
      <c r="H58" s="162">
        <f>ROUND($H$33*(1+$B$62)^(A58-$A$33),0)</f>
        <v>145469799</v>
      </c>
      <c r="I58" s="339">
        <f t="shared" si="9"/>
        <v>0.25</v>
      </c>
      <c r="J58" s="196">
        <f>Flood_Safety!N32</f>
        <v>33392809.957617387</v>
      </c>
      <c r="K58" s="196">
        <f>Flood_Env_Prot!I25+Flood_Env_Prot!J25</f>
        <v>12237856.607333392</v>
      </c>
      <c r="L58" s="189">
        <f t="shared" si="10"/>
        <v>96893412.249301076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GF58" s="17"/>
      <c r="GG58" s="17"/>
      <c r="GH58" s="17"/>
      <c r="GI58" s="17"/>
      <c r="GJ58" s="17"/>
      <c r="GK58" s="17"/>
    </row>
    <row r="59" spans="1:193" ht="13.5" thickTop="1">
      <c r="A59" s="472" t="s">
        <v>101</v>
      </c>
      <c r="B59" s="473"/>
      <c r="C59" s="473"/>
      <c r="D59" s="473"/>
      <c r="E59" s="473"/>
      <c r="F59" s="473"/>
      <c r="G59" s="473"/>
      <c r="H59" s="473"/>
      <c r="I59" s="473"/>
      <c r="J59" s="473"/>
      <c r="K59" s="474"/>
      <c r="L59" s="191">
        <f>SUM(L39:L58)</f>
        <v>1270345536.5717597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GF59" s="17"/>
      <c r="GG59" s="17"/>
      <c r="GH59" s="17"/>
      <c r="GI59" s="17"/>
      <c r="GJ59" s="17"/>
      <c r="GK59" s="17"/>
    </row>
    <row r="60" spans="1:193">
      <c r="A60" s="76"/>
      <c r="B60" s="76"/>
      <c r="C60" s="76"/>
      <c r="D60" s="192"/>
      <c r="E60" s="19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193" ht="15.75">
      <c r="A61" s="469" t="s">
        <v>102</v>
      </c>
      <c r="B61" s="469"/>
      <c r="C61" s="76"/>
      <c r="D61" s="192"/>
      <c r="E61" s="19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193">
      <c r="A62" s="197" t="s">
        <v>103</v>
      </c>
      <c r="B62" s="340">
        <v>0.02</v>
      </c>
      <c r="C62" s="76"/>
      <c r="D62" s="192"/>
      <c r="E62" s="19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193">
      <c r="A63" s="197" t="s">
        <v>104</v>
      </c>
      <c r="B63" s="341">
        <v>4</v>
      </c>
      <c r="C63" s="76"/>
      <c r="D63" s="192"/>
      <c r="E63" s="19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193">
      <c r="A64" s="198" t="s">
        <v>105</v>
      </c>
      <c r="B64" s="341">
        <v>2</v>
      </c>
      <c r="C64" s="76"/>
      <c r="D64" s="192"/>
      <c r="E64" s="19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ht="13.9" customHeight="1">
      <c r="A65" s="198" t="s">
        <v>106</v>
      </c>
      <c r="B65" s="341">
        <f>(B63*C74)+(B64*C75)</f>
        <v>2.5</v>
      </c>
      <c r="C65" s="76"/>
      <c r="D65" s="192"/>
      <c r="E65" s="19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ht="15.75">
      <c r="A67" s="469" t="s">
        <v>107</v>
      </c>
      <c r="B67" s="469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>
      <c r="A68" s="197" t="s">
        <v>108</v>
      </c>
      <c r="B68" s="340">
        <v>0.01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ht="13.9" customHeight="1">
      <c r="A69" s="197" t="s">
        <v>109</v>
      </c>
      <c r="B69" s="342">
        <v>5.0000000000000001E-3</v>
      </c>
      <c r="C69" s="414"/>
      <c r="D69" s="415"/>
      <c r="E69" s="3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ht="25.5">
      <c r="A70" s="198" t="s">
        <v>110</v>
      </c>
      <c r="B70" s="343">
        <v>1E-4</v>
      </c>
      <c r="C70" s="414"/>
      <c r="D70" s="415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ht="15.75">
      <c r="A72" s="469" t="s">
        <v>111</v>
      </c>
      <c r="B72" s="469"/>
      <c r="C72" s="469"/>
      <c r="D72" s="469"/>
      <c r="E72" s="469"/>
      <c r="F72" s="469"/>
      <c r="G72" s="469"/>
      <c r="H72" s="469"/>
      <c r="I72" s="469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ht="13.15" customHeight="1" thickBot="1">
      <c r="A73" s="2" t="s">
        <v>112</v>
      </c>
      <c r="B73" s="2" t="s">
        <v>97</v>
      </c>
      <c r="C73" s="2" t="s">
        <v>113</v>
      </c>
      <c r="D73" s="488" t="s">
        <v>114</v>
      </c>
      <c r="E73" s="488"/>
      <c r="F73" s="488"/>
      <c r="G73" s="488"/>
      <c r="H73" s="488"/>
      <c r="I73" s="488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ht="17.45" customHeight="1" thickTop="1">
      <c r="A74" s="45" t="s">
        <v>89</v>
      </c>
      <c r="B74" s="344">
        <v>20000000</v>
      </c>
      <c r="C74" s="345">
        <v>0.5</v>
      </c>
      <c r="D74" s="489" t="s">
        <v>115</v>
      </c>
      <c r="E74" s="489"/>
      <c r="F74" s="489"/>
      <c r="G74" s="489"/>
      <c r="H74" s="489"/>
      <c r="I74" s="489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ht="15" customHeight="1">
      <c r="A75" s="197" t="s">
        <v>116</v>
      </c>
      <c r="B75" s="346">
        <f>SUM(B88:F88)*2/6</f>
        <v>88668333.333333328</v>
      </c>
      <c r="C75" s="347">
        <f>0.5*0.5</f>
        <v>0.25</v>
      </c>
      <c r="D75" s="482" t="s">
        <v>117</v>
      </c>
      <c r="E75" s="482"/>
      <c r="F75" s="482"/>
      <c r="G75" s="482"/>
      <c r="H75" s="482"/>
      <c r="I75" s="482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>
      <c r="A76" s="457" t="s">
        <v>118</v>
      </c>
      <c r="B76" s="483"/>
      <c r="C76" s="483"/>
      <c r="D76" s="483"/>
      <c r="E76" s="483"/>
      <c r="F76" s="483"/>
      <c r="G76" s="483"/>
      <c r="H76" s="483"/>
      <c r="I76" s="458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ht="13.9" customHeight="1">
      <c r="A78" s="484" t="s">
        <v>119</v>
      </c>
      <c r="B78" s="484"/>
      <c r="C78" s="484"/>
      <c r="D78" s="484"/>
      <c r="E78" s="484"/>
      <c r="F78" s="484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>
      <c r="A79" s="435" t="s">
        <v>120</v>
      </c>
      <c r="B79" s="465" t="s">
        <v>121</v>
      </c>
      <c r="C79" s="466"/>
      <c r="D79" s="467"/>
      <c r="E79" s="56" t="s">
        <v>122</v>
      </c>
      <c r="F79" s="56" t="s">
        <v>123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>
      <c r="A80" s="468"/>
      <c r="B80" s="56" t="s">
        <v>124</v>
      </c>
      <c r="C80" s="56" t="s">
        <v>125</v>
      </c>
      <c r="D80" s="56" t="s">
        <v>126</v>
      </c>
      <c r="E80" s="56" t="s">
        <v>61</v>
      </c>
      <c r="F80" s="56" t="s">
        <v>61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>
      <c r="A81" s="47" t="s">
        <v>127</v>
      </c>
      <c r="B81" s="381">
        <v>2200000</v>
      </c>
      <c r="C81" s="382">
        <v>500000</v>
      </c>
      <c r="D81" s="381"/>
      <c r="E81" s="382">
        <v>57000000</v>
      </c>
      <c r="F81" s="381">
        <v>4200000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>
      <c r="A82" s="59" t="s">
        <v>128</v>
      </c>
      <c r="B82" s="383">
        <v>4200000</v>
      </c>
      <c r="C82" s="384">
        <v>1200000</v>
      </c>
      <c r="D82" s="385"/>
      <c r="E82" s="384">
        <v>100000000</v>
      </c>
      <c r="F82" s="383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>
      <c r="A83" s="136" t="s">
        <v>129</v>
      </c>
      <c r="B83" s="386"/>
      <c r="C83" s="387"/>
      <c r="D83" s="388">
        <v>4020000</v>
      </c>
      <c r="E83" s="387">
        <v>31000000</v>
      </c>
      <c r="F83" s="386">
        <v>25000000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>
      <c r="A84" s="135" t="s">
        <v>130</v>
      </c>
      <c r="B84" s="386"/>
      <c r="C84" s="387"/>
      <c r="D84" s="388"/>
      <c r="E84" s="387">
        <v>11000000</v>
      </c>
      <c r="F84" s="386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>
      <c r="A85" s="136" t="s">
        <v>131</v>
      </c>
      <c r="B85" s="386">
        <v>85000</v>
      </c>
      <c r="C85" s="387"/>
      <c r="D85" s="388"/>
      <c r="E85" s="387"/>
      <c r="F85" s="386"/>
      <c r="G85" s="32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ht="13.5" thickBot="1">
      <c r="A86" s="201" t="s">
        <v>132</v>
      </c>
      <c r="B86" s="389">
        <v>7600000</v>
      </c>
      <c r="C86" s="390"/>
      <c r="D86" s="391"/>
      <c r="E86" s="390">
        <v>18000000</v>
      </c>
      <c r="F86" s="389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ht="13.5" thickTop="1">
      <c r="A87" s="202" t="s">
        <v>19</v>
      </c>
      <c r="B87" s="392">
        <f>SUM(B81:B86)</f>
        <v>14085000</v>
      </c>
      <c r="C87" s="393">
        <f t="shared" ref="C87:F87" si="13">SUM(C81:C86)</f>
        <v>1700000</v>
      </c>
      <c r="D87" s="392">
        <f t="shared" si="13"/>
        <v>4020000</v>
      </c>
      <c r="E87" s="393">
        <f>SUM(E81:E86)</f>
        <v>217000000</v>
      </c>
      <c r="F87" s="392">
        <f t="shared" si="13"/>
        <v>29200000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ht="16.5">
      <c r="A88" s="203" t="s">
        <v>133</v>
      </c>
      <c r="B88" s="485">
        <f>SUM(B87:D87)</f>
        <v>19805000</v>
      </c>
      <c r="C88" s="486"/>
      <c r="D88" s="487"/>
      <c r="E88" s="204">
        <f>SUM(E87:E87)</f>
        <v>217000000</v>
      </c>
      <c r="F88" s="166">
        <f>SUM(F87:F87)</f>
        <v>29200000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>
      <c r="A89" s="481" t="s">
        <v>118</v>
      </c>
      <c r="B89" s="481"/>
      <c r="C89" s="481"/>
      <c r="D89" s="481"/>
      <c r="E89" s="481"/>
      <c r="F89" s="481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>
      <c r="A94" s="17" t="s">
        <v>134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:39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:39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:39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:39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:39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:39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:3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:39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:39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:39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:39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:39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:39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:39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:39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:39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1:3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:39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1:39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:39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1:39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1:39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1:39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1:39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1:39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1:39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1:3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1:39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1:39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1:39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1:39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1:39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1:39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1:39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1:39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1:39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1:3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1:39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1:39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1:39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1:39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1:39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1:39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1:39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1:39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1:39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1: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1:39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1:39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1:39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1:39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1:39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1:39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1:39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1:39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1:39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1:3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1:39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1:39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1:39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1:39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1:39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1:39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1:39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1:39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1:39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1:3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1:39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1:39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1:39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1:39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1:39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1:39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1:39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1:39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1:39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1:3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1:39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1:39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1:39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1:39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1:39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1:39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1:39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1:39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1:39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1:3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1:39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1:39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1:39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1:39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1:39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1:39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1:39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1:39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1:39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1:3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1:39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  <row r="291" spans="1:39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</row>
    <row r="292" spans="1:39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</row>
    <row r="293" spans="1:39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</row>
    <row r="294" spans="1:39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</row>
    <row r="295" spans="1:39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</row>
    <row r="296" spans="1:39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</row>
    <row r="297" spans="1:39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</row>
    <row r="298" spans="1:39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</row>
    <row r="299" spans="1:3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</row>
    <row r="300" spans="1:39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</row>
    <row r="301" spans="1:39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</row>
    <row r="302" spans="1:39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</row>
    <row r="303" spans="1:39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</row>
    <row r="304" spans="1:39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</row>
    <row r="305" spans="1:39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</row>
    <row r="306" spans="1:39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</row>
    <row r="307" spans="1:39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</row>
    <row r="308" spans="1:39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</row>
    <row r="309" spans="1:3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</row>
    <row r="310" spans="1:39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</row>
    <row r="311" spans="1:39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</row>
    <row r="312" spans="1:39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</row>
    <row r="313" spans="1:39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</row>
    <row r="314" spans="1:39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</row>
    <row r="315" spans="1:39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</row>
    <row r="316" spans="1:39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</row>
    <row r="317" spans="1:39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</row>
    <row r="318" spans="1:39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</row>
    <row r="319" spans="1:3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</row>
    <row r="320" spans="1:39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</row>
    <row r="321" spans="1:39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</row>
    <row r="322" spans="1:39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</row>
    <row r="323" spans="1:39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</row>
    <row r="324" spans="1:39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</row>
    <row r="325" spans="1:39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</row>
    <row r="326" spans="1:39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</row>
    <row r="327" spans="1:39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</row>
    <row r="328" spans="1:39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</row>
    <row r="329" spans="1:3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</row>
    <row r="330" spans="1:39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</row>
    <row r="331" spans="1:39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</row>
    <row r="332" spans="1:39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</row>
    <row r="333" spans="1:39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</row>
    <row r="334" spans="1:39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</row>
    <row r="335" spans="1:39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</row>
    <row r="336" spans="1:39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</row>
    <row r="337" spans="1:39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</row>
    <row r="338" spans="1:39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</row>
    <row r="339" spans="1: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</row>
    <row r="340" spans="1:39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</row>
    <row r="341" spans="1:39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</row>
    <row r="342" spans="1:39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</row>
    <row r="343" spans="1:39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</row>
    <row r="344" spans="1:39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</row>
    <row r="345" spans="1:39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</row>
    <row r="346" spans="1:39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</row>
    <row r="347" spans="1:39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</row>
    <row r="348" spans="1:39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</row>
    <row r="349" spans="1:3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</row>
    <row r="350" spans="1:39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</row>
    <row r="351" spans="1:39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</row>
    <row r="352" spans="1:39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</row>
    <row r="353" spans="1:39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</row>
    <row r="354" spans="1:39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</row>
    <row r="355" spans="1:39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</row>
    <row r="356" spans="1:39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</row>
    <row r="357" spans="1:39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</row>
    <row r="358" spans="1:39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</row>
    <row r="359" spans="1:3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</row>
    <row r="360" spans="1:39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</row>
    <row r="361" spans="1:39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</row>
    <row r="362" spans="1:39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</row>
    <row r="363" spans="1:39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</row>
    <row r="364" spans="1:39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</row>
    <row r="365" spans="1:39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</row>
    <row r="366" spans="1:3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</row>
    <row r="367" spans="1:3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</row>
    <row r="368" spans="1:3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</row>
    <row r="369" spans="1:3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</row>
    <row r="370" spans="1:3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</row>
    <row r="371" spans="1:3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</row>
    <row r="372" spans="1:3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</row>
    <row r="373" spans="1:3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</row>
    <row r="374" spans="1:3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</row>
    <row r="375" spans="1:3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</row>
    <row r="376" spans="1:3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</row>
    <row r="377" spans="1:3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</row>
    <row r="378" spans="1:3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</row>
    <row r="379" spans="1:3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</row>
    <row r="380" spans="1:3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</row>
    <row r="381" spans="1:3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</row>
    <row r="382" spans="1:3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</row>
    <row r="383" spans="1:3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</row>
    <row r="384" spans="1:3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</row>
    <row r="385" spans="1:3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</row>
    <row r="386" spans="1:3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</row>
    <row r="387" spans="1:3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</row>
    <row r="388" spans="1:3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</row>
    <row r="389" spans="1:3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</row>
    <row r="390" spans="1:3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</row>
    <row r="391" spans="1:3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</row>
    <row r="392" spans="1:3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</row>
    <row r="393" spans="1:39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</row>
    <row r="394" spans="1:39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</row>
    <row r="395" spans="1:39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</row>
    <row r="396" spans="1:39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</row>
    <row r="397" spans="1:39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</row>
    <row r="398" spans="1:39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</row>
    <row r="399" spans="1:3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</row>
    <row r="400" spans="1:39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</row>
    <row r="401" spans="1:39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</row>
    <row r="402" spans="1:39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</row>
    <row r="403" spans="1:39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</row>
    <row r="404" spans="1:39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</row>
    <row r="405" spans="1:39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</row>
    <row r="406" spans="1:39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</row>
    <row r="407" spans="1:39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</row>
    <row r="408" spans="1:39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</row>
    <row r="409" spans="1:3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</row>
    <row r="410" spans="1:39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</row>
    <row r="411" spans="1:39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</row>
    <row r="412" spans="1:39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</row>
    <row r="413" spans="1:39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</row>
    <row r="414" spans="1:39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</row>
    <row r="415" spans="1:39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</row>
    <row r="416" spans="1:39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</row>
    <row r="417" spans="1:39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</row>
    <row r="418" spans="1:39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</row>
    <row r="419" spans="1:3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</row>
    <row r="420" spans="1:39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</row>
    <row r="421" spans="1:39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</row>
    <row r="422" spans="1:39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</row>
    <row r="423" spans="1:39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</row>
    <row r="424" spans="1:39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</row>
    <row r="425" spans="1:39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</row>
    <row r="426" spans="1:39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</row>
    <row r="427" spans="1:39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</row>
    <row r="428" spans="1:39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</row>
    <row r="429" spans="1:3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</row>
    <row r="430" spans="1:39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</row>
    <row r="431" spans="1:39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</row>
    <row r="432" spans="1:39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</row>
    <row r="433" spans="1:39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</row>
    <row r="434" spans="1:39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</row>
    <row r="435" spans="1:39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</row>
    <row r="436" spans="1:39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</row>
    <row r="437" spans="1:39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</row>
    <row r="438" spans="1:39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</row>
    <row r="439" spans="1: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</row>
    <row r="440" spans="1:39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</row>
    <row r="441" spans="1:39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</row>
    <row r="442" spans="1:39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</row>
    <row r="443" spans="1:39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</row>
    <row r="444" spans="1:39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</row>
    <row r="445" spans="1:39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</row>
    <row r="446" spans="1:39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</row>
    <row r="447" spans="1:39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</row>
    <row r="448" spans="1:39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</row>
    <row r="449" spans="1:3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</row>
    <row r="450" spans="1:39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</row>
    <row r="451" spans="1:39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</row>
    <row r="452" spans="1:39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</row>
    <row r="453" spans="1:39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</row>
    <row r="454" spans="1:39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</row>
    <row r="455" spans="1:39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</row>
    <row r="456" spans="1:39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</row>
    <row r="457" spans="1:39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</row>
    <row r="458" spans="1:39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</row>
    <row r="459" spans="1:3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</row>
    <row r="460" spans="1:39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</row>
    <row r="461" spans="1:39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</row>
    <row r="462" spans="1:39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</row>
    <row r="463" spans="1:39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</row>
    <row r="464" spans="1:39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</row>
    <row r="465" spans="1:39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</row>
    <row r="466" spans="1:39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</row>
    <row r="467" spans="1:39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</row>
    <row r="468" spans="1:39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</row>
    <row r="469" spans="1:3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</row>
    <row r="470" spans="1:39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</row>
    <row r="471" spans="1:39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</row>
    <row r="472" spans="1:39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</row>
    <row r="473" spans="1:39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</row>
    <row r="474" spans="1:39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</row>
    <row r="475" spans="1:39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</row>
    <row r="476" spans="1:39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</row>
    <row r="477" spans="1:39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</row>
    <row r="478" spans="1:39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</row>
    <row r="479" spans="1:3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</row>
    <row r="480" spans="1:39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</row>
    <row r="481" spans="1:39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</row>
    <row r="482" spans="1:39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</row>
    <row r="483" spans="1:39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</row>
    <row r="484" spans="1:39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</row>
    <row r="485" spans="1:39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</row>
    <row r="486" spans="1:39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</row>
    <row r="487" spans="1:39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</row>
    <row r="488" spans="1:39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</row>
    <row r="489" spans="1:3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</row>
    <row r="490" spans="1:39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</row>
    <row r="491" spans="1:39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</row>
    <row r="492" spans="1:39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</row>
    <row r="493" spans="1:39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</row>
    <row r="494" spans="1:39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</row>
    <row r="495" spans="1:39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</row>
    <row r="496" spans="1:39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</row>
    <row r="497" spans="1:39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</row>
    <row r="498" spans="1:39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</row>
    <row r="499" spans="1:3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</row>
    <row r="500" spans="1:39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</row>
    <row r="501" spans="1:39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</row>
    <row r="502" spans="1:39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</row>
    <row r="503" spans="1:39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</row>
    <row r="504" spans="1:39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</row>
    <row r="505" spans="1:39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</row>
    <row r="506" spans="1:39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</row>
    <row r="507" spans="1:39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</row>
    <row r="508" spans="1:39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</row>
    <row r="509" spans="1:3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</row>
    <row r="510" spans="1:39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</row>
    <row r="511" spans="1:39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</row>
    <row r="512" spans="1:39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</row>
    <row r="513" spans="1:39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</row>
    <row r="514" spans="1:39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</row>
    <row r="515" spans="1:39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</row>
    <row r="516" spans="1:39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</row>
    <row r="517" spans="1:39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</row>
    <row r="518" spans="1:39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</row>
    <row r="519" spans="1:3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</row>
    <row r="520" spans="1:39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</row>
    <row r="521" spans="1:39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</row>
    <row r="522" spans="1:39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</row>
    <row r="523" spans="1:39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</row>
    <row r="524" spans="1:39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</row>
    <row r="525" spans="1:39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</row>
    <row r="526" spans="1:39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</row>
    <row r="527" spans="1:39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</row>
    <row r="528" spans="1:39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</row>
    <row r="529" spans="1:3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</row>
    <row r="530" spans="1:39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</row>
    <row r="531" spans="1:39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</row>
    <row r="532" spans="1:39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</row>
    <row r="533" spans="1:39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</row>
    <row r="534" spans="1:39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</row>
    <row r="535" spans="1:39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</row>
    <row r="536" spans="1:39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</row>
    <row r="537" spans="1:39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</row>
    <row r="538" spans="1:39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</row>
    <row r="539" spans="1: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</row>
    <row r="540" spans="1:39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</row>
    <row r="541" spans="1:39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</row>
    <row r="542" spans="1:39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</row>
    <row r="543" spans="1:39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</row>
    <row r="544" spans="1:39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</row>
    <row r="545" spans="1:39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</row>
    <row r="546" spans="1:39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</row>
    <row r="547" spans="1:39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</row>
    <row r="548" spans="1:39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</row>
    <row r="549" spans="1:3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</row>
    <row r="550" spans="1:39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</row>
    <row r="551" spans="1:39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</row>
    <row r="552" spans="1:39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</row>
    <row r="553" spans="1:39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</row>
    <row r="554" spans="1:39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</row>
    <row r="555" spans="1:39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</row>
    <row r="556" spans="1:39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</row>
    <row r="557" spans="1:39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</row>
    <row r="558" spans="1:39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</row>
    <row r="559" spans="1:3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</row>
    <row r="560" spans="1:39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</row>
    <row r="561" spans="1:39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</row>
    <row r="562" spans="1:39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</row>
    <row r="563" spans="1:39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</row>
    <row r="564" spans="1:39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</row>
    <row r="565" spans="1:39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</row>
    <row r="566" spans="1:39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</row>
    <row r="567" spans="1:39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</row>
    <row r="568" spans="1:39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</row>
    <row r="569" spans="1:3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</row>
    <row r="570" spans="1:39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</row>
    <row r="571" spans="1:39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</row>
    <row r="572" spans="1:39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</row>
    <row r="573" spans="1:39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</row>
    <row r="574" spans="1:39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</row>
    <row r="575" spans="1:39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</row>
    <row r="576" spans="1:39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</row>
    <row r="577" spans="1:39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</row>
    <row r="578" spans="1:39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</row>
    <row r="579" spans="1:3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</row>
    <row r="580" spans="1:39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</row>
    <row r="581" spans="1:39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</row>
    <row r="582" spans="1:39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</row>
    <row r="583" spans="1:39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</row>
    <row r="584" spans="1:39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</row>
    <row r="585" spans="1:39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</row>
    <row r="586" spans="1:39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</row>
    <row r="587" spans="1:39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</row>
    <row r="588" spans="1:39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</row>
    <row r="589" spans="1:3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</row>
    <row r="590" spans="1:39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</row>
    <row r="591" spans="1:39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</row>
    <row r="592" spans="1:39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</row>
    <row r="593" spans="1:39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</row>
    <row r="594" spans="1:39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</row>
    <row r="595" spans="1:39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</row>
    <row r="596" spans="1:39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</row>
    <row r="597" spans="1:39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</row>
    <row r="598" spans="1:39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</row>
    <row r="599" spans="1:3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</row>
    <row r="600" spans="1:39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</row>
    <row r="601" spans="1:39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</row>
    <row r="602" spans="1:39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</row>
    <row r="603" spans="1:39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</row>
    <row r="604" spans="1:39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</row>
    <row r="605" spans="1:39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</row>
    <row r="606" spans="1:39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</row>
    <row r="607" spans="1:39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</row>
    <row r="608" spans="1:39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</row>
    <row r="609" spans="1:3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</row>
    <row r="610" spans="1:39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</row>
    <row r="611" spans="1:39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</row>
    <row r="612" spans="1:39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</row>
    <row r="613" spans="1:39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</row>
    <row r="614" spans="1:39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</row>
    <row r="615" spans="1:39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</row>
    <row r="616" spans="1:39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</row>
    <row r="617" spans="1:39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</row>
    <row r="618" spans="1:39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</row>
    <row r="619" spans="1:3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</row>
    <row r="620" spans="1:39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</row>
    <row r="621" spans="1:39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</row>
    <row r="622" spans="1:39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</row>
    <row r="623" spans="1:39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</row>
    <row r="624" spans="1:39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</row>
    <row r="625" spans="1:39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</row>
    <row r="626" spans="1:39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</row>
    <row r="627" spans="1:39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</row>
    <row r="628" spans="1:39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</row>
    <row r="629" spans="1:3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</row>
    <row r="630" spans="1:39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</row>
    <row r="631" spans="1:39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</row>
    <row r="632" spans="1:39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</row>
    <row r="633" spans="1:39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</row>
    <row r="634" spans="1:39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</row>
    <row r="635" spans="1:39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</row>
    <row r="636" spans="1:39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</row>
    <row r="637" spans="1:39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</row>
    <row r="638" spans="1:39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</row>
    <row r="639" spans="1: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</row>
    <row r="640" spans="1:39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</row>
    <row r="641" spans="1:39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</row>
    <row r="642" spans="1:39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</row>
    <row r="643" spans="1:39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</row>
    <row r="644" spans="1:39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</row>
    <row r="645" spans="1:39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</row>
    <row r="646" spans="1:39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</row>
    <row r="647" spans="1:39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</row>
    <row r="648" spans="1:39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</row>
    <row r="649" spans="1:3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</row>
    <row r="650" spans="1:39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</row>
    <row r="651" spans="1:39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</row>
    <row r="652" spans="1:39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</row>
    <row r="653" spans="1:39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</row>
    <row r="654" spans="1:39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</row>
    <row r="655" spans="1:39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</row>
    <row r="656" spans="1:39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</row>
    <row r="657" spans="1:39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</row>
    <row r="658" spans="1:39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</row>
    <row r="659" spans="1:3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</row>
    <row r="660" spans="1:39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</row>
    <row r="661" spans="1:39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</row>
    <row r="662" spans="1:39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</row>
    <row r="663" spans="1:39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</row>
    <row r="664" spans="1:39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</row>
    <row r="665" spans="1:39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</row>
    <row r="666" spans="1:39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</row>
    <row r="667" spans="1:39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</row>
    <row r="668" spans="1:39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</row>
    <row r="669" spans="1:3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</row>
    <row r="670" spans="1:39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</row>
    <row r="671" spans="1:39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</row>
    <row r="672" spans="1:39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</row>
    <row r="673" spans="1:39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</row>
    <row r="674" spans="1:39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</row>
    <row r="675" spans="1:39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</row>
    <row r="676" spans="1:39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</row>
    <row r="677" spans="1:39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</row>
    <row r="678" spans="1:39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</row>
    <row r="679" spans="1:3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</row>
    <row r="680" spans="1:39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</row>
    <row r="681" spans="1:39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</row>
    <row r="682" spans="1:39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</row>
    <row r="683" spans="1:39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</row>
    <row r="684" spans="1:39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</row>
    <row r="685" spans="1:39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</row>
    <row r="686" spans="1:39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</row>
    <row r="687" spans="1:39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</row>
    <row r="688" spans="1:39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</row>
    <row r="689" spans="1:3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</row>
    <row r="690" spans="1:39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</row>
    <row r="691" spans="1:39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</row>
    <row r="692" spans="1:39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</row>
    <row r="693" spans="1:39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</row>
    <row r="694" spans="1:39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</row>
    <row r="695" spans="1:39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</row>
    <row r="696" spans="1:39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</row>
    <row r="697" spans="1:39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</row>
    <row r="698" spans="1:39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</row>
    <row r="699" spans="1:3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</row>
    <row r="700" spans="1:39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</row>
    <row r="701" spans="1:39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</row>
    <row r="702" spans="1:39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</row>
    <row r="703" spans="1:39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</row>
    <row r="704" spans="1:39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</row>
    <row r="705" spans="1:39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</row>
    <row r="706" spans="1:39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</row>
    <row r="707" spans="1:39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</row>
    <row r="708" spans="1:39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</row>
    <row r="709" spans="1:3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</row>
    <row r="710" spans="1:39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</row>
    <row r="711" spans="1:39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</row>
    <row r="712" spans="1:39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</row>
    <row r="713" spans="1:39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</row>
    <row r="714" spans="1:39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</row>
    <row r="715" spans="1:39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</row>
    <row r="716" spans="1:39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</row>
    <row r="717" spans="1:39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</row>
    <row r="718" spans="1:39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</row>
    <row r="719" spans="1:3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</row>
    <row r="720" spans="1:39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</row>
    <row r="721" spans="1:39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</row>
    <row r="722" spans="1:39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</row>
    <row r="723" spans="1:39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</row>
    <row r="724" spans="1:39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</row>
    <row r="725" spans="1:39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</row>
    <row r="726" spans="1:39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</row>
    <row r="727" spans="1:39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</row>
    <row r="728" spans="1:39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</row>
    <row r="729" spans="1:3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</row>
    <row r="730" spans="1:39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</row>
    <row r="731" spans="1:39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</row>
    <row r="732" spans="1:39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</row>
    <row r="733" spans="1:39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</row>
    <row r="734" spans="1:39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</row>
    <row r="735" spans="1:39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</row>
    <row r="736" spans="1:39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</row>
    <row r="737" spans="1:39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</row>
    <row r="738" spans="1:39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</row>
    <row r="739" spans="1: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</row>
    <row r="740" spans="1:39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</row>
    <row r="741" spans="1:39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</row>
    <row r="742" spans="1:39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</row>
    <row r="743" spans="1:39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</row>
    <row r="744" spans="1:39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</row>
    <row r="745" spans="1:39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</row>
    <row r="746" spans="1:39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</row>
    <row r="747" spans="1:39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</row>
    <row r="748" spans="1:39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</row>
    <row r="749" spans="1:3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</row>
    <row r="750" spans="1:39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</row>
    <row r="751" spans="1:39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</row>
    <row r="752" spans="1:39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</row>
    <row r="753" spans="1:39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</row>
    <row r="754" spans="1:39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</row>
    <row r="755" spans="1:39" s="17" customFormat="1"/>
    <row r="756" spans="1:39" s="17" customFormat="1"/>
    <row r="757" spans="1:39" s="17" customFormat="1"/>
    <row r="758" spans="1:39" s="17" customFormat="1"/>
    <row r="759" spans="1:39" s="17" customFormat="1"/>
    <row r="760" spans="1:39" s="17" customFormat="1"/>
    <row r="761" spans="1:39" s="17" customFormat="1"/>
    <row r="762" spans="1:39" s="17" customFormat="1"/>
    <row r="763" spans="1:39" s="17" customFormat="1"/>
    <row r="764" spans="1:39" s="17" customFormat="1"/>
    <row r="765" spans="1:39" s="17" customFormat="1"/>
    <row r="766" spans="1:39" s="17" customFormat="1"/>
    <row r="767" spans="1:39" s="17" customFormat="1"/>
    <row r="768" spans="1:39" s="17" customFormat="1"/>
    <row r="769" s="17" customFormat="1"/>
    <row r="770" s="17" customFormat="1"/>
    <row r="771" s="17" customFormat="1"/>
    <row r="772" s="17" customFormat="1"/>
    <row r="773" s="17" customFormat="1"/>
    <row r="774" s="17" customFormat="1"/>
    <row r="775" s="17" customFormat="1"/>
    <row r="776" s="17" customFormat="1"/>
    <row r="777" s="17" customFormat="1"/>
    <row r="778" s="17" customFormat="1"/>
    <row r="779" s="17" customFormat="1"/>
    <row r="780" s="17" customFormat="1"/>
    <row r="781" s="17" customFormat="1"/>
    <row r="782" s="17" customFormat="1"/>
    <row r="783" s="17" customFormat="1"/>
    <row r="784" s="17" customFormat="1"/>
    <row r="785" s="17" customFormat="1"/>
    <row r="786" s="17" customFormat="1"/>
    <row r="787" s="17" customFormat="1"/>
    <row r="788" s="17" customFormat="1"/>
    <row r="789" s="17" customFormat="1"/>
    <row r="790" s="17" customFormat="1"/>
    <row r="791" s="17" customFormat="1"/>
    <row r="792" s="17" customFormat="1"/>
    <row r="793" s="17" customFormat="1"/>
    <row r="794" s="17" customFormat="1"/>
    <row r="795" s="17" customFormat="1"/>
    <row r="796" s="17" customFormat="1"/>
    <row r="797" s="17" customFormat="1"/>
    <row r="798" s="17" customFormat="1"/>
    <row r="799" s="17" customFormat="1"/>
    <row r="800" s="17" customFormat="1"/>
    <row r="801" s="17" customFormat="1"/>
    <row r="802" s="17" customFormat="1"/>
    <row r="803" s="17" customFormat="1"/>
    <row r="804" s="17" customFormat="1"/>
    <row r="805" s="17" customFormat="1"/>
    <row r="806" s="17" customFormat="1"/>
    <row r="807" s="17" customFormat="1"/>
    <row r="808" s="17" customFormat="1"/>
    <row r="809" s="17" customFormat="1"/>
    <row r="810" s="17" customFormat="1"/>
    <row r="811" s="17" customFormat="1"/>
    <row r="812" s="17" customFormat="1"/>
    <row r="813" s="17" customFormat="1"/>
    <row r="814" s="17" customFormat="1"/>
    <row r="815" s="17" customFormat="1"/>
    <row r="816" s="17" customFormat="1"/>
    <row r="817" s="17" customFormat="1"/>
    <row r="818" s="17" customFormat="1"/>
    <row r="819" s="17" customFormat="1"/>
    <row r="820" s="17" customFormat="1"/>
    <row r="821" s="17" customFormat="1"/>
    <row r="822" s="17" customFormat="1"/>
    <row r="823" s="17" customFormat="1"/>
    <row r="824" s="17" customFormat="1"/>
    <row r="825" s="17" customFormat="1"/>
    <row r="826" s="17" customFormat="1"/>
    <row r="827" s="17" customFormat="1"/>
    <row r="828" s="17" customFormat="1"/>
    <row r="829" s="17" customFormat="1"/>
    <row r="830" s="17" customFormat="1"/>
    <row r="831" s="17" customFormat="1"/>
    <row r="832" s="17" customFormat="1"/>
    <row r="833" s="17" customFormat="1"/>
    <row r="834" s="17" customFormat="1"/>
    <row r="835" s="17" customFormat="1"/>
    <row r="836" s="17" customFormat="1"/>
    <row r="837" s="17" customFormat="1"/>
    <row r="838" s="17" customFormat="1"/>
    <row r="839" s="17" customFormat="1"/>
    <row r="840" s="17" customFormat="1"/>
    <row r="841" s="17" customFormat="1"/>
    <row r="842" s="17" customFormat="1"/>
    <row r="843" s="17" customFormat="1"/>
    <row r="844" s="17" customFormat="1"/>
    <row r="845" s="17" customFormat="1"/>
    <row r="846" s="17" customFormat="1"/>
    <row r="847" s="17" customFormat="1"/>
    <row r="848" s="17" customFormat="1"/>
    <row r="849" s="17" customFormat="1"/>
    <row r="850" s="17" customFormat="1"/>
    <row r="851" s="17" customFormat="1"/>
    <row r="852" s="17" customFormat="1"/>
    <row r="853" s="17" customFormat="1"/>
    <row r="854" s="17" customFormat="1"/>
    <row r="855" s="17" customFormat="1"/>
    <row r="856" s="17" customFormat="1"/>
    <row r="857" s="17" customFormat="1"/>
    <row r="858" s="17" customFormat="1"/>
    <row r="859" s="17" customFormat="1"/>
    <row r="860" s="17" customFormat="1"/>
    <row r="861" s="17" customFormat="1"/>
    <row r="862" s="17" customFormat="1"/>
    <row r="863" s="17" customFormat="1"/>
    <row r="864" s="17" customFormat="1"/>
    <row r="865" s="17" customFormat="1"/>
    <row r="866" s="17" customFormat="1"/>
    <row r="867" s="17" customFormat="1"/>
    <row r="868" s="17" customFormat="1"/>
    <row r="869" s="17" customFormat="1"/>
    <row r="870" s="17" customFormat="1"/>
    <row r="871" s="17" customFormat="1"/>
    <row r="872" s="17" customFormat="1"/>
    <row r="873" s="17" customFormat="1"/>
    <row r="874" s="17" customFormat="1"/>
    <row r="875" s="17" customFormat="1"/>
    <row r="876" s="17" customFormat="1"/>
    <row r="877" s="17" customFormat="1"/>
    <row r="878" s="17" customFormat="1"/>
    <row r="879" s="17" customFormat="1"/>
    <row r="880" s="17" customFormat="1"/>
    <row r="881" s="17" customFormat="1"/>
    <row r="882" s="17" customFormat="1"/>
    <row r="883" s="17" customFormat="1"/>
    <row r="884" s="17" customFormat="1"/>
    <row r="885" s="17" customFormat="1"/>
    <row r="886" s="17" customFormat="1"/>
    <row r="887" s="17" customFormat="1"/>
    <row r="888" s="17" customFormat="1"/>
    <row r="889" s="17" customFormat="1"/>
    <row r="890" s="17" customFormat="1"/>
    <row r="891" s="17" customFormat="1"/>
    <row r="892" s="17" customFormat="1"/>
    <row r="893" s="17" customFormat="1"/>
    <row r="894" s="17" customFormat="1"/>
    <row r="895" s="17" customFormat="1"/>
    <row r="896" s="17" customFormat="1"/>
    <row r="897" s="17" customFormat="1"/>
    <row r="898" s="17" customFormat="1"/>
    <row r="899" s="17" customFormat="1"/>
    <row r="900" s="17" customFormat="1"/>
    <row r="901" s="17" customFormat="1"/>
    <row r="902" s="17" customFormat="1"/>
    <row r="903" s="17" customFormat="1"/>
    <row r="904" s="17" customFormat="1"/>
    <row r="905" s="17" customFormat="1"/>
    <row r="906" s="17" customFormat="1"/>
    <row r="907" s="17" customFormat="1"/>
    <row r="908" s="17" customFormat="1"/>
    <row r="909" s="17" customFormat="1"/>
    <row r="910" s="17" customFormat="1"/>
    <row r="911" s="17" customFormat="1"/>
    <row r="912" s="17" customFormat="1"/>
    <row r="913" s="17" customFormat="1"/>
    <row r="914" s="17" customFormat="1"/>
    <row r="915" s="17" customFormat="1"/>
    <row r="916" s="17" customFormat="1"/>
    <row r="917" s="17" customFormat="1"/>
    <row r="918" s="17" customFormat="1"/>
    <row r="919" s="17" customFormat="1"/>
    <row r="920" s="17" customFormat="1"/>
    <row r="921" s="17" customFormat="1"/>
    <row r="922" s="17" customFormat="1"/>
    <row r="923" s="17" customFormat="1"/>
    <row r="924" s="17" customFormat="1"/>
    <row r="925" s="17" customFormat="1"/>
    <row r="926" s="17" customFormat="1"/>
    <row r="927" s="17" customFormat="1"/>
    <row r="928" s="17" customFormat="1"/>
    <row r="929" s="17" customFormat="1"/>
    <row r="930" s="17" customFormat="1"/>
    <row r="931" s="17" customFormat="1"/>
    <row r="932" s="17" customFormat="1"/>
    <row r="933" s="17" customFormat="1"/>
    <row r="934" s="17" customFormat="1"/>
    <row r="935" s="17" customFormat="1"/>
    <row r="936" s="17" customFormat="1"/>
    <row r="937" s="17" customFormat="1"/>
    <row r="938" s="17" customFormat="1"/>
    <row r="939" s="17" customFormat="1"/>
    <row r="940" s="17" customFormat="1"/>
    <row r="941" s="17" customFormat="1"/>
    <row r="942" s="17" customFormat="1"/>
    <row r="943" s="17" customFormat="1"/>
    <row r="944" s="17" customFormat="1"/>
    <row r="945" s="17" customFormat="1"/>
    <row r="946" s="17" customFormat="1"/>
    <row r="947" s="17" customFormat="1"/>
    <row r="948" s="17" customFormat="1"/>
    <row r="949" s="17" customFormat="1"/>
    <row r="950" s="17" customFormat="1"/>
    <row r="951" s="17" customFormat="1"/>
    <row r="952" s="17" customFormat="1"/>
    <row r="953" s="17" customFormat="1"/>
    <row r="954" s="17" customFormat="1"/>
    <row r="955" s="17" customFormat="1"/>
    <row r="956" s="17" customFormat="1"/>
    <row r="957" s="17" customFormat="1"/>
    <row r="958" s="17" customFormat="1"/>
    <row r="959" s="17" customFormat="1"/>
    <row r="960" s="17" customFormat="1"/>
    <row r="961" s="17" customFormat="1"/>
    <row r="962" s="17" customFormat="1"/>
    <row r="963" s="17" customFormat="1"/>
    <row r="964" s="17" customFormat="1"/>
    <row r="965" s="17" customFormat="1"/>
    <row r="966" s="17" customFormat="1"/>
    <row r="967" s="17" customFormat="1"/>
    <row r="968" s="17" customFormat="1"/>
    <row r="969" s="17" customFormat="1"/>
    <row r="970" s="17" customFormat="1"/>
    <row r="971" s="17" customFormat="1"/>
    <row r="972" s="17" customFormat="1"/>
    <row r="973" s="17" customFormat="1"/>
    <row r="974" s="17" customFormat="1"/>
    <row r="975" s="17" customFormat="1"/>
    <row r="976" s="17" customFormat="1"/>
    <row r="977" s="17" customFormat="1"/>
    <row r="978" s="17" customFormat="1"/>
    <row r="979" s="17" customFormat="1"/>
    <row r="980" s="17" customFormat="1"/>
    <row r="981" s="17" customFormat="1"/>
    <row r="982" s="17" customFormat="1"/>
    <row r="983" s="17" customFormat="1"/>
    <row r="984" s="17" customFormat="1"/>
    <row r="985" s="17" customFormat="1"/>
    <row r="986" s="17" customFormat="1"/>
    <row r="987" s="17" customFormat="1"/>
    <row r="988" s="17" customFormat="1"/>
    <row r="989" s="17" customFormat="1"/>
    <row r="990" s="17" customFormat="1"/>
    <row r="991" s="17" customFormat="1"/>
    <row r="992" s="17" customFormat="1"/>
    <row r="993" s="17" customFormat="1"/>
    <row r="994" s="17" customFormat="1"/>
    <row r="995" s="17" customFormat="1"/>
    <row r="996" s="17" customFormat="1"/>
    <row r="997" s="17" customFormat="1"/>
    <row r="998" s="17" customFormat="1"/>
    <row r="999" s="17" customFormat="1"/>
    <row r="1000" s="17" customFormat="1"/>
    <row r="1001" s="17" customFormat="1"/>
    <row r="1002" s="17" customFormat="1"/>
    <row r="1003" s="17" customFormat="1"/>
    <row r="1004" s="17" customFormat="1"/>
    <row r="1005" s="17" customFormat="1"/>
    <row r="1006" s="17" customFormat="1"/>
    <row r="1007" s="17" customFormat="1"/>
    <row r="1008" s="17" customFormat="1"/>
    <row r="1009" s="17" customFormat="1"/>
    <row r="1010" s="17" customFormat="1"/>
  </sheetData>
  <mergeCells count="27">
    <mergeCell ref="A89:F89"/>
    <mergeCell ref="H31:I31"/>
    <mergeCell ref="J31:K31"/>
    <mergeCell ref="A30:L30"/>
    <mergeCell ref="D75:I75"/>
    <mergeCell ref="A76:I76"/>
    <mergeCell ref="A78:F78"/>
    <mergeCell ref="A79:A80"/>
    <mergeCell ref="B79:D79"/>
    <mergeCell ref="B88:D88"/>
    <mergeCell ref="A61:B61"/>
    <mergeCell ref="A67:B67"/>
    <mergeCell ref="A72:I72"/>
    <mergeCell ref="D73:I73"/>
    <mergeCell ref="D74:I74"/>
    <mergeCell ref="L31:L32"/>
    <mergeCell ref="A59:K59"/>
    <mergeCell ref="A1:B1"/>
    <mergeCell ref="A5:E5"/>
    <mergeCell ref="A6:A7"/>
    <mergeCell ref="B6:B7"/>
    <mergeCell ref="C6:C7"/>
    <mergeCell ref="D6:D7"/>
    <mergeCell ref="E6:E7"/>
    <mergeCell ref="A28:C28"/>
    <mergeCell ref="A31:A32"/>
    <mergeCell ref="B31:G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4A41-DF06-492A-B940-9FC88F6078AD}">
  <dimension ref="A1:FQ412"/>
  <sheetViews>
    <sheetView zoomScaleNormal="100" workbookViewId="0"/>
  </sheetViews>
  <sheetFormatPr defaultRowHeight="12.75"/>
  <cols>
    <col min="1" max="1" width="19.5703125" customWidth="1"/>
    <col min="2" max="2" width="18.5703125" customWidth="1"/>
    <col min="3" max="4" width="12.7109375" customWidth="1"/>
    <col min="5" max="5" width="15" customWidth="1"/>
    <col min="6" max="6" width="15.5703125" customWidth="1"/>
    <col min="7" max="19" width="12.7109375" customWidth="1"/>
    <col min="41" max="173" width="8.85546875" style="17"/>
  </cols>
  <sheetData>
    <row r="1" spans="1:53" ht="20.25">
      <c r="A1" s="26" t="s">
        <v>135</v>
      </c>
      <c r="B1" s="26"/>
      <c r="C1" s="27"/>
      <c r="D1" s="27"/>
      <c r="E1" s="27"/>
      <c r="F1" s="26"/>
      <c r="G1" s="2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</row>
    <row r="2" spans="1:53" ht="16.5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9"/>
      <c r="N2" s="29"/>
      <c r="O2" s="29"/>
      <c r="P2" s="29"/>
      <c r="Q2" s="29"/>
      <c r="R2" s="29"/>
      <c r="S2" s="29"/>
      <c r="T2" s="29"/>
      <c r="U2" s="29"/>
      <c r="V2" s="1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>
      <c r="A3" s="437" t="s">
        <v>29</v>
      </c>
      <c r="B3" s="447" t="s">
        <v>136</v>
      </c>
      <c r="C3" s="448"/>
      <c r="D3" s="448"/>
      <c r="E3" s="448"/>
      <c r="F3" s="448"/>
      <c r="G3" s="448"/>
      <c r="H3" s="447" t="s">
        <v>136</v>
      </c>
      <c r="I3" s="448"/>
      <c r="J3" s="448"/>
      <c r="K3" s="448"/>
      <c r="L3" s="448"/>
      <c r="M3" s="448"/>
      <c r="N3" s="448"/>
      <c r="O3" s="449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53" ht="25.5" customHeight="1">
      <c r="A4" s="520"/>
      <c r="B4" s="465" t="s">
        <v>137</v>
      </c>
      <c r="C4" s="466"/>
      <c r="D4" s="467"/>
      <c r="E4" s="465" t="s">
        <v>138</v>
      </c>
      <c r="F4" s="466"/>
      <c r="G4" s="467"/>
      <c r="H4" s="484" t="s">
        <v>139</v>
      </c>
      <c r="I4" s="484"/>
      <c r="J4" s="484" t="s">
        <v>140</v>
      </c>
      <c r="K4" s="484"/>
      <c r="L4" s="484" t="s">
        <v>141</v>
      </c>
      <c r="M4" s="484"/>
      <c r="N4" s="435" t="s">
        <v>142</v>
      </c>
      <c r="O4" s="435" t="s">
        <v>87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53" ht="13.5" thickBot="1">
      <c r="A5" s="438"/>
      <c r="B5" s="173" t="s">
        <v>123</v>
      </c>
      <c r="C5" s="173" t="s">
        <v>124</v>
      </c>
      <c r="D5" s="174" t="s">
        <v>122</v>
      </c>
      <c r="E5" s="173" t="s">
        <v>123</v>
      </c>
      <c r="F5" s="173" t="s">
        <v>124</v>
      </c>
      <c r="G5" s="174" t="s">
        <v>122</v>
      </c>
      <c r="H5" s="174" t="s">
        <v>143</v>
      </c>
      <c r="I5" s="175" t="s">
        <v>144</v>
      </c>
      <c r="J5" s="175" t="s">
        <v>145</v>
      </c>
      <c r="K5" s="175" t="s">
        <v>146</v>
      </c>
      <c r="L5" s="175" t="s">
        <v>145</v>
      </c>
      <c r="M5" s="175" t="s">
        <v>146</v>
      </c>
      <c r="N5" s="436"/>
      <c r="O5" s="436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53" ht="13.5" thickTop="1">
      <c r="A6" s="41">
        <v>2018</v>
      </c>
      <c r="B6" s="5">
        <f>'Ton-miles'!D16*('Flood Damage'!$B$65/12)</f>
        <v>320371.04166666663</v>
      </c>
      <c r="C6" s="6">
        <f>'Ton-miles'!C16*'Flood Damage'!$B$65/12</f>
        <v>342335.00000000006</v>
      </c>
      <c r="D6" s="5">
        <f>'Ton-miles'!B16*'Flood Damage'!$B$65/12</f>
        <v>112375.41666666664</v>
      </c>
      <c r="E6" s="6">
        <f>B6*'Ton-miles'!$B$143</f>
        <v>142565113.54166666</v>
      </c>
      <c r="F6" s="5">
        <f>C6*'Ton-miles'!$B$142</f>
        <v>147888720.00000003</v>
      </c>
      <c r="G6" s="6">
        <f>D6*'Ton-miles'!$B$141</f>
        <v>44163538.749999993</v>
      </c>
      <c r="H6" s="254">
        <f t="shared" ref="H6:H32" si="0">$B6*(1-$B$39)*$B$37*$E$44+($C6+$D6)*(1-$B$39)*$B$37*$E$45</f>
        <v>100688987.6953125</v>
      </c>
      <c r="I6" s="6">
        <f t="shared" ref="I6:I32" si="1">$B6*(1-$B$39)*$B$38*$E$46+($C6+$D6)*(1-$B$39)*$B$38*$E$47</f>
        <v>36539313.2421875</v>
      </c>
      <c r="J6" s="111">
        <f t="shared" ref="J6:J32" si="2">(E6+F6+G6)*$E$76</f>
        <v>1.5360776918027319E-3</v>
      </c>
      <c r="K6" s="252">
        <f t="shared" ref="K6:K32" si="3">(E6+F6+G6)*$F$76</f>
        <v>1.5360776918027319E-3</v>
      </c>
      <c r="L6" s="111">
        <f t="shared" ref="L6:L32" si="4">H6*$E$88+I6*$E$101</f>
        <v>0.24230768718119317</v>
      </c>
      <c r="M6" s="252">
        <f t="shared" ref="M6:M32" si="5">H6*$F$88+I6*$F$101</f>
        <v>17.613789307521561</v>
      </c>
      <c r="N6" s="255"/>
      <c r="O6" s="105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53">
      <c r="A7" s="18">
        <f>A6+1</f>
        <v>2019</v>
      </c>
      <c r="B7" s="5">
        <f t="shared" ref="B7:B32" si="6">$B6*(1+$B$51)^($A7-$A$6)</f>
        <v>321972.89687499992</v>
      </c>
      <c r="C7" s="6">
        <f t="shared" ref="C7:C32" si="7">$C6*(1+$B$51)^($A7-$A$6)</f>
        <v>344046.67500000005</v>
      </c>
      <c r="D7" s="5">
        <f t="shared" ref="D7:D32" si="8">$D$6*(1+$B$51)^($A7-$A$6)</f>
        <v>112937.29374999997</v>
      </c>
      <c r="E7" s="6">
        <f>B7*'Ton-miles'!$B$143</f>
        <v>143277939.10937497</v>
      </c>
      <c r="F7" s="5">
        <f>C7*'Ton-miles'!$B$142</f>
        <v>148628163.60000002</v>
      </c>
      <c r="G7" s="6">
        <f>D7*'Ton-miles'!$B$141</f>
        <v>44384356.443749987</v>
      </c>
      <c r="H7" s="254">
        <f t="shared" si="0"/>
        <v>101192432.63378906</v>
      </c>
      <c r="I7" s="6">
        <f t="shared" si="1"/>
        <v>36722009.808398433</v>
      </c>
      <c r="J7" s="111">
        <f t="shared" si="2"/>
        <v>1.5437580802617453E-3</v>
      </c>
      <c r="K7" s="252">
        <f t="shared" si="3"/>
        <v>1.5437580802617453E-3</v>
      </c>
      <c r="L7" s="111">
        <f t="shared" si="4"/>
        <v>0.2435192256170991</v>
      </c>
      <c r="M7" s="252">
        <f t="shared" si="5"/>
        <v>17.701858254059168</v>
      </c>
      <c r="N7" s="255"/>
      <c r="O7" s="105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53">
      <c r="A8" s="18">
        <f>A7+1</f>
        <v>2020</v>
      </c>
      <c r="B8" s="5">
        <f t="shared" si="6"/>
        <v>325200.67516617168</v>
      </c>
      <c r="C8" s="6">
        <f t="shared" si="7"/>
        <v>347495.74291687494</v>
      </c>
      <c r="D8" s="5">
        <f t="shared" si="8"/>
        <v>113501.98021874994</v>
      </c>
      <c r="E8" s="6">
        <f>B8*'Ton-miles'!$B$143</f>
        <v>144714300.44894639</v>
      </c>
      <c r="F8" s="5">
        <f>C8*'Ton-miles'!$B$142</f>
        <v>150118160.94008997</v>
      </c>
      <c r="G8" s="6">
        <f>D8*'Ton-miles'!$B$141</f>
        <v>44606278.225968726</v>
      </c>
      <c r="H8" s="254">
        <f t="shared" si="0"/>
        <v>102138572.76659858</v>
      </c>
      <c r="I8" s="6">
        <f t="shared" si="1"/>
        <v>37065461.276030034</v>
      </c>
      <c r="J8" s="111">
        <f t="shared" si="2"/>
        <v>1.5582104183215193E-3</v>
      </c>
      <c r="K8" s="252">
        <f t="shared" si="3"/>
        <v>1.5582104183215193E-3</v>
      </c>
      <c r="L8" s="111">
        <f t="shared" si="4"/>
        <v>0.24579666113164056</v>
      </c>
      <c r="M8" s="252">
        <f t="shared" si="5"/>
        <v>17.867417727705739</v>
      </c>
      <c r="N8" s="255"/>
      <c r="O8" s="105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53">
      <c r="A9" s="18">
        <f t="shared" ref="A9:A32" si="9">A8+1</f>
        <v>2021</v>
      </c>
      <c r="B9" s="5">
        <f t="shared" si="6"/>
        <v>330103.11599438603</v>
      </c>
      <c r="C9" s="6">
        <f t="shared" si="7"/>
        <v>352734.28467831458</v>
      </c>
      <c r="D9" s="5">
        <f t="shared" si="8"/>
        <v>114069.49011984369</v>
      </c>
      <c r="E9" s="6">
        <f>B9*'Ton-miles'!$B$143</f>
        <v>146895886.6175018</v>
      </c>
      <c r="F9" s="5">
        <f>C9*'Ton-miles'!$B$142</f>
        <v>152381210.98103189</v>
      </c>
      <c r="G9" s="6">
        <f>D9*'Ton-miles'!$B$141</f>
        <v>44829309.61709857</v>
      </c>
      <c r="H9" s="254">
        <f t="shared" si="0"/>
        <v>103540670.09177303</v>
      </c>
      <c r="I9" s="6">
        <f t="shared" si="1"/>
        <v>37574483.459176198</v>
      </c>
      <c r="J9" s="111">
        <f t="shared" si="2"/>
        <v>1.5796375786179793E-3</v>
      </c>
      <c r="K9" s="252">
        <f t="shared" si="3"/>
        <v>1.5796375786179793E-3</v>
      </c>
      <c r="L9" s="111">
        <f t="shared" si="4"/>
        <v>0.24917192531129084</v>
      </c>
      <c r="M9" s="252">
        <f t="shared" si="5"/>
        <v>18.112789150305748</v>
      </c>
      <c r="N9" s="255"/>
      <c r="O9" s="105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53">
      <c r="A10" s="18">
        <f t="shared" si="9"/>
        <v>2022</v>
      </c>
      <c r="B10" s="5">
        <f t="shared" si="6"/>
        <v>336754.85903954512</v>
      </c>
      <c r="C10" s="6">
        <f t="shared" si="7"/>
        <v>359842.05710218364</v>
      </c>
      <c r="D10" s="5">
        <f t="shared" si="8"/>
        <v>114639.83757044288</v>
      </c>
      <c r="E10" s="6">
        <f>B10*'Ton-miles'!$B$143</f>
        <v>149855912.27259758</v>
      </c>
      <c r="F10" s="5">
        <f>C10*'Ton-miles'!$B$142</f>
        <v>155451768.66814333</v>
      </c>
      <c r="G10" s="6">
        <f>D10*'Ton-miles'!$B$141</f>
        <v>45053456.165184051</v>
      </c>
      <c r="H10" s="254">
        <f t="shared" si="0"/>
        <v>105419033.16470216</v>
      </c>
      <c r="I10" s="6">
        <f t="shared" si="1"/>
        <v>38256450.981765456</v>
      </c>
      <c r="J10" s="111">
        <f t="shared" si="2"/>
        <v>1.6083502272976654E-3</v>
      </c>
      <c r="K10" s="252">
        <f t="shared" si="3"/>
        <v>1.6083502272976654E-3</v>
      </c>
      <c r="L10" s="111">
        <f t="shared" si="4"/>
        <v>0.2536939161050108</v>
      </c>
      <c r="M10" s="252">
        <f t="shared" si="5"/>
        <v>18.441527395997806</v>
      </c>
      <c r="N10" s="255"/>
      <c r="O10" s="105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53">
      <c r="A11" s="18">
        <v>2023</v>
      </c>
      <c r="B11" s="5">
        <f t="shared" si="6"/>
        <v>345258.34122727846</v>
      </c>
      <c r="C11" s="6">
        <f t="shared" si="7"/>
        <v>368928.51997221576</v>
      </c>
      <c r="D11" s="5">
        <f t="shared" si="8"/>
        <v>115213.03675829506</v>
      </c>
      <c r="E11" s="6">
        <f>B11*'Ton-miles'!$B$143</f>
        <v>153639961.84613892</v>
      </c>
      <c r="F11" s="5">
        <f>C11*'Ton-miles'!$B$142</f>
        <v>159377120.62799722</v>
      </c>
      <c r="G11" s="6">
        <f>D11*'Ton-miles'!$B$141</f>
        <v>45278723.446009956</v>
      </c>
      <c r="H11" s="254">
        <f t="shared" si="0"/>
        <v>107801533.21122301</v>
      </c>
      <c r="I11" s="6">
        <f t="shared" si="1"/>
        <v>39121484.693229228</v>
      </c>
      <c r="J11" s="111">
        <f t="shared" si="2"/>
        <v>1.6447747191699644E-3</v>
      </c>
      <c r="K11" s="252">
        <f t="shared" si="3"/>
        <v>1.6447747191699644E-3</v>
      </c>
      <c r="L11" s="111">
        <f t="shared" si="4"/>
        <v>0.25942974049657125</v>
      </c>
      <c r="M11" s="252">
        <f t="shared" si="5"/>
        <v>18.858511133327141</v>
      </c>
      <c r="N11" s="255"/>
      <c r="O11" s="105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53">
      <c r="A12" s="18">
        <f t="shared" si="9"/>
        <v>2024</v>
      </c>
      <c r="B12" s="5">
        <f t="shared" si="6"/>
        <v>355746.42973118572</v>
      </c>
      <c r="C12" s="6">
        <f t="shared" si="7"/>
        <v>380135.64955329942</v>
      </c>
      <c r="D12" s="5">
        <f t="shared" si="8"/>
        <v>115789.10194208652</v>
      </c>
      <c r="E12" s="6">
        <f>B12*'Ton-miles'!$B$143</f>
        <v>158307161.23037764</v>
      </c>
      <c r="F12" s="5">
        <f>C12*'Ton-miles'!$B$142</f>
        <v>164218600.60702536</v>
      </c>
      <c r="G12" s="6">
        <f>D12*'Ton-miles'!$B$141</f>
        <v>45505117.063239999</v>
      </c>
      <c r="H12" s="254">
        <f t="shared" si="0"/>
        <v>110724320.47582403</v>
      </c>
      <c r="I12" s="6">
        <f t="shared" si="1"/>
        <v>40182711.795361936</v>
      </c>
      <c r="J12" s="111">
        <f t="shared" si="2"/>
        <v>1.6894640559219681E-3</v>
      </c>
      <c r="K12" s="252">
        <f t="shared" si="3"/>
        <v>1.6894640559219681E-3</v>
      </c>
      <c r="L12" s="111">
        <f t="shared" si="4"/>
        <v>0.26646643929337388</v>
      </c>
      <c r="M12" s="252">
        <f t="shared" si="5"/>
        <v>19.370068217163375</v>
      </c>
      <c r="N12" s="255"/>
      <c r="O12" s="105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53">
      <c r="A13" s="18">
        <f t="shared" si="9"/>
        <v>2025</v>
      </c>
      <c r="B13" s="5">
        <f t="shared" si="6"/>
        <v>368385.8858433537</v>
      </c>
      <c r="C13" s="6">
        <f t="shared" si="7"/>
        <v>393641.6399376021</v>
      </c>
      <c r="D13" s="5">
        <f t="shared" si="8"/>
        <v>116368.04745179694</v>
      </c>
      <c r="E13" s="6">
        <f>B13*'Ton-miles'!$B$143</f>
        <v>163931719.20029241</v>
      </c>
      <c r="F13" s="5">
        <f>C13*'Ton-miles'!$B$142</f>
        <v>170053188.45304412</v>
      </c>
      <c r="G13" s="6">
        <f>D13*'Ton-miles'!$B$141</f>
        <v>45732642.648556195</v>
      </c>
      <c r="H13" s="254">
        <f t="shared" si="0"/>
        <v>114232766.62015495</v>
      </c>
      <c r="I13" s="6">
        <f t="shared" si="1"/>
        <v>41456608.054619297</v>
      </c>
      <c r="J13" s="111">
        <f t="shared" si="2"/>
        <v>1.7431123022994491E-3</v>
      </c>
      <c r="K13" s="252">
        <f t="shared" si="3"/>
        <v>1.7431123022994491E-3</v>
      </c>
      <c r="L13" s="111">
        <f t="shared" si="4"/>
        <v>0.27491325618834656</v>
      </c>
      <c r="M13" s="252">
        <f t="shared" si="5"/>
        <v>19.984140649198409</v>
      </c>
      <c r="N13" s="255">
        <f t="shared" ref="N13:N32" si="10">(L13*$B$64+M13*$B$65)-(J13*$B$64+K13*$B$65)</f>
        <v>7371071.8710873974</v>
      </c>
      <c r="O13" s="105">
        <f>N13*NPV!C9</f>
        <v>5255472.3720661383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53">
      <c r="A14" s="18">
        <f t="shared" si="9"/>
        <v>2026</v>
      </c>
      <c r="B14" s="5">
        <f t="shared" si="6"/>
        <v>383381.78627989005</v>
      </c>
      <c r="C14" s="6">
        <f t="shared" si="7"/>
        <v>409665.62746542308</v>
      </c>
      <c r="D14" s="5">
        <f t="shared" si="8"/>
        <v>116949.88768905592</v>
      </c>
      <c r="E14" s="6">
        <f>B14*'Ton-miles'!$B$143</f>
        <v>170604894.89455107</v>
      </c>
      <c r="F14" s="5">
        <f>C14*'Ton-miles'!$B$142</f>
        <v>176975551.06506276</v>
      </c>
      <c r="G14" s="6">
        <f>D14*'Ton-miles'!$B$141</f>
        <v>45961305.861798979</v>
      </c>
      <c r="H14" s="254">
        <f t="shared" si="0"/>
        <v>118382667.60624212</v>
      </c>
      <c r="I14" s="6">
        <f t="shared" si="1"/>
        <v>42963434.603986576</v>
      </c>
      <c r="J14" s="111">
        <f t="shared" si="2"/>
        <v>1.8065729870083438E-3</v>
      </c>
      <c r="K14" s="252">
        <f t="shared" si="3"/>
        <v>1.8065729870083438E-3</v>
      </c>
      <c r="L14" s="111">
        <f t="shared" si="4"/>
        <v>0.28490453400440963</v>
      </c>
      <c r="M14" s="252">
        <f t="shared" si="5"/>
        <v>20.71049513453374</v>
      </c>
      <c r="N14" s="255">
        <f t="shared" si="10"/>
        <v>7638973.5522951325</v>
      </c>
      <c r="O14" s="105">
        <f>N14*NPV!C10</f>
        <v>5090170.6245118631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53">
      <c r="A15" s="18">
        <f t="shared" si="9"/>
        <v>2027</v>
      </c>
      <c r="B15" s="5">
        <f t="shared" si="6"/>
        <v>400983.06612166896</v>
      </c>
      <c r="C15" s="6">
        <f t="shared" si="7"/>
        <v>428473.61367818672</v>
      </c>
      <c r="D15" s="5">
        <f t="shared" si="8"/>
        <v>117534.63712750119</v>
      </c>
      <c r="E15" s="6">
        <f>B15*'Ton-miles'!$B$143</f>
        <v>178437464.42414269</v>
      </c>
      <c r="F15" s="5">
        <f>C15*'Ton-miles'!$B$142</f>
        <v>185100601.10897666</v>
      </c>
      <c r="G15" s="6">
        <f>D15*'Ton-miles'!$B$141</f>
        <v>46191112.391107969</v>
      </c>
      <c r="H15" s="254">
        <f t="shared" si="0"/>
        <v>123241751.73756157</v>
      </c>
      <c r="I15" s="6">
        <f t="shared" si="1"/>
        <v>44727785.556537226</v>
      </c>
      <c r="J15" s="111">
        <f t="shared" si="2"/>
        <v>1.8808821717166771E-3</v>
      </c>
      <c r="K15" s="252">
        <f t="shared" si="3"/>
        <v>1.8808821717166771E-3</v>
      </c>
      <c r="L15" s="111">
        <f t="shared" si="4"/>
        <v>0.29660334568338459</v>
      </c>
      <c r="M15" s="252">
        <f t="shared" si="5"/>
        <v>21.56098705409098</v>
      </c>
      <c r="N15" s="255">
        <f t="shared" si="10"/>
        <v>7952660.6046899687</v>
      </c>
      <c r="O15" s="105">
        <f>N15*NPV!C11</f>
        <v>4952517.3388664341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53">
      <c r="A16" s="18">
        <f t="shared" si="9"/>
        <v>2028</v>
      </c>
      <c r="B16" s="5">
        <f t="shared" si="6"/>
        <v>421489.39306925162</v>
      </c>
      <c r="C16" s="6">
        <f t="shared" si="7"/>
        <v>450385.8108576833</v>
      </c>
      <c r="D16" s="5">
        <f t="shared" si="8"/>
        <v>118122.31031313867</v>
      </c>
      <c r="E16" s="6">
        <f>B16*'Ton-miles'!$B$143</f>
        <v>187562779.91581696</v>
      </c>
      <c r="F16" s="5">
        <f>C16*'Ton-miles'!$B$142</f>
        <v>194566670.29051918</v>
      </c>
      <c r="G16" s="6">
        <f>D16*'Ton-miles'!$B$141</f>
        <v>46422067.953063495</v>
      </c>
      <c r="H16" s="254">
        <f t="shared" si="0"/>
        <v>128891549.90430847</v>
      </c>
      <c r="I16" s="6">
        <f t="shared" si="1"/>
        <v>46779267.145865977</v>
      </c>
      <c r="J16" s="111">
        <f t="shared" si="2"/>
        <v>1.9672870608136118E-3</v>
      </c>
      <c r="K16" s="252">
        <f t="shared" si="3"/>
        <v>1.9672870608136118E-3</v>
      </c>
      <c r="L16" s="111">
        <f t="shared" si="4"/>
        <v>0.31020599737278026</v>
      </c>
      <c r="M16" s="252">
        <f t="shared" si="5"/>
        <v>22.549887838422041</v>
      </c>
      <c r="N16" s="255">
        <f t="shared" si="10"/>
        <v>8317396.731570079</v>
      </c>
      <c r="O16" s="105">
        <f>N16*NPV!C12</f>
        <v>4840800.6240532789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>
      <c r="A17" s="18">
        <f t="shared" si="9"/>
        <v>2029</v>
      </c>
      <c r="B17" s="5">
        <f t="shared" si="6"/>
        <v>445259.6383660282</v>
      </c>
      <c r="C17" s="6">
        <f t="shared" si="7"/>
        <v>475785.69369771431</v>
      </c>
      <c r="D17" s="5">
        <f t="shared" si="8"/>
        <v>118712.92186470436</v>
      </c>
      <c r="E17" s="6">
        <f>B17*'Ton-miles'!$B$143</f>
        <v>198140539.07288256</v>
      </c>
      <c r="F17" s="5">
        <f>C17*'Ton-miles'!$B$142</f>
        <v>205539419.67741257</v>
      </c>
      <c r="G17" s="6">
        <f>D17*'Ton-miles'!$B$141</f>
        <v>46654178.292828813</v>
      </c>
      <c r="H17" s="254">
        <f t="shared" si="0"/>
        <v>135429700.2264533</v>
      </c>
      <c r="I17" s="6">
        <f t="shared" si="1"/>
        <v>49153334.608988062</v>
      </c>
      <c r="J17" s="111">
        <f t="shared" si="2"/>
        <v>2.0672812562947864E-3</v>
      </c>
      <c r="K17" s="252">
        <f t="shared" si="3"/>
        <v>2.0672812562947864E-3</v>
      </c>
      <c r="L17" s="111">
        <f t="shared" si="4"/>
        <v>0.32594757743471842</v>
      </c>
      <c r="M17" s="252">
        <f t="shared" si="5"/>
        <v>23.694288379919708</v>
      </c>
      <c r="N17" s="255">
        <f t="shared" si="10"/>
        <v>8739485.5327186305</v>
      </c>
      <c r="O17" s="105">
        <f>N17*NPV!C13</f>
        <v>4753701.0740716616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>
      <c r="A18" s="18">
        <f t="shared" si="9"/>
        <v>2030</v>
      </c>
      <c r="B18" s="5">
        <f t="shared" si="6"/>
        <v>472722.27857202233</v>
      </c>
      <c r="C18" s="6">
        <f t="shared" si="7"/>
        <v>505131.11420142144</v>
      </c>
      <c r="D18" s="5">
        <f t="shared" si="8"/>
        <v>119306.48647402784</v>
      </c>
      <c r="E18" s="6">
        <f>B18*'Ton-miles'!$B$143</f>
        <v>210361413.96454993</v>
      </c>
      <c r="F18" s="5">
        <f>C18*'Ton-miles'!$B$142</f>
        <v>218216641.33501408</v>
      </c>
      <c r="G18" s="6">
        <f>D18*'Ton-miles'!$B$141</f>
        <v>46887449.184292942</v>
      </c>
      <c r="H18" s="254">
        <f t="shared" si="0"/>
        <v>142972778.01398164</v>
      </c>
      <c r="I18" s="6">
        <f t="shared" si="1"/>
        <v>51892319.827180952</v>
      </c>
      <c r="J18" s="111">
        <f t="shared" si="2"/>
        <v>2.182648048597963E-3</v>
      </c>
      <c r="K18" s="252">
        <f t="shared" si="3"/>
        <v>2.182648048597963E-3</v>
      </c>
      <c r="L18" s="111">
        <f t="shared" si="4"/>
        <v>0.3441087702883589</v>
      </c>
      <c r="M18" s="252">
        <f t="shared" si="5"/>
        <v>25.014594398255269</v>
      </c>
      <c r="N18" s="255">
        <f t="shared" si="10"/>
        <v>9226453.2090496905</v>
      </c>
      <c r="O18" s="105">
        <f>N18*NPV!C14</f>
        <v>4690260.9577345056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>
      <c r="A19" s="18">
        <f t="shared" si="9"/>
        <v>2031</v>
      </c>
      <c r="B19" s="5">
        <f t="shared" si="6"/>
        <v>504388.14810561383</v>
      </c>
      <c r="C19" s="6">
        <f t="shared" si="7"/>
        <v>538967.92851019092</v>
      </c>
      <c r="D19" s="5">
        <f t="shared" si="8"/>
        <v>119903.01890639796</v>
      </c>
      <c r="E19" s="6">
        <f>B19*'Ton-miles'!$B$143</f>
        <v>224452725.90699816</v>
      </c>
      <c r="F19" s="5">
        <f>C19*'Ton-miles'!$B$142</f>
        <v>232834145.11640248</v>
      </c>
      <c r="G19" s="6">
        <f>D19*'Ton-miles'!$B$141</f>
        <v>47121886.430214398</v>
      </c>
      <c r="H19" s="254">
        <f t="shared" si="0"/>
        <v>151659765.28917086</v>
      </c>
      <c r="I19" s="6">
        <f t="shared" si="1"/>
        <v>55046691.210396543</v>
      </c>
      <c r="J19" s="111">
        <f t="shared" si="2"/>
        <v>2.3155134910302112E-3</v>
      </c>
      <c r="K19" s="252">
        <f t="shared" si="3"/>
        <v>2.3155134910302112E-3</v>
      </c>
      <c r="L19" s="111">
        <f t="shared" si="4"/>
        <v>0.36502421015909753</v>
      </c>
      <c r="M19" s="252">
        <f t="shared" si="5"/>
        <v>26.535133756833709</v>
      </c>
      <c r="N19" s="255">
        <f t="shared" si="10"/>
        <v>9787272.5579245482</v>
      </c>
      <c r="O19" s="105">
        <f>N19*NPV!C15</f>
        <v>4649862.6885518618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>
      <c r="A20" s="18">
        <f t="shared" si="9"/>
        <v>2032</v>
      </c>
      <c r="B20" s="5">
        <f t="shared" si="6"/>
        <v>540866.06990790088</v>
      </c>
      <c r="C20" s="6">
        <f t="shared" si="7"/>
        <v>577946.69917317387</v>
      </c>
      <c r="D20" s="5">
        <f t="shared" si="8"/>
        <v>120502.53400092994</v>
      </c>
      <c r="E20" s="6">
        <f>B20*'Ton-miles'!$B$143</f>
        <v>240685401.10901588</v>
      </c>
      <c r="F20" s="5">
        <f>C20*'Ton-miles'!$B$142</f>
        <v>249672974.0428111</v>
      </c>
      <c r="G20" s="6">
        <f>D20*'Ton-miles'!$B$141</f>
        <v>47357495.862365469</v>
      </c>
      <c r="H20" s="254">
        <f t="shared" si="0"/>
        <v>161656303.34574729</v>
      </c>
      <c r="I20" s="6">
        <f t="shared" si="1"/>
        <v>58676597.925130576</v>
      </c>
      <c r="J20" s="111">
        <f t="shared" si="2"/>
        <v>2.4684114525686455E-3</v>
      </c>
      <c r="K20" s="252">
        <f t="shared" si="3"/>
        <v>2.4684114525686455E-3</v>
      </c>
      <c r="L20" s="111">
        <f t="shared" si="4"/>
        <v>0.38909272018637842</v>
      </c>
      <c r="M20" s="252">
        <f t="shared" si="5"/>
        <v>28.28490084456925</v>
      </c>
      <c r="N20" s="255">
        <f t="shared" si="10"/>
        <v>10432637.52199663</v>
      </c>
      <c r="O20" s="105">
        <f>N20*NPV!C16</f>
        <v>4632215.8261901336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>
      <c r="A21" s="18">
        <f t="shared" si="9"/>
        <v>2033</v>
      </c>
      <c r="B21" s="5">
        <f t="shared" si="6"/>
        <v>582882.02688685292</v>
      </c>
      <c r="C21" s="6">
        <f t="shared" si="7"/>
        <v>622843.18094494101</v>
      </c>
      <c r="D21" s="5">
        <f t="shared" si="8"/>
        <v>121105.04667093455</v>
      </c>
      <c r="E21" s="6">
        <f>B21*'Ton-miles'!$B$143</f>
        <v>259382501.96464956</v>
      </c>
      <c r="F21" s="5">
        <f>C21*'Ton-miles'!$B$142</f>
        <v>269068254.1682145</v>
      </c>
      <c r="G21" s="6">
        <f>D21*'Ton-miles'!$B$141</f>
        <v>47594283.341677278</v>
      </c>
      <c r="H21" s="254">
        <f t="shared" si="0"/>
        <v>173159908.63084397</v>
      </c>
      <c r="I21" s="6">
        <f t="shared" si="1"/>
        <v>62853763.932809077</v>
      </c>
      <c r="J21" s="111">
        <f t="shared" si="2"/>
        <v>2.6443634069279413E-3</v>
      </c>
      <c r="K21" s="252">
        <f t="shared" si="3"/>
        <v>2.6443634069279413E-3</v>
      </c>
      <c r="L21" s="111">
        <f t="shared" si="4"/>
        <v>0.41678987097390607</v>
      </c>
      <c r="M21" s="252">
        <f t="shared" si="5"/>
        <v>30.298469580814778</v>
      </c>
      <c r="N21" s="255">
        <f t="shared" si="10"/>
        <v>11175299.930997819</v>
      </c>
      <c r="O21" s="105">
        <f>N21*NPV!C17</f>
        <v>4637352.165855322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>
      <c r="A22" s="18">
        <f t="shared" si="9"/>
        <v>2034</v>
      </c>
      <c r="B22" s="5">
        <f t="shared" si="6"/>
        <v>631302.70791844453</v>
      </c>
      <c r="C22" s="6">
        <f t="shared" si="7"/>
        <v>674583.48105045641</v>
      </c>
      <c r="D22" s="5">
        <f t="shared" si="8"/>
        <v>121710.57190428922</v>
      </c>
      <c r="E22" s="6">
        <f>B22*'Ton-miles'!$B$143</f>
        <v>280929705.02370781</v>
      </c>
      <c r="F22" s="5">
        <f>C22*'Ton-miles'!$B$142</f>
        <v>291420063.81379718</v>
      </c>
      <c r="G22" s="6">
        <f>D22*'Ton-miles'!$B$141</f>
        <v>47832254.758385658</v>
      </c>
      <c r="H22" s="254">
        <f t="shared" si="0"/>
        <v>186406378.79147938</v>
      </c>
      <c r="I22" s="6">
        <f t="shared" si="1"/>
        <v>67663814.211515069</v>
      </c>
      <c r="J22" s="111">
        <f t="shared" si="2"/>
        <v>2.846976427967269E-3</v>
      </c>
      <c r="K22" s="252">
        <f t="shared" si="3"/>
        <v>2.846976427967269E-3</v>
      </c>
      <c r="L22" s="111">
        <f t="shared" si="4"/>
        <v>0.44868340476086077</v>
      </c>
      <c r="M22" s="252">
        <f t="shared" si="5"/>
        <v>32.617114750556894</v>
      </c>
      <c r="N22" s="255">
        <f t="shared" si="10"/>
        <v>12030483.081560878</v>
      </c>
      <c r="O22" s="105">
        <f>N22*NPV!C18</f>
        <v>4665628.7567965444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>
      <c r="A23" s="18">
        <f t="shared" si="9"/>
        <v>2035</v>
      </c>
      <c r="B23" s="5">
        <f t="shared" si="6"/>
        <v>687164.47942224389</v>
      </c>
      <c r="C23" s="6">
        <f t="shared" si="7"/>
        <v>734275.0169903693</v>
      </c>
      <c r="D23" s="5">
        <f t="shared" si="8"/>
        <v>122319.12476381066</v>
      </c>
      <c r="E23" s="6">
        <f>B23*'Ton-miles'!$B$143</f>
        <v>305788193.34289855</v>
      </c>
      <c r="F23" s="5">
        <f>C23*'Ton-miles'!$B$142</f>
        <v>317206807.33983952</v>
      </c>
      <c r="G23" s="6">
        <f>D23*'Ton-miles'!$B$141</f>
        <v>48071416.03217759</v>
      </c>
      <c r="H23" s="254">
        <f t="shared" si="0"/>
        <v>201677674.83078751</v>
      </c>
      <c r="I23" s="6">
        <f t="shared" si="1"/>
        <v>73209136.996082962</v>
      </c>
      <c r="J23" s="111">
        <f t="shared" si="2"/>
        <v>3.0805637656352164E-3</v>
      </c>
      <c r="K23" s="252">
        <f t="shared" si="3"/>
        <v>3.0805637656352164E-3</v>
      </c>
      <c r="L23" s="111">
        <f t="shared" si="4"/>
        <v>0.48545221369932112</v>
      </c>
      <c r="M23" s="252">
        <f t="shared" si="5"/>
        <v>35.290191722659308</v>
      </c>
      <c r="N23" s="255">
        <f t="shared" si="10"/>
        <v>13016390.615946097</v>
      </c>
      <c r="O23" s="105">
        <f>N23*NPV!C19</f>
        <v>4717738.9688598253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>
      <c r="A24" s="18">
        <f t="shared" si="9"/>
        <v>2036</v>
      </c>
      <c r="B24" s="5">
        <f t="shared" si="6"/>
        <v>751709.11028287164</v>
      </c>
      <c r="C24" s="6">
        <f t="shared" si="7"/>
        <v>803244.69068722893</v>
      </c>
      <c r="D24" s="5">
        <f t="shared" si="8"/>
        <v>122930.72038762967</v>
      </c>
      <c r="E24" s="6">
        <f>B24*'Ton-miles'!$B$143</f>
        <v>334510554.0758779</v>
      </c>
      <c r="F24" s="5">
        <f>C24*'Ton-miles'!$B$142</f>
        <v>347001706.37688291</v>
      </c>
      <c r="G24" s="6">
        <f>D24*'Ton-miles'!$B$141</f>
        <v>48311773.112338461</v>
      </c>
      <c r="H24" s="254">
        <f t="shared" si="0"/>
        <v>219311640.61433548</v>
      </c>
      <c r="I24" s="6">
        <f t="shared" si="1"/>
        <v>79612413.213429064</v>
      </c>
      <c r="J24" s="111">
        <f t="shared" si="2"/>
        <v>3.3502935284653065E-3</v>
      </c>
      <c r="K24" s="252">
        <f t="shared" si="3"/>
        <v>3.3502935284653065E-3</v>
      </c>
      <c r="L24" s="111">
        <f t="shared" si="4"/>
        <v>0.52790974201503149</v>
      </c>
      <c r="M24" s="252">
        <f t="shared" si="5"/>
        <v>38.376837783836869</v>
      </c>
      <c r="N24" s="255">
        <f t="shared" si="10"/>
        <v>14154834.021656023</v>
      </c>
      <c r="O24" s="105">
        <f>N24*NPV!C20</f>
        <v>4794732.0092032533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1:41">
      <c r="A25" s="18">
        <f t="shared" si="9"/>
        <v>2037</v>
      </c>
      <c r="B25" s="5">
        <f t="shared" si="6"/>
        <v>826427.93162439298</v>
      </c>
      <c r="C25" s="6">
        <f t="shared" si="7"/>
        <v>883086.07576023904</v>
      </c>
      <c r="D25" s="5">
        <f t="shared" si="8"/>
        <v>123545.37398956782</v>
      </c>
      <c r="E25" s="6">
        <f>B25*'Ton-miles'!$B$143</f>
        <v>367760429.57285488</v>
      </c>
      <c r="F25" s="5">
        <f>C25*'Ton-miles'!$B$142</f>
        <v>381493184.72842324</v>
      </c>
      <c r="G25" s="6">
        <f>D25*'Ton-miles'!$B$141</f>
        <v>48553331.977900155</v>
      </c>
      <c r="H25" s="254">
        <f t="shared" si="0"/>
        <v>239714017.20600688</v>
      </c>
      <c r="I25" s="6">
        <f t="shared" si="1"/>
        <v>87020979.237217665</v>
      </c>
      <c r="J25" s="111">
        <f t="shared" si="2"/>
        <v>3.6623724708366731E-3</v>
      </c>
      <c r="K25" s="252">
        <f t="shared" si="3"/>
        <v>3.6623724708366731E-3</v>
      </c>
      <c r="L25" s="111">
        <f t="shared" si="4"/>
        <v>0.57703291354864561</v>
      </c>
      <c r="M25" s="252">
        <f t="shared" si="5"/>
        <v>41.948075167054867</v>
      </c>
      <c r="N25" s="255">
        <f t="shared" si="10"/>
        <v>15472008.287203604</v>
      </c>
      <c r="O25" s="105">
        <f>N25*NPV!C21</f>
        <v>4898041.5927771423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</row>
    <row r="26" spans="1:41">
      <c r="A26" s="18">
        <f t="shared" si="9"/>
        <v>2038</v>
      </c>
      <c r="B26" s="5">
        <f t="shared" si="6"/>
        <v>913116.56651536701</v>
      </c>
      <c r="C26" s="6">
        <f t="shared" si="7"/>
        <v>975717.89938267146</v>
      </c>
      <c r="D26" s="5">
        <f t="shared" si="8"/>
        <v>124163.10085951563</v>
      </c>
      <c r="E26" s="6">
        <f>B26*'Ton-miles'!$B$143</f>
        <v>406336872.09933829</v>
      </c>
      <c r="F26" s="5">
        <f>C26*'Ton-miles'!$B$142</f>
        <v>421510132.53331405</v>
      </c>
      <c r="G26" s="6">
        <f>D26*'Ton-miles'!$B$141</f>
        <v>48796098.637789644</v>
      </c>
      <c r="H26" s="254">
        <f t="shared" si="0"/>
        <v>263373332.91370124</v>
      </c>
      <c r="I26" s="6">
        <f t="shared" si="1"/>
        <v>95612233.896370277</v>
      </c>
      <c r="J26" s="111">
        <f t="shared" si="2"/>
        <v>4.0242737709167645E-3</v>
      </c>
      <c r="K26" s="252">
        <f t="shared" si="3"/>
        <v>4.0242737709167645E-3</v>
      </c>
      <c r="L26" s="111">
        <f t="shared" si="4"/>
        <v>0.63399798329302837</v>
      </c>
      <c r="M26" s="252">
        <f t="shared" si="5"/>
        <v>46.089417453520653</v>
      </c>
      <c r="N26" s="255">
        <f t="shared" si="10"/>
        <v>16999453.216157865</v>
      </c>
      <c r="O26" s="105">
        <f>N26*NPV!C22</f>
        <v>5029524.803858255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  <row r="27" spans="1:41">
      <c r="A27" s="18">
        <f t="shared" si="9"/>
        <v>2039</v>
      </c>
      <c r="B27" s="5">
        <f t="shared" si="6"/>
        <v>1013942.9480777528</v>
      </c>
      <c r="C27" s="6">
        <f t="shared" si="7"/>
        <v>1083456.723567887</v>
      </c>
      <c r="D27" s="5">
        <f t="shared" si="8"/>
        <v>124783.91636381319</v>
      </c>
      <c r="E27" s="6">
        <f>B27*'Ton-miles'!$B$143</f>
        <v>451204611.89460003</v>
      </c>
      <c r="F27" s="5">
        <f>C27*'Ton-miles'!$B$142</f>
        <v>468053304.5813272</v>
      </c>
      <c r="G27" s="6">
        <f>D27*'Ton-miles'!$B$141</f>
        <v>49040079.130978584</v>
      </c>
      <c r="H27" s="254">
        <f t="shared" si="0"/>
        <v>290879408.64668107</v>
      </c>
      <c r="I27" s="6">
        <f t="shared" si="1"/>
        <v>105600358.30834641</v>
      </c>
      <c r="J27" s="111">
        <f t="shared" si="2"/>
        <v>4.4450201132193558E-3</v>
      </c>
      <c r="K27" s="252">
        <f t="shared" si="3"/>
        <v>4.4450201132193558E-3</v>
      </c>
      <c r="L27" s="111">
        <f t="shared" si="4"/>
        <v>0.70022509370440633</v>
      </c>
      <c r="M27" s="252">
        <f t="shared" si="5"/>
        <v>50.904108810575714</v>
      </c>
      <c r="N27" s="255">
        <f t="shared" si="10"/>
        <v>18775248.148792032</v>
      </c>
      <c r="O27" s="105">
        <f>N27*NPV!C23</f>
        <v>5191512.5674873348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</row>
    <row r="28" spans="1:41">
      <c r="A28" s="18">
        <f t="shared" si="9"/>
        <v>2040</v>
      </c>
      <c r="B28" s="5">
        <f t="shared" si="6"/>
        <v>1131532.0971662593</v>
      </c>
      <c r="C28" s="6">
        <f t="shared" si="7"/>
        <v>1209107.5350263631</v>
      </c>
      <c r="D28" s="5">
        <f t="shared" si="8"/>
        <v>125407.83594563222</v>
      </c>
      <c r="E28" s="6">
        <f>B28*'Ton-miles'!$B$143</f>
        <v>503531783.23898542</v>
      </c>
      <c r="F28" s="5">
        <f>C28*'Ton-miles'!$B$142</f>
        <v>522334455.13138884</v>
      </c>
      <c r="G28" s="6">
        <f>D28*'Ton-miles'!$B$141</f>
        <v>49285279.526633464</v>
      </c>
      <c r="H28" s="254">
        <f t="shared" si="0"/>
        <v>322946422.96803927</v>
      </c>
      <c r="I28" s="6">
        <f t="shared" si="1"/>
        <v>117244691.47029173</v>
      </c>
      <c r="J28" s="111">
        <f t="shared" si="2"/>
        <v>4.935536522323496E-3</v>
      </c>
      <c r="K28" s="252">
        <f t="shared" si="3"/>
        <v>4.935536522323496E-3</v>
      </c>
      <c r="L28" s="111">
        <f t="shared" si="4"/>
        <v>0.77743380962855957</v>
      </c>
      <c r="M28" s="252">
        <f t="shared" si="5"/>
        <v>56.51716137344043</v>
      </c>
      <c r="N28" s="255">
        <f t="shared" si="10"/>
        <v>20845501.061536215</v>
      </c>
      <c r="O28" s="105">
        <f>N28*NPV!C24</f>
        <v>5386873.5974776307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  <row r="29" spans="1:41">
      <c r="A29" s="18">
        <f t="shared" si="9"/>
        <v>2041</v>
      </c>
      <c r="B29" s="5">
        <f t="shared" si="6"/>
        <v>1269072.1048867004</v>
      </c>
      <c r="C29" s="6">
        <f t="shared" si="7"/>
        <v>1356076.9936204611</v>
      </c>
      <c r="D29" s="5">
        <f t="shared" si="8"/>
        <v>126034.87512536037</v>
      </c>
      <c r="E29" s="6">
        <f>B29*'Ton-miles'!$B$143</f>
        <v>564737086.67458165</v>
      </c>
      <c r="F29" s="5">
        <f>C29*'Ton-miles'!$B$142</f>
        <v>585825261.24403918</v>
      </c>
      <c r="G29" s="6">
        <f>D29*'Ton-miles'!$B$141</f>
        <v>49531705.924266629</v>
      </c>
      <c r="H29" s="254">
        <f t="shared" si="0"/>
        <v>360441746.24496436</v>
      </c>
      <c r="I29" s="6">
        <f t="shared" si="1"/>
        <v>130860200.77732876</v>
      </c>
      <c r="J29" s="111">
        <f t="shared" si="2"/>
        <v>5.5090914483852541E-3</v>
      </c>
      <c r="K29" s="252">
        <f t="shared" si="3"/>
        <v>5.5090914483852541E-3</v>
      </c>
      <c r="L29" s="111">
        <f t="shared" si="4"/>
        <v>0.86771254378377116</v>
      </c>
      <c r="M29" s="252">
        <f t="shared" si="5"/>
        <v>63.080402468587089</v>
      </c>
      <c r="N29" s="255">
        <f t="shared" si="10"/>
        <v>23266210.124302749</v>
      </c>
      <c r="O29" s="105">
        <f>N29*NPV!C25</f>
        <v>5619094.2239067778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</row>
    <row r="30" spans="1:41">
      <c r="A30" s="18">
        <f t="shared" si="9"/>
        <v>2042</v>
      </c>
      <c r="B30" s="5">
        <f t="shared" si="6"/>
        <v>1430447.0297325936</v>
      </c>
      <c r="C30" s="6">
        <f t="shared" si="7"/>
        <v>1528515.4406465141</v>
      </c>
      <c r="D30" s="5">
        <f t="shared" si="8"/>
        <v>126665.04950098718</v>
      </c>
      <c r="E30" s="6">
        <f>B30*'Ton-miles'!$B$143</f>
        <v>636548928.23100412</v>
      </c>
      <c r="F30" s="5">
        <f>C30*'Ton-miles'!$B$142</f>
        <v>660318670.35929406</v>
      </c>
      <c r="G30" s="6">
        <f>D30*'Ton-miles'!$B$141</f>
        <v>49779364.453887962</v>
      </c>
      <c r="H30" s="254">
        <f t="shared" si="0"/>
        <v>404422097.32877433</v>
      </c>
      <c r="I30" s="6">
        <f t="shared" si="1"/>
        <v>146830611.56430262</v>
      </c>
      <c r="J30" s="111">
        <f t="shared" si="2"/>
        <v>6.1818498678037331E-3</v>
      </c>
      <c r="K30" s="252">
        <f t="shared" si="3"/>
        <v>6.1818498678037331E-3</v>
      </c>
      <c r="L30" s="111">
        <f t="shared" si="4"/>
        <v>0.97360561307946636</v>
      </c>
      <c r="M30" s="252">
        <f t="shared" si="5"/>
        <v>70.778803596521385</v>
      </c>
      <c r="N30" s="255">
        <f t="shared" si="10"/>
        <v>26105598.006576534</v>
      </c>
      <c r="O30" s="105">
        <f>N30*NPV!C26</f>
        <v>5892377.1549648233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</row>
    <row r="31" spans="1:41">
      <c r="A31" s="18">
        <f t="shared" si="9"/>
        <v>2043</v>
      </c>
      <c r="B31" s="5">
        <f t="shared" si="6"/>
        <v>1620404.0656765867</v>
      </c>
      <c r="C31" s="6">
        <f t="shared" si="7"/>
        <v>1731495.5276156322</v>
      </c>
      <c r="D31" s="5">
        <f t="shared" si="8"/>
        <v>127298.37474849209</v>
      </c>
      <c r="E31" s="6">
        <f>B31*'Ton-miles'!$B$143</f>
        <v>721079809.22608113</v>
      </c>
      <c r="F31" s="5">
        <f>C31*'Ton-miles'!$B$142</f>
        <v>748006067.9299531</v>
      </c>
      <c r="G31" s="6">
        <f>D31*'Ton-miles'!$B$141</f>
        <v>50028261.276157394</v>
      </c>
      <c r="H31" s="254">
        <f t="shared" si="0"/>
        <v>456179024.1675669</v>
      </c>
      <c r="I31" s="6">
        <f t="shared" si="1"/>
        <v>165624922.43854582</v>
      </c>
      <c r="J31" s="111">
        <f t="shared" si="2"/>
        <v>6.9735690151611698E-3</v>
      </c>
      <c r="K31" s="252">
        <f t="shared" si="3"/>
        <v>6.9735690151611698E-3</v>
      </c>
      <c r="L31" s="111">
        <f t="shared" si="4"/>
        <v>1.098222744652251</v>
      </c>
      <c r="M31" s="252">
        <f t="shared" si="5"/>
        <v>79.838441506031828</v>
      </c>
      <c r="N31" s="255">
        <f t="shared" si="10"/>
        <v>29447048.144544847</v>
      </c>
      <c r="O31" s="105">
        <f>N31*NPV!C27</f>
        <v>6211763.0298081469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</row>
    <row r="32" spans="1:41" ht="13.5" thickBot="1">
      <c r="A32" s="44">
        <f t="shared" si="9"/>
        <v>2044</v>
      </c>
      <c r="B32" s="11">
        <f t="shared" si="6"/>
        <v>1844764.4882277253</v>
      </c>
      <c r="C32" s="12">
        <f t="shared" si="7"/>
        <v>1971237.624324729</v>
      </c>
      <c r="D32" s="11">
        <f t="shared" si="8"/>
        <v>127934.86662223453</v>
      </c>
      <c r="E32" s="12">
        <f>B32*'Ton-miles'!$B$143</f>
        <v>820920197.26133776</v>
      </c>
      <c r="F32" s="11">
        <f>C32*'Ton-miles'!$B$142</f>
        <v>851574653.70828295</v>
      </c>
      <c r="G32" s="12">
        <f>D32*'Ton-miles'!$B$141</f>
        <v>50278402.582538173</v>
      </c>
      <c r="H32" s="258">
        <f t="shared" si="0"/>
        <v>517296294.87790507</v>
      </c>
      <c r="I32" s="12">
        <f t="shared" si="1"/>
        <v>187818245.64660579</v>
      </c>
      <c r="J32" s="112">
        <f t="shared" si="2"/>
        <v>7.9084763133853188E-3</v>
      </c>
      <c r="K32" s="253">
        <f t="shared" si="3"/>
        <v>7.9084763133853188E-3</v>
      </c>
      <c r="L32" s="112">
        <f t="shared" si="4"/>
        <v>1.2453772593335057</v>
      </c>
      <c r="M32" s="253">
        <f t="shared" si="5"/>
        <v>90.536544113897762</v>
      </c>
      <c r="N32" s="256">
        <f t="shared" si="10"/>
        <v>33392809.957617387</v>
      </c>
      <c r="O32" s="105">
        <f>N32*NPV!C28</f>
        <v>6583279.6137367785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53" ht="13.5" thickTop="1">
      <c r="A33" s="521" t="s">
        <v>19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257">
        <f>SUM(N6:N32)</f>
        <v>304146836.17822415</v>
      </c>
      <c r="O33" s="186">
        <f>SUM(O6:O32)</f>
        <v>102492919.9907777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53">
      <c r="A34" s="518" t="s">
        <v>147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19"/>
      <c r="P34" s="76"/>
      <c r="Q34" s="76"/>
      <c r="R34" s="76"/>
      <c r="S34" s="76"/>
      <c r="T34" s="76"/>
      <c r="U34" s="76"/>
      <c r="V34" s="76"/>
      <c r="W34" s="76"/>
      <c r="X34" s="76"/>
      <c r="Y34" s="77"/>
      <c r="Z34" s="34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</row>
    <row r="35" spans="1:53">
      <c r="A35" s="185"/>
      <c r="B35" s="185"/>
      <c r="C35" s="185"/>
      <c r="D35" s="185"/>
      <c r="E35" s="185"/>
      <c r="F35" s="185"/>
      <c r="G35" s="185"/>
      <c r="H35" s="27"/>
      <c r="I35" s="27"/>
      <c r="J35" s="27"/>
      <c r="K35" s="27"/>
      <c r="L35" s="27"/>
      <c r="M35" s="27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7"/>
      <c r="Z35" s="34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</row>
    <row r="36" spans="1:53">
      <c r="A36" s="454" t="s">
        <v>148</v>
      </c>
      <c r="B36" s="456"/>
      <c r="C36" s="185"/>
      <c r="D36" s="185"/>
      <c r="E36" s="185"/>
      <c r="F36" s="185"/>
      <c r="G36" s="185"/>
      <c r="H36" s="185"/>
      <c r="I36" s="185"/>
      <c r="J36" s="27"/>
      <c r="K36" s="27"/>
      <c r="L36" s="27"/>
      <c r="M36" s="27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7"/>
      <c r="Z36" s="34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53">
      <c r="A37" s="116" t="s">
        <v>149</v>
      </c>
      <c r="B37" s="318">
        <v>0.75</v>
      </c>
      <c r="C37" s="511"/>
      <c r="D37" s="511"/>
      <c r="E37" s="511"/>
      <c r="F37" s="511"/>
      <c r="G37" s="185"/>
      <c r="H37" s="185"/>
      <c r="I37" s="185"/>
      <c r="J37" s="27"/>
      <c r="K37" s="27"/>
      <c r="L37" s="27"/>
      <c r="M37" s="27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7"/>
      <c r="Z37" s="34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</row>
    <row r="38" spans="1:53">
      <c r="A38" s="117" t="s">
        <v>150</v>
      </c>
      <c r="B38" s="318">
        <f>1-B37</f>
        <v>0.25</v>
      </c>
      <c r="C38" s="511"/>
      <c r="D38" s="511"/>
      <c r="E38" s="511"/>
      <c r="F38" s="511"/>
      <c r="G38" s="185"/>
      <c r="H38" s="185"/>
      <c r="I38" s="185"/>
      <c r="J38" s="27"/>
      <c r="K38" s="27"/>
      <c r="L38" s="27"/>
      <c r="M38" s="27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7"/>
      <c r="Z38" s="34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3">
      <c r="A39" s="317" t="s">
        <v>151</v>
      </c>
      <c r="B39" s="318">
        <v>0.25</v>
      </c>
      <c r="C39" s="185"/>
      <c r="D39" s="185"/>
      <c r="E39" s="185"/>
      <c r="F39" s="185"/>
      <c r="G39" s="185"/>
      <c r="H39" s="185"/>
      <c r="I39" s="185"/>
      <c r="J39" s="27"/>
      <c r="K39" s="27"/>
      <c r="L39" s="27"/>
      <c r="M39" s="27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7"/>
      <c r="Z39" s="34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</row>
    <row r="40" spans="1:53">
      <c r="A40" s="512" t="s">
        <v>152</v>
      </c>
      <c r="B40" s="513"/>
      <c r="C40" s="185"/>
      <c r="D40" s="185"/>
      <c r="E40" s="185"/>
      <c r="F40" s="185"/>
      <c r="G40" s="185"/>
      <c r="H40" s="185"/>
      <c r="I40" s="185"/>
      <c r="J40" s="27"/>
      <c r="K40" s="27"/>
      <c r="L40" s="27"/>
      <c r="M40" s="27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7"/>
      <c r="Z40" s="34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</row>
    <row r="41" spans="1:53">
      <c r="A41" s="514" t="s">
        <v>153</v>
      </c>
      <c r="B41" s="515"/>
      <c r="C41" s="30"/>
      <c r="D41" s="30"/>
      <c r="E41" s="30"/>
      <c r="F41" s="17"/>
      <c r="G41" s="17"/>
      <c r="H41" s="17"/>
      <c r="I41" s="17"/>
      <c r="J41" s="30"/>
      <c r="K41" s="30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0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spans="1:53">
      <c r="A42" s="31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</row>
    <row r="43" spans="1:53">
      <c r="A43" s="114" t="s">
        <v>154</v>
      </c>
      <c r="B43" s="114" t="s">
        <v>155</v>
      </c>
      <c r="C43" s="114" t="s">
        <v>156</v>
      </c>
      <c r="D43" s="114" t="s">
        <v>157</v>
      </c>
      <c r="E43" s="114" t="s">
        <v>158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</row>
    <row r="44" spans="1:53">
      <c r="A44" s="115" t="s">
        <v>159</v>
      </c>
      <c r="B44" s="314" t="s">
        <v>160</v>
      </c>
      <c r="C44" s="315" t="s">
        <v>161</v>
      </c>
      <c r="D44" s="315" t="s">
        <v>162</v>
      </c>
      <c r="E44" s="315">
        <v>255</v>
      </c>
      <c r="F44" s="27" t="s">
        <v>163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</row>
    <row r="45" spans="1:53">
      <c r="A45" s="115" t="s">
        <v>164</v>
      </c>
      <c r="B45" s="314" t="s">
        <v>160</v>
      </c>
      <c r="C45" s="315" t="s">
        <v>122</v>
      </c>
      <c r="D45" s="315" t="s">
        <v>162</v>
      </c>
      <c r="E45" s="315">
        <v>214</v>
      </c>
      <c r="F45" s="27" t="s">
        <v>163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</row>
    <row r="46" spans="1:53">
      <c r="A46" s="115" t="s">
        <v>165</v>
      </c>
      <c r="B46" s="314" t="s">
        <v>160</v>
      </c>
      <c r="C46" s="315" t="s">
        <v>123</v>
      </c>
      <c r="D46" s="315"/>
      <c r="E46" s="315">
        <v>279</v>
      </c>
      <c r="F46" s="27" t="s">
        <v>166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</row>
    <row r="47" spans="1:53">
      <c r="A47" s="115" t="s">
        <v>167</v>
      </c>
      <c r="B47" s="314" t="s">
        <v>160</v>
      </c>
      <c r="C47" s="315" t="s">
        <v>122</v>
      </c>
      <c r="D47" s="315"/>
      <c r="E47" s="315">
        <v>232</v>
      </c>
      <c r="F47" s="27" t="s">
        <v>166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</row>
    <row r="48" spans="1:53">
      <c r="A48" s="502" t="s">
        <v>168</v>
      </c>
      <c r="B48" s="503"/>
      <c r="C48" s="503"/>
      <c r="D48" s="503"/>
      <c r="E48" s="504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</row>
    <row r="49" spans="1:53">
      <c r="A49" s="31"/>
      <c r="B49" s="31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</row>
    <row r="50" spans="1:53">
      <c r="A50" s="454" t="s">
        <v>169</v>
      </c>
      <c r="B50" s="456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</row>
    <row r="51" spans="1:53">
      <c r="A51" s="115" t="s">
        <v>170</v>
      </c>
      <c r="B51" s="316">
        <v>5.0000000000000001E-3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</row>
    <row r="52" spans="1:53">
      <c r="A52" s="31"/>
      <c r="B52" s="31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</row>
    <row r="53" spans="1:53">
      <c r="A53" s="454" t="s">
        <v>171</v>
      </c>
      <c r="B53" s="456"/>
      <c r="C53" s="27"/>
      <c r="D53" s="120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</row>
    <row r="54" spans="1:53">
      <c r="A54" s="113"/>
      <c r="B54" s="243" t="s">
        <v>172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</row>
    <row r="55" spans="1:53">
      <c r="A55" s="376" t="s">
        <v>173</v>
      </c>
      <c r="B55" s="377">
        <v>4600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</row>
    <row r="56" spans="1:53" ht="13.9" customHeight="1">
      <c r="A56" s="516" t="s">
        <v>174</v>
      </c>
      <c r="B56" s="517"/>
      <c r="C56" s="37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</row>
    <row r="57" spans="1:53">
      <c r="A57" s="31"/>
      <c r="B57" s="31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</row>
    <row r="58" spans="1:53">
      <c r="A58" s="113" t="s">
        <v>175</v>
      </c>
      <c r="B58" s="113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</row>
    <row r="59" spans="1:53">
      <c r="A59" s="113" t="s">
        <v>176</v>
      </c>
      <c r="B59" s="113" t="s">
        <v>177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</row>
    <row r="60" spans="1:53">
      <c r="A60" s="116" t="s">
        <v>178</v>
      </c>
      <c r="B60" s="333">
        <v>3900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</row>
    <row r="61" spans="1:53">
      <c r="A61" s="117" t="s">
        <v>179</v>
      </c>
      <c r="B61" s="334">
        <v>77200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</row>
    <row r="62" spans="1:53">
      <c r="A62" s="117" t="s">
        <v>180</v>
      </c>
      <c r="B62" s="334">
        <v>151100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</row>
    <row r="63" spans="1:53">
      <c r="A63" s="117" t="s">
        <v>181</v>
      </c>
      <c r="B63" s="334">
        <v>554800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</row>
    <row r="64" spans="1:53">
      <c r="A64" s="117" t="s">
        <v>182</v>
      </c>
      <c r="B64" s="334">
        <v>11600000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</row>
    <row r="65" spans="1:53" ht="25.5">
      <c r="A65" s="46" t="s">
        <v>183</v>
      </c>
      <c r="B65" s="335">
        <v>210300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</row>
    <row r="66" spans="1:53" ht="25.5">
      <c r="A66" s="118" t="s">
        <v>184</v>
      </c>
      <c r="B66" s="336">
        <v>159800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</row>
    <row r="67" spans="1:53" ht="13.9" customHeight="1">
      <c r="A67" s="518" t="s">
        <v>185</v>
      </c>
      <c r="B67" s="519"/>
      <c r="C67" s="379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</row>
    <row r="68" spans="1:5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3"/>
      <c r="O68" s="27"/>
      <c r="P68" s="27"/>
      <c r="Q68" s="33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3">
      <c r="A69" s="505" t="s">
        <v>186</v>
      </c>
      <c r="B69" s="506"/>
      <c r="C69" s="505" t="s">
        <v>187</v>
      </c>
      <c r="D69" s="506"/>
      <c r="E69" s="505" t="s">
        <v>188</v>
      </c>
      <c r="F69" s="506"/>
      <c r="G69" s="27"/>
      <c r="H69" s="67"/>
      <c r="I69" s="67"/>
      <c r="J69" s="176"/>
      <c r="K69" s="176"/>
      <c r="L69" s="176"/>
      <c r="M69" s="176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</row>
    <row r="70" spans="1:53" ht="28.15" customHeight="1">
      <c r="A70" s="57" t="s">
        <v>29</v>
      </c>
      <c r="B70" s="280" t="s">
        <v>189</v>
      </c>
      <c r="C70" s="57" t="s">
        <v>190</v>
      </c>
      <c r="D70" s="57" t="s">
        <v>191</v>
      </c>
      <c r="E70" s="57" t="s">
        <v>190</v>
      </c>
      <c r="F70" s="57" t="s">
        <v>191</v>
      </c>
      <c r="G70" s="27"/>
      <c r="H70" s="67"/>
      <c r="I70" s="67"/>
      <c r="J70" s="176"/>
      <c r="K70" s="176"/>
      <c r="L70" s="176"/>
      <c r="M70" s="176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</row>
    <row r="71" spans="1:53">
      <c r="A71" s="268">
        <v>2015</v>
      </c>
      <c r="B71" s="69">
        <v>267197000000</v>
      </c>
      <c r="C71" s="69">
        <v>0</v>
      </c>
      <c r="D71" s="69">
        <v>0</v>
      </c>
      <c r="E71" s="107"/>
      <c r="F71" s="107"/>
      <c r="G71" s="27"/>
      <c r="H71" s="127"/>
      <c r="I71" s="127"/>
      <c r="J71" s="127"/>
      <c r="K71" s="127"/>
      <c r="L71" s="127"/>
      <c r="M71" s="1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</row>
    <row r="72" spans="1:53">
      <c r="A72" s="268">
        <v>2016</v>
      </c>
      <c r="B72" s="69">
        <v>261385000000</v>
      </c>
      <c r="C72" s="69">
        <v>2</v>
      </c>
      <c r="D72" s="69">
        <v>2</v>
      </c>
      <c r="E72" s="107"/>
      <c r="F72" s="107"/>
      <c r="G72" s="27"/>
      <c r="H72" s="127"/>
      <c r="I72" s="127"/>
      <c r="J72" s="127"/>
      <c r="K72" s="127"/>
      <c r="L72" s="127"/>
      <c r="M72" s="1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</row>
    <row r="73" spans="1:53">
      <c r="A73" s="268">
        <v>2017</v>
      </c>
      <c r="B73" s="69">
        <v>264176000000</v>
      </c>
      <c r="C73" s="69">
        <v>1</v>
      </c>
      <c r="D73" s="69">
        <v>3</v>
      </c>
      <c r="E73" s="107"/>
      <c r="F73" s="107"/>
      <c r="G73" s="27"/>
      <c r="H73" s="127"/>
      <c r="I73" s="127"/>
      <c r="J73" s="127"/>
      <c r="K73" s="127"/>
      <c r="L73" s="127"/>
      <c r="M73" s="1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</row>
    <row r="74" spans="1:53">
      <c r="A74" s="268">
        <v>2018</v>
      </c>
      <c r="B74" s="69">
        <v>270160000000</v>
      </c>
      <c r="C74" s="69">
        <v>1</v>
      </c>
      <c r="D74" s="69">
        <v>1</v>
      </c>
      <c r="E74" s="107"/>
      <c r="F74" s="107"/>
      <c r="G74" s="27"/>
      <c r="H74" s="127"/>
      <c r="I74" s="127"/>
      <c r="J74" s="127"/>
      <c r="K74" s="127"/>
      <c r="L74" s="127"/>
      <c r="M74" s="1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</row>
    <row r="75" spans="1:53" ht="13.5" thickBot="1">
      <c r="A75" s="269">
        <v>2019</v>
      </c>
      <c r="B75" s="72">
        <v>244115000000</v>
      </c>
      <c r="C75" s="72">
        <v>2</v>
      </c>
      <c r="D75" s="72">
        <v>0</v>
      </c>
      <c r="E75" s="109"/>
      <c r="F75" s="109"/>
      <c r="G75" s="27"/>
      <c r="H75" s="127"/>
      <c r="I75" s="127"/>
      <c r="J75" s="127"/>
      <c r="K75" s="127"/>
      <c r="L75" s="127"/>
      <c r="M75" s="1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</row>
    <row r="76" spans="1:53" ht="13.5" thickTop="1">
      <c r="A76" s="293" t="s">
        <v>192</v>
      </c>
      <c r="B76" s="70">
        <f>AVERAGE(B71:B75)</f>
        <v>261406600000</v>
      </c>
      <c r="C76" s="110">
        <f t="shared" ref="C76:D76" si="11">AVERAGE(C71:C75)</f>
        <v>1.2</v>
      </c>
      <c r="D76" s="110">
        <f t="shared" si="11"/>
        <v>1.2</v>
      </c>
      <c r="E76" s="108">
        <f>C76/$B$76</f>
        <v>4.5905497412842672E-12</v>
      </c>
      <c r="F76" s="108">
        <f>D76/$B$76</f>
        <v>4.5905497412842672E-12</v>
      </c>
      <c r="G76" s="27"/>
      <c r="H76" s="127"/>
      <c r="I76" s="127"/>
      <c r="J76" s="128"/>
      <c r="K76" s="128"/>
      <c r="L76" s="129"/>
      <c r="M76" s="129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</row>
    <row r="77" spans="1:53">
      <c r="A77" s="490" t="s">
        <v>193</v>
      </c>
      <c r="B77" s="491"/>
      <c r="C77" s="491"/>
      <c r="D77" s="491"/>
      <c r="E77" s="491"/>
      <c r="F77" s="492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</row>
    <row r="78" spans="1:53">
      <c r="A78" s="373" t="s">
        <v>194</v>
      </c>
      <c r="B78" s="374"/>
      <c r="C78" s="374"/>
      <c r="D78" s="374"/>
      <c r="E78" s="374"/>
      <c r="F78" s="375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</row>
    <row r="79" spans="1:53">
      <c r="A79" s="17"/>
      <c r="B79" s="17"/>
      <c r="C79" s="17"/>
      <c r="D79" s="17"/>
      <c r="E79" s="17"/>
      <c r="F79" s="1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</row>
    <row r="80" spans="1:53" ht="16.5">
      <c r="A80" s="505" t="s">
        <v>195</v>
      </c>
      <c r="B80" s="506"/>
      <c r="C80" s="505" t="s">
        <v>188</v>
      </c>
      <c r="D80" s="510"/>
      <c r="E80" s="510"/>
      <c r="F80" s="506"/>
      <c r="G80" s="27"/>
      <c r="H80" s="130"/>
      <c r="I80" s="130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</row>
    <row r="81" spans="1:53" ht="27">
      <c r="A81" s="57" t="s">
        <v>29</v>
      </c>
      <c r="B81" s="279" t="s">
        <v>196</v>
      </c>
      <c r="C81" s="57" t="s">
        <v>190</v>
      </c>
      <c r="D81" s="57" t="s">
        <v>191</v>
      </c>
      <c r="E81" s="57" t="s">
        <v>190</v>
      </c>
      <c r="F81" s="57" t="s">
        <v>191</v>
      </c>
      <c r="G81" s="27"/>
      <c r="H81" s="130"/>
      <c r="I81" s="130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</row>
    <row r="82" spans="1:53" ht="16.5">
      <c r="A82" s="268">
        <v>2015</v>
      </c>
      <c r="B82" s="69">
        <v>1738283000000</v>
      </c>
      <c r="C82" s="69">
        <v>760</v>
      </c>
      <c r="D82" s="69">
        <v>9694</v>
      </c>
      <c r="E82" s="107"/>
      <c r="F82" s="107"/>
      <c r="G82" s="27"/>
      <c r="H82" s="126"/>
      <c r="I82" s="126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</row>
    <row r="83" spans="1:53" ht="16.5">
      <c r="A83" s="268">
        <v>2016</v>
      </c>
      <c r="B83" s="69">
        <v>1585440000000</v>
      </c>
      <c r="C83" s="69">
        <v>767</v>
      </c>
      <c r="D83" s="69">
        <v>9135</v>
      </c>
      <c r="E83" s="107"/>
      <c r="F83" s="107"/>
      <c r="G83" s="27"/>
      <c r="H83" s="126"/>
      <c r="I83" s="126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</row>
    <row r="84" spans="1:53" ht="16.5">
      <c r="A84" s="268">
        <v>2017</v>
      </c>
      <c r="B84" s="69">
        <v>1674784000000</v>
      </c>
      <c r="C84" s="69">
        <v>824</v>
      </c>
      <c r="D84" s="69">
        <v>9208</v>
      </c>
      <c r="E84" s="107"/>
      <c r="F84" s="107"/>
      <c r="G84" s="27"/>
      <c r="H84" s="126"/>
      <c r="I84" s="126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</row>
    <row r="85" spans="1:53">
      <c r="A85" s="268">
        <v>2018</v>
      </c>
      <c r="B85" s="69">
        <v>1729638000000</v>
      </c>
      <c r="C85" s="69">
        <v>812</v>
      </c>
      <c r="D85" s="69">
        <v>8507</v>
      </c>
      <c r="E85" s="107"/>
      <c r="F85" s="10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</row>
    <row r="86" spans="1:53">
      <c r="A86" s="268">
        <v>2019</v>
      </c>
      <c r="B86" s="69">
        <v>1614498000000</v>
      </c>
      <c r="C86" s="69">
        <v>866</v>
      </c>
      <c r="D86" s="69">
        <v>8015</v>
      </c>
      <c r="E86" s="380"/>
      <c r="F86" s="380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</row>
    <row r="87" spans="1:53" ht="13.5" thickBot="1">
      <c r="A87" s="269">
        <v>2020</v>
      </c>
      <c r="B87" s="72" t="s">
        <v>49</v>
      </c>
      <c r="C87" s="72">
        <v>753</v>
      </c>
      <c r="D87" s="72">
        <v>5469</v>
      </c>
      <c r="E87" s="109"/>
      <c r="F87" s="109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</row>
    <row r="88" spans="1:53" ht="13.5" thickTop="1">
      <c r="A88" s="293" t="s">
        <v>192</v>
      </c>
      <c r="B88" s="70">
        <f>AVERAGE(B82:B86)</f>
        <v>1668528600000</v>
      </c>
      <c r="C88" s="70">
        <f>AVERAGE(C82:C87)</f>
        <v>797</v>
      </c>
      <c r="D88" s="70">
        <f t="shared" ref="D88" si="12">AVERAGE(D82:D87)</f>
        <v>8338</v>
      </c>
      <c r="E88" s="108">
        <f>C88/$B$88</f>
        <v>4.776663702378251E-10</v>
      </c>
      <c r="F88" s="108">
        <f>D88/$B$88</f>
        <v>4.9972173087114003E-9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</row>
    <row r="89" spans="1:53">
      <c r="A89" s="490" t="s">
        <v>193</v>
      </c>
      <c r="B89" s="491"/>
      <c r="C89" s="491"/>
      <c r="D89" s="491"/>
      <c r="E89" s="491"/>
      <c r="F89" s="492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</row>
    <row r="90" spans="1:53">
      <c r="A90" s="493" t="s">
        <v>197</v>
      </c>
      <c r="B90" s="494"/>
      <c r="C90" s="494"/>
      <c r="D90" s="494"/>
      <c r="E90" s="494"/>
      <c r="F90" s="495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</row>
    <row r="91" spans="1:53">
      <c r="A91" s="507" t="s">
        <v>198</v>
      </c>
      <c r="B91" s="508"/>
      <c r="C91" s="508"/>
      <c r="D91" s="508"/>
      <c r="E91" s="508"/>
      <c r="F91" s="509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</row>
    <row r="92" spans="1:53">
      <c r="A92" s="17"/>
      <c r="B92" s="17"/>
      <c r="C92" s="17"/>
      <c r="D92" s="17"/>
      <c r="E92" s="17"/>
      <c r="F92" s="1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</row>
    <row r="93" spans="1:53">
      <c r="A93" s="505" t="s">
        <v>199</v>
      </c>
      <c r="B93" s="506"/>
      <c r="C93" s="505" t="s">
        <v>188</v>
      </c>
      <c r="D93" s="510"/>
      <c r="E93" s="510"/>
      <c r="F93" s="506"/>
      <c r="G93" s="27"/>
      <c r="H93" s="67"/>
      <c r="I93" s="67"/>
      <c r="J93" s="176"/>
      <c r="K93" s="176"/>
      <c r="L93" s="176"/>
      <c r="M93" s="176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</row>
    <row r="94" spans="1:53">
      <c r="A94" s="57" t="s">
        <v>29</v>
      </c>
      <c r="B94" s="57" t="s">
        <v>200</v>
      </c>
      <c r="C94" s="57" t="s">
        <v>190</v>
      </c>
      <c r="D94" s="57" t="s">
        <v>191</v>
      </c>
      <c r="E94" s="57" t="s">
        <v>190</v>
      </c>
      <c r="F94" s="57" t="s">
        <v>191</v>
      </c>
      <c r="G94" s="27"/>
      <c r="H94" s="67"/>
      <c r="I94" s="67"/>
      <c r="J94" s="176"/>
      <c r="K94" s="176"/>
      <c r="L94" s="176"/>
      <c r="M94" s="176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</row>
    <row r="95" spans="1:53">
      <c r="A95" s="268">
        <v>2014</v>
      </c>
      <c r="B95" s="69">
        <v>1956805000000</v>
      </c>
      <c r="C95" s="69">
        <v>9759</v>
      </c>
      <c r="D95" s="69">
        <v>811000</v>
      </c>
      <c r="E95" s="107"/>
      <c r="F95" s="107"/>
      <c r="G95" s="27"/>
      <c r="H95" s="127"/>
      <c r="I95" s="127"/>
      <c r="J95" s="127"/>
      <c r="K95" s="127"/>
      <c r="L95" s="127"/>
      <c r="M95" s="1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</row>
    <row r="96" spans="1:53">
      <c r="A96" s="268">
        <v>2015</v>
      </c>
      <c r="B96" s="69">
        <v>1985827000000</v>
      </c>
      <c r="C96" s="69">
        <v>10543</v>
      </c>
      <c r="D96" s="69">
        <v>839000</v>
      </c>
      <c r="E96" s="107"/>
      <c r="F96" s="107"/>
      <c r="G96" s="27"/>
      <c r="H96" s="127"/>
      <c r="I96" s="127"/>
      <c r="J96" s="127"/>
      <c r="K96" s="127"/>
      <c r="L96" s="127"/>
      <c r="M96" s="1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</row>
    <row r="97" spans="1:53">
      <c r="A97" s="268">
        <v>2016</v>
      </c>
      <c r="B97" s="69">
        <v>2060780000000</v>
      </c>
      <c r="C97" s="69">
        <v>11094</v>
      </c>
      <c r="D97" s="69">
        <v>1071000</v>
      </c>
      <c r="E97" s="107"/>
      <c r="F97" s="107"/>
      <c r="G97" s="27"/>
      <c r="H97" s="127"/>
      <c r="I97" s="127"/>
      <c r="J97" s="127"/>
      <c r="K97" s="127"/>
      <c r="L97" s="127"/>
      <c r="M97" s="1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</row>
    <row r="98" spans="1:53">
      <c r="A98" s="268">
        <v>2017</v>
      </c>
      <c r="B98" s="69">
        <v>2024314000000</v>
      </c>
      <c r="C98" s="69">
        <v>11064</v>
      </c>
      <c r="D98" s="69">
        <v>977000</v>
      </c>
      <c r="E98" s="107"/>
      <c r="F98" s="107"/>
      <c r="G98" s="27"/>
      <c r="H98" s="127"/>
      <c r="I98" s="127"/>
      <c r="J98" s="127"/>
      <c r="K98" s="127"/>
      <c r="L98" s="127"/>
      <c r="M98" s="1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</row>
    <row r="99" spans="1:53">
      <c r="A99" s="268">
        <v>2018</v>
      </c>
      <c r="B99" s="69">
        <v>2033921000000</v>
      </c>
      <c r="C99" s="69">
        <v>10847</v>
      </c>
      <c r="D99" s="69">
        <v>960000</v>
      </c>
      <c r="E99" s="380"/>
      <c r="F99" s="380"/>
      <c r="G99" s="27"/>
      <c r="H99" s="127"/>
      <c r="I99" s="127"/>
      <c r="J99" s="127"/>
      <c r="K99" s="127"/>
      <c r="L99" s="127"/>
      <c r="M99" s="1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</row>
    <row r="100" spans="1:53" ht="13.5" thickBot="1">
      <c r="A100" s="269">
        <v>2019</v>
      </c>
      <c r="B100" s="72" t="s">
        <v>49</v>
      </c>
      <c r="C100" s="72">
        <v>10868</v>
      </c>
      <c r="D100" s="72">
        <v>996000</v>
      </c>
      <c r="E100" s="109"/>
      <c r="F100" s="109"/>
      <c r="G100" s="27"/>
      <c r="H100" s="127"/>
      <c r="I100" s="127"/>
      <c r="J100" s="127"/>
      <c r="K100" s="127"/>
      <c r="L100" s="127"/>
      <c r="M100" s="1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</row>
    <row r="101" spans="1:53" ht="13.5" thickTop="1">
      <c r="A101" s="293" t="s">
        <v>192</v>
      </c>
      <c r="B101" s="70">
        <f>AVERAGE(B95:B100)</f>
        <v>2012329400000</v>
      </c>
      <c r="C101" s="70">
        <f>AVERAGE(C95:C100)</f>
        <v>10695.833333333334</v>
      </c>
      <c r="D101" s="70">
        <f>AVERAGE(D95:D100)</f>
        <v>942333.33333333337</v>
      </c>
      <c r="E101" s="108">
        <f>C101/$B$101</f>
        <v>5.3151503592470172E-9</v>
      </c>
      <c r="F101" s="108">
        <f>D101/$B$101</f>
        <v>4.6827986180261214E-7</v>
      </c>
      <c r="G101" s="27"/>
      <c r="H101" s="127"/>
      <c r="I101" s="127"/>
      <c r="J101" s="128"/>
      <c r="K101" s="128"/>
      <c r="L101" s="129"/>
      <c r="M101" s="129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</row>
    <row r="102" spans="1:53">
      <c r="A102" s="490" t="s">
        <v>193</v>
      </c>
      <c r="B102" s="491"/>
      <c r="C102" s="491"/>
      <c r="D102" s="491"/>
      <c r="E102" s="491"/>
      <c r="F102" s="492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</row>
    <row r="103" spans="1:53">
      <c r="A103" s="493" t="s">
        <v>201</v>
      </c>
      <c r="B103" s="494"/>
      <c r="C103" s="494"/>
      <c r="D103" s="494"/>
      <c r="E103" s="494"/>
      <c r="F103" s="495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</row>
    <row r="104" spans="1:53">
      <c r="A104" s="496" t="s">
        <v>202</v>
      </c>
      <c r="B104" s="497"/>
      <c r="C104" s="497"/>
      <c r="D104" s="497"/>
      <c r="E104" s="497"/>
      <c r="F104" s="49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</row>
    <row r="105" spans="1:53">
      <c r="A105" s="499" t="s">
        <v>203</v>
      </c>
      <c r="B105" s="500"/>
      <c r="C105" s="500"/>
      <c r="D105" s="500"/>
      <c r="E105" s="500"/>
      <c r="F105" s="501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</row>
    <row r="106" spans="1:5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</row>
    <row r="107" spans="1:5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</row>
    <row r="108" spans="1:5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</row>
    <row r="109" spans="1:5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</row>
    <row r="110" spans="1:5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</row>
    <row r="111" spans="1:5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</row>
    <row r="112" spans="1:5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</row>
    <row r="113" spans="1:5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</row>
    <row r="114" spans="1:5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</row>
    <row r="115" spans="1:5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</row>
    <row r="116" spans="1:5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</row>
    <row r="117" spans="1:53" s="17" customForma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</row>
    <row r="118" spans="1:53" s="17" customFormat="1"/>
    <row r="119" spans="1:53" s="17" customFormat="1"/>
    <row r="120" spans="1:53" s="17" customFormat="1"/>
    <row r="121" spans="1:53" s="17" customFormat="1"/>
    <row r="122" spans="1:53" s="17" customFormat="1"/>
    <row r="123" spans="1:53" s="17" customFormat="1"/>
    <row r="124" spans="1:53" s="17" customFormat="1"/>
    <row r="125" spans="1:53" s="17" customFormat="1"/>
    <row r="126" spans="1:53" s="17" customFormat="1"/>
    <row r="127" spans="1:53" s="17" customFormat="1"/>
    <row r="128" spans="1:53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  <row r="315" s="17" customFormat="1"/>
    <row r="316" s="17" customFormat="1"/>
    <row r="317" s="17" customFormat="1"/>
    <row r="318" s="17" customFormat="1"/>
    <row r="319" s="17" customFormat="1"/>
    <row r="320" s="17" customFormat="1"/>
    <row r="321" s="17" customFormat="1"/>
    <row r="322" s="17" customFormat="1"/>
    <row r="323" s="17" customFormat="1"/>
    <row r="324" s="17" customFormat="1"/>
    <row r="325" s="17" customFormat="1"/>
    <row r="326" s="17" customFormat="1"/>
    <row r="327" s="17" customFormat="1"/>
    <row r="328" s="17" customFormat="1"/>
    <row r="329" s="17" customFormat="1"/>
    <row r="330" s="17" customFormat="1"/>
    <row r="331" s="17" customFormat="1"/>
    <row r="332" s="17" customFormat="1"/>
    <row r="333" s="17" customFormat="1"/>
    <row r="334" s="17" customFormat="1"/>
    <row r="335" s="17" customFormat="1"/>
    <row r="336" s="17" customFormat="1"/>
    <row r="337" s="17" customFormat="1"/>
    <row r="338" s="17" customFormat="1"/>
    <row r="339" s="17" customFormat="1"/>
    <row r="340" s="17" customFormat="1"/>
    <row r="341" s="17" customFormat="1"/>
    <row r="342" s="17" customFormat="1"/>
    <row r="343" s="17" customFormat="1"/>
    <row r="344" s="17" customFormat="1"/>
    <row r="345" s="17" customFormat="1"/>
    <row r="346" s="17" customFormat="1"/>
    <row r="347" s="17" customFormat="1"/>
    <row r="348" s="17" customFormat="1"/>
    <row r="349" s="17" customFormat="1"/>
    <row r="350" s="17" customFormat="1"/>
    <row r="351" s="17" customFormat="1"/>
    <row r="352" s="17" customFormat="1"/>
    <row r="353" s="17" customFormat="1"/>
    <row r="354" s="17" customFormat="1"/>
    <row r="355" s="17" customFormat="1"/>
    <row r="356" s="17" customFormat="1"/>
    <row r="357" s="17" customFormat="1"/>
    <row r="358" s="17" customFormat="1"/>
    <row r="359" s="17" customFormat="1"/>
    <row r="360" s="17" customFormat="1"/>
    <row r="361" s="17" customFormat="1"/>
    <row r="362" s="17" customFormat="1"/>
    <row r="363" s="17" customFormat="1"/>
    <row r="364" s="17" customFormat="1"/>
    <row r="365" s="17" customFormat="1"/>
    <row r="366" s="17" customFormat="1"/>
    <row r="367" s="17" customFormat="1"/>
    <row r="368" s="17" customFormat="1"/>
    <row r="369" s="17" customFormat="1"/>
    <row r="370" s="17" customFormat="1"/>
    <row r="371" s="17" customFormat="1"/>
    <row r="372" s="17" customFormat="1"/>
    <row r="373" s="17" customFormat="1"/>
    <row r="374" s="17" customFormat="1"/>
    <row r="375" s="17" customFormat="1"/>
    <row r="376" s="17" customFormat="1"/>
    <row r="377" s="17" customFormat="1"/>
    <row r="378" s="17" customFormat="1"/>
    <row r="379" s="17" customFormat="1"/>
    <row r="380" s="17" customFormat="1"/>
    <row r="381" s="17" customFormat="1"/>
    <row r="382" s="17" customFormat="1"/>
    <row r="383" s="17" customFormat="1"/>
    <row r="384" s="17" customFormat="1"/>
    <row r="385" s="17" customFormat="1"/>
    <row r="386" s="17" customFormat="1"/>
    <row r="387" s="17" customFormat="1"/>
    <row r="388" s="17" customFormat="1"/>
    <row r="389" s="17" customFormat="1"/>
    <row r="390" s="17" customFormat="1"/>
    <row r="391" s="17" customFormat="1"/>
    <row r="392" s="17" customFormat="1"/>
    <row r="393" s="17" customFormat="1"/>
    <row r="394" s="17" customFormat="1"/>
    <row r="395" s="17" customFormat="1"/>
    <row r="396" s="17" customFormat="1"/>
    <row r="397" s="17" customFormat="1"/>
    <row r="398" s="17" customFormat="1"/>
    <row r="399" s="17" customFormat="1"/>
    <row r="400" s="17" customFormat="1"/>
    <row r="401" s="17" customFormat="1"/>
    <row r="402" s="17" customFormat="1"/>
    <row r="403" s="17" customFormat="1"/>
    <row r="404" s="17" customFormat="1"/>
    <row r="405" s="17" customFormat="1"/>
    <row r="406" s="17" customFormat="1"/>
    <row r="407" s="17" customFormat="1"/>
    <row r="408" s="17" customFormat="1"/>
    <row r="409" s="17" customFormat="1"/>
    <row r="410" s="17" customFormat="1"/>
    <row r="411" s="17" customFormat="1"/>
    <row r="412" s="17" customFormat="1"/>
  </sheetData>
  <mergeCells count="39">
    <mergeCell ref="A3:A5"/>
    <mergeCell ref="A33:M33"/>
    <mergeCell ref="J4:K4"/>
    <mergeCell ref="L4:M4"/>
    <mergeCell ref="A34:O34"/>
    <mergeCell ref="N4:N5"/>
    <mergeCell ref="O4:O5"/>
    <mergeCell ref="H4:I4"/>
    <mergeCell ref="B3:G3"/>
    <mergeCell ref="H3:O3"/>
    <mergeCell ref="B4:D4"/>
    <mergeCell ref="E4:G4"/>
    <mergeCell ref="C69:D69"/>
    <mergeCell ref="E69:F69"/>
    <mergeCell ref="C80:F80"/>
    <mergeCell ref="A77:F77"/>
    <mergeCell ref="A40:B40"/>
    <mergeCell ref="A41:B41"/>
    <mergeCell ref="A53:B53"/>
    <mergeCell ref="A56:B56"/>
    <mergeCell ref="A67:B67"/>
    <mergeCell ref="A80:B80"/>
    <mergeCell ref="A69:B69"/>
    <mergeCell ref="A102:F102"/>
    <mergeCell ref="A103:F103"/>
    <mergeCell ref="A104:F104"/>
    <mergeCell ref="A105:F105"/>
    <mergeCell ref="A36:B36"/>
    <mergeCell ref="A48:E48"/>
    <mergeCell ref="A50:B50"/>
    <mergeCell ref="A93:B93"/>
    <mergeCell ref="A89:F89"/>
    <mergeCell ref="A90:F90"/>
    <mergeCell ref="A91:F91"/>
    <mergeCell ref="C93:F93"/>
    <mergeCell ref="C37:D37"/>
    <mergeCell ref="E37:F37"/>
    <mergeCell ref="C38:D38"/>
    <mergeCell ref="E38:F38"/>
  </mergeCells>
  <hyperlinks>
    <hyperlink ref="A77" r:id="rId1" xr:uid="{303C9424-6A7F-44CB-9012-47A2171379FC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0AD2-2EEF-4417-85B4-603B1A598CB4}">
  <dimension ref="A1:FB321"/>
  <sheetViews>
    <sheetView workbookViewId="0"/>
  </sheetViews>
  <sheetFormatPr defaultRowHeight="12.75"/>
  <cols>
    <col min="1" max="1" width="25.7109375" customWidth="1"/>
    <col min="2" max="2" width="18.7109375" customWidth="1"/>
    <col min="3" max="3" width="19.28515625" customWidth="1"/>
    <col min="4" max="4" width="15.140625" customWidth="1"/>
    <col min="9" max="9" width="14.5703125" bestFit="1" customWidth="1"/>
    <col min="10" max="10" width="14" bestFit="1" customWidth="1"/>
    <col min="11" max="11" width="10.7109375" bestFit="1" customWidth="1"/>
    <col min="12" max="12" width="10.42578125" bestFit="1" customWidth="1"/>
    <col min="19" max="158" width="8.85546875" style="17"/>
  </cols>
  <sheetData>
    <row r="1" spans="1:18" ht="20.25">
      <c r="A1" s="26" t="s">
        <v>204</v>
      </c>
      <c r="B1" s="40"/>
      <c r="C1" s="39"/>
      <c r="D1" s="39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>
      <c r="A3" s="536" t="s">
        <v>29</v>
      </c>
      <c r="B3" s="447" t="s">
        <v>205</v>
      </c>
      <c r="C3" s="448"/>
      <c r="D3" s="448"/>
      <c r="E3" s="448"/>
      <c r="F3" s="448"/>
      <c r="G3" s="448"/>
      <c r="H3" s="448"/>
      <c r="I3" s="448"/>
      <c r="J3" s="448"/>
      <c r="K3" s="448"/>
      <c r="L3" s="449"/>
      <c r="M3" s="17"/>
      <c r="N3" s="17"/>
      <c r="O3" s="17"/>
      <c r="P3" s="17"/>
      <c r="Q3" s="17"/>
      <c r="R3" s="17"/>
    </row>
    <row r="4" spans="1:18">
      <c r="A4" s="537"/>
      <c r="B4" s="435" t="s">
        <v>206</v>
      </c>
      <c r="C4" s="447" t="s">
        <v>139</v>
      </c>
      <c r="D4" s="449"/>
      <c r="E4" s="447" t="s">
        <v>207</v>
      </c>
      <c r="F4" s="448"/>
      <c r="G4" s="448"/>
      <c r="H4" s="449"/>
      <c r="I4" s="451" t="s">
        <v>208</v>
      </c>
      <c r="J4" s="451"/>
      <c r="K4" s="451" t="s">
        <v>87</v>
      </c>
      <c r="L4" s="451"/>
      <c r="M4" s="17"/>
      <c r="N4" s="17"/>
      <c r="O4" s="17"/>
      <c r="P4" s="17"/>
      <c r="Q4" s="17"/>
      <c r="R4" s="17"/>
    </row>
    <row r="5" spans="1:18">
      <c r="A5" s="538"/>
      <c r="B5" s="468"/>
      <c r="C5" s="56" t="s">
        <v>143</v>
      </c>
      <c r="D5" s="184" t="s">
        <v>144</v>
      </c>
      <c r="E5" s="56" t="s">
        <v>209</v>
      </c>
      <c r="F5" s="56" t="s">
        <v>210</v>
      </c>
      <c r="G5" s="56" t="s">
        <v>211</v>
      </c>
      <c r="H5" s="56" t="s">
        <v>212</v>
      </c>
      <c r="I5" s="56" t="s">
        <v>213</v>
      </c>
      <c r="J5" s="56" t="s">
        <v>214</v>
      </c>
      <c r="K5" s="56" t="s">
        <v>213</v>
      </c>
      <c r="L5" s="56" t="s">
        <v>214</v>
      </c>
      <c r="M5" s="17"/>
      <c r="N5" s="17"/>
      <c r="O5" s="17"/>
      <c r="P5" s="17"/>
      <c r="Q5" s="17"/>
      <c r="R5" s="17"/>
    </row>
    <row r="6" spans="1:18">
      <c r="A6" s="18">
        <v>2025</v>
      </c>
      <c r="B6" s="245">
        <f>SUM(Flood_Safety!E13:G13)</f>
        <v>379717550.3018927</v>
      </c>
      <c r="C6" s="6">
        <f>Flood_Safety!H13</f>
        <v>114232766.62015495</v>
      </c>
      <c r="D6" s="5">
        <f>Flood_Safety!I13</f>
        <v>41456608.054619297</v>
      </c>
      <c r="E6" s="6">
        <f t="shared" ref="E6:E25" si="0">($C6/1000000*$C$60)+($D6/1000000*$D$60)-($B6/1000000*$B$60)</f>
        <v>-1160.1204945768677</v>
      </c>
      <c r="F6" s="5">
        <f t="shared" ref="F6:F25" si="1">(($C6/1000000*$C$63)+($D6/1000000*$D$63)-($B6/1000000*$B$63))</f>
        <v>194.77704328653408</v>
      </c>
      <c r="G6" s="6">
        <f t="shared" ref="G6:G25" si="2">(($C6/1000000*$C$69)+($D6/1000000*$D$69)-($B6/1000000*$B$69))</f>
        <v>17.495976995655845</v>
      </c>
      <c r="H6" s="5">
        <f t="shared" ref="H6:H25" si="3">(($C6/1000000*$C$66)+($D6/1000000*$D$66)-($B6/1000000*$B$66))</f>
        <v>-1.8219801936181717</v>
      </c>
      <c r="I6" s="105">
        <f>F6*B32+G6*C32+H6*D32</f>
        <v>2538709.0601090714</v>
      </c>
      <c r="J6" s="255">
        <f>E6*E32</f>
        <v>-64966.747696304592</v>
      </c>
      <c r="K6" s="105">
        <f>I6*NPV!C9</f>
        <v>1810064.4735877414</v>
      </c>
      <c r="L6" s="255">
        <f>J6*NPV!D9</f>
        <v>-56040.887255702</v>
      </c>
      <c r="M6" s="17"/>
      <c r="N6" s="17"/>
      <c r="O6" s="17"/>
      <c r="P6" s="17"/>
      <c r="Q6" s="17"/>
      <c r="R6" s="17"/>
    </row>
    <row r="7" spans="1:18">
      <c r="A7" s="18">
        <f t="shared" ref="A7:A25" si="4">A6+1</f>
        <v>2026</v>
      </c>
      <c r="B7" s="245">
        <f>SUM(Flood_Safety!E14:G14)</f>
        <v>393541751.8214128</v>
      </c>
      <c r="C7" s="6">
        <f>Flood_Safety!H14</f>
        <v>118382667.60624212</v>
      </c>
      <c r="D7" s="5">
        <f>Flood_Safety!I14</f>
        <v>42963434.603986576</v>
      </c>
      <c r="E7" s="6">
        <f t="shared" si="0"/>
        <v>-1202.7343625522981</v>
      </c>
      <c r="F7" s="5">
        <f t="shared" si="1"/>
        <v>201.84942673867505</v>
      </c>
      <c r="G7" s="6">
        <f t="shared" si="2"/>
        <v>18.130361737710224</v>
      </c>
      <c r="H7" s="5">
        <f t="shared" si="3"/>
        <v>-1.8885011264323017</v>
      </c>
      <c r="I7" s="105">
        <f t="shared" ref="I7:I25" si="5">F7*B33+G7*C33+H7*D33</f>
        <v>2681443.7331439881</v>
      </c>
      <c r="J7" s="255">
        <f t="shared" ref="J7:J25" si="6">E7*E33</f>
        <v>-68555.858665480991</v>
      </c>
      <c r="K7" s="105">
        <f>I7*NPV!C10</f>
        <v>1786759.1801820162</v>
      </c>
      <c r="L7" s="255">
        <f>J7*NPV!D10</f>
        <v>-57414.452335770016</v>
      </c>
      <c r="M7" s="17"/>
      <c r="N7" s="17"/>
      <c r="O7" s="17"/>
      <c r="P7" s="17"/>
      <c r="Q7" s="17"/>
      <c r="R7" s="17"/>
    </row>
    <row r="8" spans="1:18">
      <c r="A8" s="18">
        <f t="shared" si="4"/>
        <v>2027</v>
      </c>
      <c r="B8" s="245">
        <f>SUM(Flood_Safety!E15:G15)</f>
        <v>409729177.9242273</v>
      </c>
      <c r="C8" s="6">
        <f>Flood_Safety!H15</f>
        <v>123241751.73756157</v>
      </c>
      <c r="D8" s="5">
        <f>Flood_Safety!I15</f>
        <v>44727785.556537226</v>
      </c>
      <c r="E8" s="6">
        <f t="shared" si="0"/>
        <v>-1252.642985193439</v>
      </c>
      <c r="F8" s="5">
        <f t="shared" si="1"/>
        <v>210.13032653694552</v>
      </c>
      <c r="G8" s="6">
        <f t="shared" si="2"/>
        <v>18.873125264320041</v>
      </c>
      <c r="H8" s="5">
        <f t="shared" si="3"/>
        <v>-1.9663986953544628</v>
      </c>
      <c r="I8" s="105">
        <f t="shared" si="5"/>
        <v>2843830.6280363677</v>
      </c>
      <c r="J8" s="255">
        <f t="shared" si="6"/>
        <v>-72653.293141219459</v>
      </c>
      <c r="K8" s="105">
        <f>I8*NPV!C11</f>
        <v>1770994.7895731425</v>
      </c>
      <c r="L8" s="255">
        <f>J8*NPV!D11</f>
        <v>-59073.77592426585</v>
      </c>
      <c r="M8" s="17"/>
      <c r="N8" s="17"/>
      <c r="O8" s="17"/>
      <c r="P8" s="17"/>
      <c r="Q8" s="17"/>
      <c r="R8" s="17"/>
    </row>
    <row r="9" spans="1:18">
      <c r="A9" s="18">
        <f t="shared" si="4"/>
        <v>2028</v>
      </c>
      <c r="B9" s="245">
        <f>SUM(Flood_Safety!E16:G16)</f>
        <v>428551518.15939963</v>
      </c>
      <c r="C9" s="6">
        <f>Flood_Safety!H16</f>
        <v>128891549.90430847</v>
      </c>
      <c r="D9" s="5">
        <f>Flood_Safety!I16</f>
        <v>46779267.145865977</v>
      </c>
      <c r="E9" s="6">
        <f t="shared" si="0"/>
        <v>-1310.6850414783075</v>
      </c>
      <c r="F9" s="5">
        <f t="shared" si="1"/>
        <v>219.75867885343496</v>
      </c>
      <c r="G9" s="6">
        <f t="shared" si="2"/>
        <v>19.736727182135439</v>
      </c>
      <c r="H9" s="5">
        <f t="shared" si="3"/>
        <v>-2.0569808388009831</v>
      </c>
      <c r="I9" s="105">
        <f t="shared" si="5"/>
        <v>3028250.1146686682</v>
      </c>
      <c r="J9" s="255">
        <f t="shared" si="6"/>
        <v>-78641.102488698452</v>
      </c>
      <c r="K9" s="105">
        <f>I9*NPV!C12</f>
        <v>1762469.1376372864</v>
      </c>
      <c r="L9" s="255">
        <f>J9*NPV!D12</f>
        <v>-62080.012501207188</v>
      </c>
      <c r="M9" s="17"/>
      <c r="N9" s="17"/>
      <c r="O9" s="17"/>
      <c r="P9" s="17"/>
      <c r="Q9" s="17"/>
      <c r="R9" s="17"/>
    </row>
    <row r="10" spans="1:18">
      <c r="A10" s="18">
        <f t="shared" si="4"/>
        <v>2029</v>
      </c>
      <c r="B10" s="245">
        <f>SUM(Flood_Safety!E17:G17)</f>
        <v>450334137.04312396</v>
      </c>
      <c r="C10" s="6">
        <f>Flood_Safety!H17</f>
        <v>135429700.2264533</v>
      </c>
      <c r="D10" s="5">
        <f>Flood_Safety!I17</f>
        <v>49153334.608988062</v>
      </c>
      <c r="E10" s="6">
        <f t="shared" si="0"/>
        <v>-1377.8649000311379</v>
      </c>
      <c r="F10" s="5">
        <f t="shared" si="1"/>
        <v>230.90086806568138</v>
      </c>
      <c r="G10" s="6">
        <f t="shared" si="2"/>
        <v>20.736088614791051</v>
      </c>
      <c r="H10" s="5">
        <f t="shared" si="3"/>
        <v>-2.1618138915493699</v>
      </c>
      <c r="I10" s="105">
        <f t="shared" si="5"/>
        <v>3240235.7726123268</v>
      </c>
      <c r="J10" s="255">
        <f t="shared" si="6"/>
        <v>-84049.758901899419</v>
      </c>
      <c r="K10" s="105">
        <f>I10*NPV!C13</f>
        <v>1762473.5706520614</v>
      </c>
      <c r="L10" s="255">
        <f>J10*NPV!D13</f>
        <v>-64417.141571863423</v>
      </c>
      <c r="M10" s="17"/>
      <c r="N10" s="17"/>
      <c r="O10" s="17"/>
      <c r="P10" s="17"/>
      <c r="Q10" s="17"/>
      <c r="R10" s="17"/>
    </row>
    <row r="11" spans="1:18">
      <c r="A11" s="18">
        <f t="shared" si="4"/>
        <v>2030</v>
      </c>
      <c r="B11" s="245">
        <f>SUM(Flood_Safety!E18:G18)</f>
        <v>475465504.48385692</v>
      </c>
      <c r="C11" s="6">
        <f>Flood_Safety!H18</f>
        <v>142972778.01398164</v>
      </c>
      <c r="D11" s="5">
        <f>Flood_Safety!I18</f>
        <v>51892319.827180952</v>
      </c>
      <c r="E11" s="6">
        <f t="shared" si="0"/>
        <v>-1455.3817299715547</v>
      </c>
      <c r="F11" s="5">
        <f t="shared" si="1"/>
        <v>243.75554926997512</v>
      </c>
      <c r="G11" s="6">
        <f t="shared" si="2"/>
        <v>21.889024679205509</v>
      </c>
      <c r="H11" s="5">
        <f t="shared" si="3"/>
        <v>-2.2827679836961945</v>
      </c>
      <c r="I11" s="105">
        <f t="shared" si="5"/>
        <v>3506197.0508807222</v>
      </c>
      <c r="J11" s="255">
        <f t="shared" si="6"/>
        <v>-90233.667258236397</v>
      </c>
      <c r="K11" s="105">
        <f>I11*NPV!C14</f>
        <v>1782372.7889000503</v>
      </c>
      <c r="L11" s="255">
        <f>J11*NPV!D14</f>
        <v>-67142.322725669568</v>
      </c>
      <c r="M11" s="17"/>
      <c r="N11" s="17"/>
      <c r="O11" s="17"/>
      <c r="P11" s="17"/>
      <c r="Q11" s="17"/>
      <c r="R11" s="17"/>
    </row>
    <row r="12" spans="1:18">
      <c r="A12" s="18">
        <f t="shared" si="4"/>
        <v>2031</v>
      </c>
      <c r="B12" s="245">
        <f>SUM(Flood_Safety!E19:G19)</f>
        <v>504408757.45361507</v>
      </c>
      <c r="C12" s="6">
        <f>Flood_Safety!H19</f>
        <v>151659765.28917086</v>
      </c>
      <c r="D12" s="5">
        <f>Flood_Safety!I19</f>
        <v>55046691.210396543</v>
      </c>
      <c r="E12" s="6">
        <f t="shared" si="0"/>
        <v>-1544.6651907233336</v>
      </c>
      <c r="F12" s="5">
        <f t="shared" si="1"/>
        <v>258.55956066737104</v>
      </c>
      <c r="G12" s="6">
        <f t="shared" si="2"/>
        <v>23.216774700152726</v>
      </c>
      <c r="H12" s="5">
        <f t="shared" si="3"/>
        <v>-2.422072699635482</v>
      </c>
      <c r="I12" s="105">
        <f t="shared" si="5"/>
        <v>3718481.4116531708</v>
      </c>
      <c r="J12" s="255">
        <f t="shared" si="6"/>
        <v>-97313.907015570017</v>
      </c>
      <c r="K12" s="105">
        <f>I12*NPV!C15</f>
        <v>1766623.7321775658</v>
      </c>
      <c r="L12" s="255">
        <f>J12*NPV!D15</f>
        <v>-70301.636937001342</v>
      </c>
      <c r="M12" s="17"/>
      <c r="N12" s="17"/>
      <c r="O12" s="17"/>
      <c r="P12" s="17"/>
      <c r="Q12" s="17"/>
      <c r="R12" s="17"/>
    </row>
    <row r="13" spans="1:18">
      <c r="A13" s="18">
        <f t="shared" si="4"/>
        <v>2032</v>
      </c>
      <c r="B13" s="245">
        <f>SUM(Flood_Safety!E20:G20)</f>
        <v>537715871.01419246</v>
      </c>
      <c r="C13" s="6">
        <f>Flood_Safety!H20</f>
        <v>161656303.34574729</v>
      </c>
      <c r="D13" s="5">
        <f>Flood_Safety!I20</f>
        <v>58676597.925130576</v>
      </c>
      <c r="E13" s="6">
        <f t="shared" si="0"/>
        <v>-1647.4191766601907</v>
      </c>
      <c r="F13" s="5">
        <f t="shared" si="1"/>
        <v>275.5951703167774</v>
      </c>
      <c r="G13" s="6">
        <f t="shared" si="2"/>
        <v>24.744652089020565</v>
      </c>
      <c r="H13" s="5">
        <f t="shared" si="3"/>
        <v>-2.582385298718286</v>
      </c>
      <c r="I13" s="105">
        <f t="shared" si="5"/>
        <v>3962757.5151365958</v>
      </c>
      <c r="J13" s="255">
        <f t="shared" si="6"/>
        <v>-105434.82730625221</v>
      </c>
      <c r="K13" s="105">
        <f>I13*NPV!C16</f>
        <v>1759511.7282917476</v>
      </c>
      <c r="L13" s="255">
        <f>J13*NPV!D16</f>
        <v>-73949.866544225995</v>
      </c>
      <c r="M13" s="17"/>
      <c r="N13" s="17"/>
      <c r="O13" s="17"/>
      <c r="P13" s="17"/>
      <c r="Q13" s="17"/>
      <c r="R13" s="17"/>
    </row>
    <row r="14" spans="1:18">
      <c r="A14" s="18">
        <f t="shared" si="4"/>
        <v>2033</v>
      </c>
      <c r="B14" s="245">
        <f>SUM(Flood_Safety!E21:G21)</f>
        <v>576045039.47454131</v>
      </c>
      <c r="C14" s="6">
        <f>Flood_Safety!H21</f>
        <v>173159908.63084397</v>
      </c>
      <c r="D14" s="5">
        <f>Flood_Safety!I21</f>
        <v>62853763.932809077</v>
      </c>
      <c r="E14" s="6">
        <f t="shared" si="0"/>
        <v>-1765.6754711292469</v>
      </c>
      <c r="F14" s="5">
        <f t="shared" si="1"/>
        <v>295.19896447896053</v>
      </c>
      <c r="G14" s="6">
        <f t="shared" si="2"/>
        <v>26.502841438164236</v>
      </c>
      <c r="H14" s="5">
        <f t="shared" si="3"/>
        <v>-2.7668743897871169</v>
      </c>
      <c r="I14" s="105">
        <f t="shared" si="5"/>
        <v>4243850.5511037465</v>
      </c>
      <c r="J14" s="255">
        <f t="shared" si="6"/>
        <v>-114768.90562340105</v>
      </c>
      <c r="K14" s="105">
        <f>I14*NPV!C17</f>
        <v>1761047.1008602323</v>
      </c>
      <c r="L14" s="255">
        <f>J14*NPV!D17</f>
        <v>-78152.040073805518</v>
      </c>
      <c r="M14" s="17"/>
      <c r="N14" s="17"/>
      <c r="O14" s="17"/>
      <c r="P14" s="17"/>
      <c r="Q14" s="17"/>
      <c r="R14" s="17"/>
    </row>
    <row r="15" spans="1:18">
      <c r="A15" s="18">
        <f t="shared" si="4"/>
        <v>2034</v>
      </c>
      <c r="B15" s="245">
        <f>SUM(Flood_Safety!E22:G22)</f>
        <v>620182023.59589064</v>
      </c>
      <c r="C15" s="6">
        <f>Flood_Safety!H22</f>
        <v>186406378.79147938</v>
      </c>
      <c r="D15" s="5">
        <f>Flood_Safety!I22</f>
        <v>67663814.211515069</v>
      </c>
      <c r="E15" s="6">
        <f t="shared" si="0"/>
        <v>-1901.8596432966424</v>
      </c>
      <c r="F15" s="5">
        <f t="shared" si="1"/>
        <v>317.77276411068283</v>
      </c>
      <c r="G15" s="6">
        <f t="shared" si="2"/>
        <v>28.527377496948581</v>
      </c>
      <c r="H15" s="5">
        <f t="shared" si="3"/>
        <v>-2.9793226986390149</v>
      </c>
      <c r="I15" s="105">
        <f t="shared" si="5"/>
        <v>4567520.8921643253</v>
      </c>
      <c r="J15" s="255">
        <f t="shared" si="6"/>
        <v>-125522.7364575784</v>
      </c>
      <c r="K15" s="105">
        <f>I15*NPV!C18</f>
        <v>1771363.350688159</v>
      </c>
      <c r="L15" s="255">
        <f>J15*NPV!D18</f>
        <v>-82985.31610718304</v>
      </c>
      <c r="M15" s="17"/>
      <c r="N15" s="17"/>
      <c r="O15" s="17"/>
      <c r="P15" s="17"/>
      <c r="Q15" s="17"/>
      <c r="R15" s="17"/>
    </row>
    <row r="16" spans="1:18">
      <c r="A16" s="18">
        <f t="shared" si="4"/>
        <v>2035</v>
      </c>
      <c r="B16" s="245">
        <f>SUM(Flood_Safety!E23:G23)</f>
        <v>671066416.71491563</v>
      </c>
      <c r="C16" s="6">
        <f>Flood_Safety!H23</f>
        <v>201677674.83078751</v>
      </c>
      <c r="D16" s="5">
        <f>Flood_Safety!I23</f>
        <v>73209136.996082962</v>
      </c>
      <c r="E16" s="6">
        <f t="shared" si="0"/>
        <v>-2058.8721292377231</v>
      </c>
      <c r="F16" s="5">
        <f t="shared" si="1"/>
        <v>343.79705678602193</v>
      </c>
      <c r="G16" s="6">
        <f t="shared" si="2"/>
        <v>30.861349727808658</v>
      </c>
      <c r="H16" s="5">
        <f t="shared" si="3"/>
        <v>-3.2242535156250582</v>
      </c>
      <c r="I16" s="105">
        <f t="shared" si="5"/>
        <v>4940656.6493061008</v>
      </c>
      <c r="J16" s="255">
        <f t="shared" si="6"/>
        <v>-137944.43265892746</v>
      </c>
      <c r="K16" s="105">
        <f>I16*NPV!C19</f>
        <v>1790721.3369605539</v>
      </c>
      <c r="L16" s="255">
        <f>J16*NPV!D19</f>
        <v>-88541.282178994559</v>
      </c>
      <c r="M16" s="17"/>
      <c r="N16" s="17"/>
      <c r="O16" s="17"/>
      <c r="P16" s="17"/>
      <c r="Q16" s="17"/>
      <c r="R16" s="17"/>
    </row>
    <row r="17" spans="1:18">
      <c r="A17" s="18">
        <f t="shared" si="4"/>
        <v>2036</v>
      </c>
      <c r="B17" s="245">
        <f>SUM(Flood_Safety!E24:G24)</f>
        <v>729824033.56509924</v>
      </c>
      <c r="C17" s="6">
        <f>Flood_Safety!H24</f>
        <v>219311640.61433548</v>
      </c>
      <c r="D17" s="5">
        <f>Flood_Safety!I24</f>
        <v>79612413.213429064</v>
      </c>
      <c r="E17" s="6">
        <f t="shared" si="0"/>
        <v>-2240.1882132296578</v>
      </c>
      <c r="F17" s="5">
        <f t="shared" si="1"/>
        <v>373.84755963173018</v>
      </c>
      <c r="G17" s="6">
        <f t="shared" si="2"/>
        <v>33.556387647303517</v>
      </c>
      <c r="H17" s="5">
        <f t="shared" si="3"/>
        <v>-3.5070866184976532</v>
      </c>
      <c r="I17" s="105">
        <f t="shared" si="5"/>
        <v>5371511.1126083545</v>
      </c>
      <c r="J17" s="255">
        <f t="shared" si="6"/>
        <v>-154572.98671284638</v>
      </c>
      <c r="K17" s="105">
        <f>I17*NPV!C20</f>
        <v>1819516.656289347</v>
      </c>
      <c r="L17" s="255">
        <f>J17*NPV!D20</f>
        <v>-96324.775015955878</v>
      </c>
      <c r="M17" s="17"/>
      <c r="N17" s="17"/>
      <c r="O17" s="17"/>
      <c r="P17" s="17"/>
      <c r="Q17" s="17"/>
      <c r="R17" s="17"/>
    </row>
    <row r="18" spans="1:18">
      <c r="A18" s="18">
        <f t="shared" si="4"/>
        <v>2037</v>
      </c>
      <c r="B18" s="245">
        <f>SUM(Flood_Safety!E25:G25)</f>
        <v>797806946.27917826</v>
      </c>
      <c r="C18" s="6">
        <f>Flood_Safety!H25</f>
        <v>239714017.20600688</v>
      </c>
      <c r="D18" s="5">
        <f>Flood_Safety!I25</f>
        <v>87020979.237217665</v>
      </c>
      <c r="E18" s="6">
        <f t="shared" si="0"/>
        <v>-2449.9816151839714</v>
      </c>
      <c r="F18" s="5">
        <f t="shared" si="1"/>
        <v>408.61569286386396</v>
      </c>
      <c r="G18" s="6">
        <f t="shared" si="2"/>
        <v>36.674496864463968</v>
      </c>
      <c r="H18" s="5">
        <f t="shared" si="3"/>
        <v>-3.8343310095103451</v>
      </c>
      <c r="I18" s="105">
        <f t="shared" si="5"/>
        <v>5869996.2530299425</v>
      </c>
      <c r="J18" s="255">
        <f t="shared" si="6"/>
        <v>-171498.713062878</v>
      </c>
      <c r="K18" s="105">
        <f>I18*NPV!C21</f>
        <v>1858290.4858295647</v>
      </c>
      <c r="L18" s="255">
        <f>J18*NPV!D21</f>
        <v>-103759.54184425468</v>
      </c>
      <c r="M18" s="17"/>
      <c r="N18" s="17"/>
      <c r="O18" s="17"/>
      <c r="P18" s="17"/>
      <c r="Q18" s="17"/>
      <c r="R18" s="17"/>
    </row>
    <row r="19" spans="1:18">
      <c r="A19" s="18">
        <f t="shared" si="4"/>
        <v>2038</v>
      </c>
      <c r="B19" s="245">
        <f>SUM(Flood_Safety!E26:G26)</f>
        <v>876643103.27044189</v>
      </c>
      <c r="C19" s="6">
        <f>Flood_Safety!H26</f>
        <v>263373332.91370124</v>
      </c>
      <c r="D19" s="5">
        <f>Flood_Safety!I26</f>
        <v>95612233.896370277</v>
      </c>
      <c r="E19" s="6">
        <f t="shared" si="0"/>
        <v>-2693.277659538855</v>
      </c>
      <c r="F19" s="5">
        <f t="shared" si="1"/>
        <v>448.93395379921475</v>
      </c>
      <c r="G19" s="6">
        <f t="shared" si="2"/>
        <v>40.290334586918775</v>
      </c>
      <c r="H19" s="5">
        <f t="shared" si="3"/>
        <v>-4.2138237854021812</v>
      </c>
      <c r="I19" s="105">
        <f t="shared" si="5"/>
        <v>6448046.4757685671</v>
      </c>
      <c r="J19" s="255">
        <f t="shared" si="6"/>
        <v>-191222.7138272587</v>
      </c>
      <c r="K19" s="105">
        <f>I19*NPV!C22</f>
        <v>1907744.2829445677</v>
      </c>
      <c r="L19" s="255">
        <f>J19*NPV!D22</f>
        <v>-112323.19095588334</v>
      </c>
      <c r="M19" s="17"/>
      <c r="N19" s="17"/>
      <c r="O19" s="17"/>
      <c r="P19" s="17"/>
      <c r="Q19" s="17"/>
      <c r="R19" s="17"/>
    </row>
    <row r="20" spans="1:18">
      <c r="A20" s="18">
        <f t="shared" si="4"/>
        <v>2039</v>
      </c>
      <c r="B20" s="245">
        <f>SUM(Flood_Safety!E27:G27)</f>
        <v>968297995.60690582</v>
      </c>
      <c r="C20" s="6">
        <f>Flood_Safety!H27</f>
        <v>290879408.64668107</v>
      </c>
      <c r="D20" s="5">
        <f>Flood_Safety!I27</f>
        <v>105600358.30834641</v>
      </c>
      <c r="E20" s="6">
        <f t="shared" si="0"/>
        <v>-2976.1436336464831</v>
      </c>
      <c r="F20" s="5">
        <f t="shared" si="1"/>
        <v>495.80745169128886</v>
      </c>
      <c r="G20" s="6">
        <f t="shared" si="2"/>
        <v>44.494037621215099</v>
      </c>
      <c r="H20" s="5">
        <f t="shared" si="3"/>
        <v>-4.6550270051514495</v>
      </c>
      <c r="I20" s="105">
        <f t="shared" si="5"/>
        <v>7120070.6931445915</v>
      </c>
      <c r="J20" s="255">
        <f t="shared" si="6"/>
        <v>-214282.34162254678</v>
      </c>
      <c r="K20" s="105">
        <f>I20*NPV!C23</f>
        <v>1968758.8782807435</v>
      </c>
      <c r="L20" s="255">
        <f>J20*NPV!D23</f>
        <v>-122202.22521987779</v>
      </c>
      <c r="M20" s="17"/>
      <c r="N20" s="17"/>
      <c r="O20" s="17"/>
      <c r="P20" s="17"/>
      <c r="Q20" s="17"/>
      <c r="R20" s="17"/>
    </row>
    <row r="21" spans="1:18">
      <c r="A21" s="18">
        <f t="shared" si="4"/>
        <v>2040</v>
      </c>
      <c r="B21" s="245">
        <f>SUM(Flood_Safety!E28:G28)</f>
        <v>1075151517.8970077</v>
      </c>
      <c r="C21" s="6">
        <f>Flood_Safety!H28</f>
        <v>322946422.96803927</v>
      </c>
      <c r="D21" s="5">
        <f>Flood_Safety!I28</f>
        <v>117244691.47029173</v>
      </c>
      <c r="E21" s="6">
        <f t="shared" si="0"/>
        <v>-3305.926050210488</v>
      </c>
      <c r="F21" s="5">
        <f t="shared" si="1"/>
        <v>550.4532127073893</v>
      </c>
      <c r="G21" s="6">
        <f t="shared" si="2"/>
        <v>49.39474718860815</v>
      </c>
      <c r="H21" s="5">
        <f t="shared" si="3"/>
        <v>-5.1693977055440019</v>
      </c>
      <c r="I21" s="105">
        <f t="shared" si="5"/>
        <v>7903515.7876344305</v>
      </c>
      <c r="J21" s="255">
        <f t="shared" si="6"/>
        <v>-241332.60166536563</v>
      </c>
      <c r="K21" s="105">
        <f>I21*NPV!C24</f>
        <v>2042418.6685641576</v>
      </c>
      <c r="L21" s="255">
        <f>J21*NPV!D24</f>
        <v>-133620.01023682166</v>
      </c>
      <c r="M21" s="17"/>
      <c r="N21" s="17"/>
      <c r="O21" s="17"/>
      <c r="P21" s="17"/>
      <c r="Q21" s="17"/>
      <c r="R21" s="17"/>
    </row>
    <row r="22" spans="1:18">
      <c r="A22" s="18">
        <f t="shared" si="4"/>
        <v>2041</v>
      </c>
      <c r="B22" s="245">
        <f>SUM(Flood_Safety!E29:G29)</f>
        <v>1200094053.8428874</v>
      </c>
      <c r="C22" s="6">
        <f>Flood_Safety!H29</f>
        <v>360441746.24496436</v>
      </c>
      <c r="D22" s="5">
        <f>Flood_Safety!I29</f>
        <v>130860200.77732876</v>
      </c>
      <c r="E22" s="6">
        <f t="shared" si="0"/>
        <v>-3691.5472544923141</v>
      </c>
      <c r="F22" s="5">
        <f t="shared" si="1"/>
        <v>614.3493159805264</v>
      </c>
      <c r="G22" s="6">
        <f t="shared" si="2"/>
        <v>55.125015377995709</v>
      </c>
      <c r="H22" s="5">
        <f t="shared" si="3"/>
        <v>-5.7708504661084188</v>
      </c>
      <c r="I22" s="105">
        <f t="shared" si="5"/>
        <v>8819571.0099114515</v>
      </c>
      <c r="J22" s="255">
        <f t="shared" si="6"/>
        <v>-273174.49683243124</v>
      </c>
      <c r="K22" s="105">
        <f>I22*NPV!C25</f>
        <v>2130041.8183433851</v>
      </c>
      <c r="L22" s="255">
        <f>J22*NPV!D25</f>
        <v>-146844.75296909607</v>
      </c>
      <c r="M22" s="17"/>
      <c r="N22" s="17"/>
      <c r="O22" s="17"/>
      <c r="P22" s="17"/>
      <c r="Q22" s="17"/>
      <c r="R22" s="17"/>
    </row>
    <row r="23" spans="1:18">
      <c r="A23" s="18">
        <f t="shared" si="4"/>
        <v>2042</v>
      </c>
      <c r="B23" s="245">
        <f>SUM(Flood_Safety!E30:G30)</f>
        <v>1346646963.0441861</v>
      </c>
      <c r="C23" s="6">
        <f>Flood_Safety!H30</f>
        <v>404422097.32877433</v>
      </c>
      <c r="D23" s="5">
        <f>Flood_Safety!I30</f>
        <v>146830611.56430262</v>
      </c>
      <c r="E23" s="6">
        <f t="shared" si="0"/>
        <v>-4143.8773559185611</v>
      </c>
      <c r="F23" s="5">
        <f t="shared" si="1"/>
        <v>689.29650792753216</v>
      </c>
      <c r="G23" s="6">
        <f t="shared" si="2"/>
        <v>61.846330632446438</v>
      </c>
      <c r="H23" s="5">
        <f t="shared" si="3"/>
        <v>-6.4763374439774477</v>
      </c>
      <c r="I23" s="105">
        <f t="shared" si="5"/>
        <v>9894051.2611466199</v>
      </c>
      <c r="J23" s="255">
        <f t="shared" si="6"/>
        <v>-310790.80169389211</v>
      </c>
      <c r="K23" s="105">
        <f>I23*NPV!C26</f>
        <v>2233217.6266004103</v>
      </c>
      <c r="L23" s="255">
        <f>J23*NPV!D26</f>
        <v>-162199.38874732907</v>
      </c>
      <c r="M23" s="17"/>
      <c r="N23" s="17"/>
      <c r="O23" s="17"/>
      <c r="P23" s="17"/>
      <c r="Q23" s="17"/>
      <c r="R23" s="17"/>
    </row>
    <row r="24" spans="1:18">
      <c r="A24" s="18">
        <f t="shared" si="4"/>
        <v>2043</v>
      </c>
      <c r="B24" s="245">
        <f>SUM(Flood_Safety!E31:G31)</f>
        <v>1519114138.4321916</v>
      </c>
      <c r="C24" s="6">
        <f>Flood_Safety!H31</f>
        <v>456179024.1675669</v>
      </c>
      <c r="D24" s="5">
        <f>Flood_Safety!I31</f>
        <v>165624922.43854582</v>
      </c>
      <c r="E24" s="6">
        <f t="shared" si="0"/>
        <v>-4676.2020718473577</v>
      </c>
      <c r="F24" s="5">
        <f t="shared" si="1"/>
        <v>777.49570540845912</v>
      </c>
      <c r="G24" s="6">
        <f t="shared" si="2"/>
        <v>69.756068124960379</v>
      </c>
      <c r="H24" s="5">
        <f t="shared" si="3"/>
        <v>-7.3065779857006259</v>
      </c>
      <c r="I24" s="105">
        <f t="shared" si="5"/>
        <v>11158508.152434804</v>
      </c>
      <c r="J24" s="255">
        <f t="shared" si="6"/>
        <v>-360067.55953224655</v>
      </c>
      <c r="K24" s="105">
        <f>I24*NPV!C27</f>
        <v>2353852.517538263</v>
      </c>
      <c r="L24" s="255">
        <f>J24*NPV!D27</f>
        <v>-182443.26129220717</v>
      </c>
      <c r="M24" s="17"/>
      <c r="N24" s="17"/>
      <c r="O24" s="17"/>
      <c r="P24" s="17"/>
      <c r="Q24" s="17"/>
      <c r="R24" s="17"/>
    </row>
    <row r="25" spans="1:18" ht="13.5" thickBot="1">
      <c r="A25" s="18">
        <f t="shared" si="4"/>
        <v>2044</v>
      </c>
      <c r="B25" s="245">
        <f>SUM(Flood_Safety!E32:G32)</f>
        <v>1722773253.5521588</v>
      </c>
      <c r="C25" s="6">
        <f>Flood_Safety!H32</f>
        <v>517296294.87790507</v>
      </c>
      <c r="D25" s="5">
        <f>Flood_Safety!I32</f>
        <v>187818245.64660579</v>
      </c>
      <c r="E25" s="6">
        <f t="shared" si="0"/>
        <v>-5304.8130902211233</v>
      </c>
      <c r="F25" s="5">
        <f t="shared" si="1"/>
        <v>881.64579540687419</v>
      </c>
      <c r="G25" s="6">
        <f t="shared" si="2"/>
        <v>79.096260298052314</v>
      </c>
      <c r="H25" s="5">
        <f t="shared" si="3"/>
        <v>-8.2869793097373829</v>
      </c>
      <c r="I25" s="105">
        <f t="shared" si="5"/>
        <v>12651632.028370639</v>
      </c>
      <c r="J25" s="255">
        <f t="shared" si="6"/>
        <v>-413775.42103724764</v>
      </c>
      <c r="K25" s="105">
        <f>I25*NPV!C28</f>
        <v>2494226.4912292063</v>
      </c>
      <c r="L25" s="255">
        <f>J25*NPV!D28</f>
        <v>-203550.08887630689</v>
      </c>
      <c r="M25" s="17"/>
      <c r="N25" s="17"/>
      <c r="O25" s="17"/>
      <c r="P25" s="17"/>
      <c r="Q25" s="17"/>
      <c r="R25" s="17"/>
    </row>
    <row r="26" spans="1:18" ht="13.5" thickTop="1">
      <c r="A26" s="478" t="s">
        <v>19</v>
      </c>
      <c r="B26" s="479"/>
      <c r="C26" s="479"/>
      <c r="D26" s="479"/>
      <c r="E26" s="479"/>
      <c r="F26" s="479"/>
      <c r="G26" s="479"/>
      <c r="H26" s="480"/>
      <c r="I26" s="186">
        <f>SUM(I6:I25)</f>
        <v>114508836.15286447</v>
      </c>
      <c r="J26" s="257">
        <f>SUM(J6:J25)</f>
        <v>-3370802.8732002815</v>
      </c>
      <c r="K26" s="186">
        <f>SUM(K6:K25)</f>
        <v>38332468.615130201</v>
      </c>
      <c r="L26" s="257">
        <f>SUM(L6:L25)</f>
        <v>-2023365.9693134213</v>
      </c>
      <c r="M26" s="17"/>
      <c r="N26" s="17"/>
      <c r="O26" s="17"/>
      <c r="P26" s="17"/>
      <c r="Q26" s="17"/>
      <c r="R26" s="17"/>
    </row>
    <row r="27" spans="1:18">
      <c r="A27" s="518" t="s">
        <v>215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19"/>
      <c r="M27" s="17"/>
      <c r="N27" s="17"/>
      <c r="O27" s="17"/>
      <c r="P27" s="17"/>
      <c r="Q27" s="17"/>
      <c r="R27" s="17"/>
    </row>
    <row r="28" spans="1:1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>
      <c r="A29" s="535" t="s">
        <v>216</v>
      </c>
      <c r="B29" s="535"/>
      <c r="C29" s="535"/>
      <c r="D29" s="535"/>
      <c r="E29" s="53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>
      <c r="A30" s="437" t="s">
        <v>29</v>
      </c>
      <c r="B30" s="535" t="s">
        <v>217</v>
      </c>
      <c r="C30" s="535"/>
      <c r="D30" s="535"/>
      <c r="E30" s="53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>
      <c r="A31" s="539"/>
      <c r="B31" s="121" t="s">
        <v>218</v>
      </c>
      <c r="C31" s="56" t="s">
        <v>219</v>
      </c>
      <c r="D31" s="56" t="s">
        <v>212</v>
      </c>
      <c r="E31" s="56" t="s">
        <v>214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>
      <c r="A32" s="41">
        <v>2025</v>
      </c>
      <c r="B32" s="324">
        <v>16500</v>
      </c>
      <c r="C32" s="325">
        <v>44900</v>
      </c>
      <c r="D32" s="324">
        <v>801700</v>
      </c>
      <c r="E32" s="325">
        <v>56</v>
      </c>
      <c r="F32" s="17"/>
      <c r="G32" s="17"/>
      <c r="H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>
      <c r="A33" s="41">
        <v>2026</v>
      </c>
      <c r="B33" s="324">
        <v>16800</v>
      </c>
      <c r="C33" s="325">
        <v>45700</v>
      </c>
      <c r="D33" s="324">
        <v>814500</v>
      </c>
      <c r="E33" s="325">
        <v>57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>
      <c r="A34" s="41">
        <v>2027</v>
      </c>
      <c r="B34" s="324">
        <v>17100</v>
      </c>
      <c r="C34" s="325">
        <v>46500</v>
      </c>
      <c r="D34" s="324">
        <v>827400</v>
      </c>
      <c r="E34" s="325">
        <v>58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>
      <c r="A35" s="41">
        <v>2028</v>
      </c>
      <c r="B35" s="324">
        <v>17400</v>
      </c>
      <c r="C35" s="325">
        <v>47300</v>
      </c>
      <c r="D35" s="324">
        <v>840600</v>
      </c>
      <c r="E35" s="325">
        <v>60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>
      <c r="A36" s="41">
        <v>2029</v>
      </c>
      <c r="B36" s="324">
        <v>17700</v>
      </c>
      <c r="C36" s="325">
        <v>48200</v>
      </c>
      <c r="D36" s="324">
        <v>854000</v>
      </c>
      <c r="E36" s="325">
        <v>61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>
      <c r="A37" s="41">
        <v>2030</v>
      </c>
      <c r="B37" s="324">
        <v>18100</v>
      </c>
      <c r="C37" s="325">
        <v>49100</v>
      </c>
      <c r="D37" s="324">
        <v>867600</v>
      </c>
      <c r="E37" s="325">
        <v>62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>
      <c r="A38" s="41">
        <v>2031</v>
      </c>
      <c r="B38" s="324">
        <v>18100</v>
      </c>
      <c r="C38" s="325">
        <v>49100</v>
      </c>
      <c r="D38" s="324">
        <v>867600</v>
      </c>
      <c r="E38" s="325">
        <v>63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>
      <c r="A39" s="41">
        <v>2032</v>
      </c>
      <c r="B39" s="324">
        <v>18100</v>
      </c>
      <c r="C39" s="325">
        <v>49100</v>
      </c>
      <c r="D39" s="324">
        <v>867600</v>
      </c>
      <c r="E39" s="325">
        <v>64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>
      <c r="A40" s="41">
        <v>2033</v>
      </c>
      <c r="B40" s="324">
        <v>18100</v>
      </c>
      <c r="C40" s="325">
        <v>49100</v>
      </c>
      <c r="D40" s="324">
        <v>867600</v>
      </c>
      <c r="E40" s="325">
        <v>65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>
      <c r="A41" s="41">
        <v>2034</v>
      </c>
      <c r="B41" s="324">
        <v>18100</v>
      </c>
      <c r="C41" s="325">
        <v>49100</v>
      </c>
      <c r="D41" s="324">
        <v>867600</v>
      </c>
      <c r="E41" s="325">
        <v>66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>
      <c r="A42" s="41">
        <v>2035</v>
      </c>
      <c r="B42" s="324">
        <v>18100</v>
      </c>
      <c r="C42" s="325">
        <v>49100</v>
      </c>
      <c r="D42" s="324">
        <v>867600</v>
      </c>
      <c r="E42" s="325">
        <v>67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>
      <c r="A43" s="41">
        <v>2036</v>
      </c>
      <c r="B43" s="324">
        <v>18100</v>
      </c>
      <c r="C43" s="325">
        <v>49100</v>
      </c>
      <c r="D43" s="324">
        <v>867600</v>
      </c>
      <c r="E43" s="325">
        <v>69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>
      <c r="A44" s="41">
        <v>2037</v>
      </c>
      <c r="B44" s="324">
        <v>18100</v>
      </c>
      <c r="C44" s="325">
        <v>49100</v>
      </c>
      <c r="D44" s="324">
        <v>867600</v>
      </c>
      <c r="E44" s="325">
        <v>70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>
      <c r="A45" s="41">
        <v>2038</v>
      </c>
      <c r="B45" s="324">
        <v>18100</v>
      </c>
      <c r="C45" s="325">
        <v>49100</v>
      </c>
      <c r="D45" s="324">
        <v>867600</v>
      </c>
      <c r="E45" s="325">
        <v>71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>
      <c r="A46" s="41">
        <v>2039</v>
      </c>
      <c r="B46" s="324">
        <v>18100</v>
      </c>
      <c r="C46" s="325">
        <v>49100</v>
      </c>
      <c r="D46" s="324">
        <v>867600</v>
      </c>
      <c r="E46" s="325">
        <v>72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>
      <c r="A47" s="41">
        <v>2040</v>
      </c>
      <c r="B47" s="324">
        <v>18100</v>
      </c>
      <c r="C47" s="325">
        <v>49100</v>
      </c>
      <c r="D47" s="324">
        <v>867600</v>
      </c>
      <c r="E47" s="325">
        <v>73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>
      <c r="A48" s="41">
        <v>2041</v>
      </c>
      <c r="B48" s="324">
        <v>18100</v>
      </c>
      <c r="C48" s="325">
        <v>49100</v>
      </c>
      <c r="D48" s="324">
        <v>867600</v>
      </c>
      <c r="E48" s="325">
        <v>74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>
      <c r="A49" s="41">
        <v>2042</v>
      </c>
      <c r="B49" s="324">
        <v>18100</v>
      </c>
      <c r="C49" s="325">
        <v>49100</v>
      </c>
      <c r="D49" s="324">
        <v>867600</v>
      </c>
      <c r="E49" s="325">
        <v>75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>
      <c r="A50" s="41">
        <v>2043</v>
      </c>
      <c r="B50" s="324">
        <v>18100</v>
      </c>
      <c r="C50" s="325">
        <v>49100</v>
      </c>
      <c r="D50" s="324">
        <v>867600</v>
      </c>
      <c r="E50" s="325">
        <v>77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>
      <c r="A51" s="41">
        <v>2044</v>
      </c>
      <c r="B51" s="324">
        <v>18100</v>
      </c>
      <c r="C51" s="325">
        <v>49100</v>
      </c>
      <c r="D51" s="324">
        <v>867600</v>
      </c>
      <c r="E51" s="325">
        <v>78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>
      <c r="A52" s="523" t="s">
        <v>220</v>
      </c>
      <c r="B52" s="524"/>
      <c r="C52" s="524"/>
      <c r="D52" s="524"/>
      <c r="E52" s="525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>
      <c r="A53" s="526" t="s">
        <v>221</v>
      </c>
      <c r="B53" s="527"/>
      <c r="C53" s="527"/>
      <c r="D53" s="527"/>
      <c r="E53" s="528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>
      <c r="A54" s="529" t="s">
        <v>222</v>
      </c>
      <c r="B54" s="530"/>
      <c r="C54" s="530"/>
      <c r="D54" s="530"/>
      <c r="E54" s="53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>
      <c r="A56" s="505" t="s">
        <v>223</v>
      </c>
      <c r="B56" s="510"/>
      <c r="C56" s="510"/>
      <c r="D56" s="50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>
      <c r="A57" s="178"/>
      <c r="B57" s="57" t="s">
        <v>224</v>
      </c>
      <c r="C57" s="57" t="s">
        <v>143</v>
      </c>
      <c r="D57" s="57" t="s">
        <v>144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>
      <c r="A58" s="179"/>
      <c r="B58" s="505" t="s">
        <v>214</v>
      </c>
      <c r="C58" s="510"/>
      <c r="D58" s="50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>
      <c r="A59" s="14" t="s">
        <v>225</v>
      </c>
      <c r="B59" s="60">
        <v>19.27</v>
      </c>
      <c r="C59" s="60">
        <v>26.88</v>
      </c>
      <c r="D59" s="60">
        <v>71.61</v>
      </c>
      <c r="E59" s="122" t="s">
        <v>226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>
      <c r="A60" s="14" t="s">
        <v>227</v>
      </c>
      <c r="B60" s="124">
        <f>B59/1.1015</f>
        <v>17.494325919201088</v>
      </c>
      <c r="C60" s="124">
        <f>C59/1.1015</f>
        <v>24.40308669995461</v>
      </c>
      <c r="D60" s="124">
        <f>D59/1.1015</f>
        <v>65.011348161597823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>
      <c r="A61" s="14"/>
      <c r="B61" s="505" t="s">
        <v>228</v>
      </c>
      <c r="C61" s="510"/>
      <c r="D61" s="50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>
      <c r="A62" s="14" t="s">
        <v>229</v>
      </c>
      <c r="B62" s="60">
        <v>0.53</v>
      </c>
      <c r="C62" s="60">
        <v>1.83</v>
      </c>
      <c r="D62" s="60">
        <v>10.17</v>
      </c>
      <c r="E62" s="62" t="s">
        <v>230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>
      <c r="A63" s="14" t="s">
        <v>227</v>
      </c>
      <c r="B63" s="124">
        <f>B62*1000/2204.62</f>
        <v>0.24040424200088906</v>
      </c>
      <c r="C63" s="124">
        <f t="shared" ref="C63:D63" si="7">C62*1000/2204.62</f>
        <v>0.83007502426722068</v>
      </c>
      <c r="D63" s="124">
        <f t="shared" si="7"/>
        <v>4.613039888960456</v>
      </c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>
      <c r="A64" s="14"/>
      <c r="B64" s="505" t="s">
        <v>231</v>
      </c>
      <c r="C64" s="510"/>
      <c r="D64" s="506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>
      <c r="A65" s="14" t="s">
        <v>232</v>
      </c>
      <c r="B65" s="60">
        <v>1.1639999999999999E-2</v>
      </c>
      <c r="C65" s="60">
        <v>1.6209999999999999E-2</v>
      </c>
      <c r="D65" s="60">
        <v>1.7999999999999999E-2</v>
      </c>
      <c r="E65" s="122" t="s">
        <v>233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>
      <c r="A66" s="14" t="s">
        <v>227</v>
      </c>
      <c r="B66" s="60">
        <f>B65/1000000*1000000</f>
        <v>1.1639999999999999E-2</v>
      </c>
      <c r="C66" s="60">
        <f t="shared" ref="C66:D66" si="8">C65/1000000*1000000</f>
        <v>1.6209999999999999E-2</v>
      </c>
      <c r="D66" s="60">
        <f t="shared" si="8"/>
        <v>1.7999999999999999E-2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>
      <c r="A67" s="14"/>
      <c r="B67" s="505" t="s">
        <v>234</v>
      </c>
      <c r="C67" s="510"/>
      <c r="D67" s="506"/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>
      <c r="A68" s="14" t="s">
        <v>235</v>
      </c>
      <c r="B68" s="60">
        <v>3.5000000000000003E-2</v>
      </c>
      <c r="C68" s="60">
        <v>0.125</v>
      </c>
      <c r="D68" s="60">
        <v>0.26500000000000001</v>
      </c>
      <c r="E68" s="122" t="s">
        <v>236</v>
      </c>
      <c r="F68" s="17"/>
      <c r="G68" s="17"/>
      <c r="H68" s="17"/>
      <c r="I68" s="32" t="s">
        <v>237</v>
      </c>
      <c r="J68" s="17"/>
      <c r="K68" s="17"/>
      <c r="L68" s="17"/>
      <c r="M68" s="17"/>
      <c r="N68" s="17"/>
      <c r="O68" s="17"/>
      <c r="P68" s="17"/>
      <c r="Q68" s="17"/>
      <c r="R68" s="17"/>
    </row>
    <row r="69" spans="1:18">
      <c r="A69" s="14" t="s">
        <v>227</v>
      </c>
      <c r="B69" s="123">
        <f>B68*1.60934/1.1015</f>
        <v>5.1136541080344995E-2</v>
      </c>
      <c r="C69" s="123">
        <f>C68*1.60934/1.1015</f>
        <v>0.18263050385837495</v>
      </c>
      <c r="D69" s="123">
        <f>D68*1.60934/1.1015</f>
        <v>0.38717666817975488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>
      <c r="A70" s="14"/>
      <c r="B70" s="505" t="s">
        <v>238</v>
      </c>
      <c r="C70" s="510"/>
      <c r="D70" s="506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>
      <c r="A71" s="14" t="s">
        <v>239</v>
      </c>
      <c r="B71" s="60">
        <v>7.4999999999999997E-2</v>
      </c>
      <c r="C71" s="60">
        <v>0.08</v>
      </c>
      <c r="D71" s="60">
        <v>1.1000000000000001</v>
      </c>
      <c r="E71" s="122" t="s">
        <v>236</v>
      </c>
      <c r="F71" s="17"/>
      <c r="G71" s="17"/>
      <c r="H71" s="17"/>
      <c r="I71" s="32" t="s">
        <v>237</v>
      </c>
      <c r="J71" s="17"/>
      <c r="K71" s="17"/>
      <c r="L71" s="17"/>
      <c r="M71" s="17"/>
      <c r="N71" s="17"/>
      <c r="O71" s="17"/>
      <c r="P71" s="17"/>
      <c r="Q71" s="17"/>
      <c r="R71" s="17"/>
    </row>
    <row r="72" spans="1:18">
      <c r="A72" s="14" t="s">
        <v>227</v>
      </c>
      <c r="B72" s="124">
        <f>B71*1.60934/1.1015</f>
        <v>0.10957830231502497</v>
      </c>
      <c r="C72" s="124">
        <f>C71*1.60934/1.1015</f>
        <v>0.11688352246935997</v>
      </c>
      <c r="D72" s="124">
        <f>D71*1.60934/1.1015</f>
        <v>1.6071484339536997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>
      <c r="A73" s="532" t="s">
        <v>240</v>
      </c>
      <c r="B73" s="533"/>
      <c r="C73" s="533"/>
      <c r="D73" s="534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>
      <c r="A74" s="493" t="s">
        <v>241</v>
      </c>
      <c r="B74" s="494"/>
      <c r="C74" s="494"/>
      <c r="D74" s="495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>
      <c r="A75" s="493" t="s">
        <v>242</v>
      </c>
      <c r="B75" s="494"/>
      <c r="C75" s="494"/>
      <c r="D75" s="495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>
      <c r="A76" s="493" t="s">
        <v>243</v>
      </c>
      <c r="B76" s="494"/>
      <c r="C76" s="494"/>
      <c r="D76" s="495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>
      <c r="A77" s="507" t="s">
        <v>244</v>
      </c>
      <c r="B77" s="508"/>
      <c r="C77" s="508"/>
      <c r="D77" s="50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s="17" customFormat="1"/>
    <row r="119" spans="1:18" s="17" customFormat="1"/>
    <row r="120" spans="1:18" s="17" customFormat="1"/>
    <row r="121" spans="1:18" s="17" customFormat="1"/>
    <row r="122" spans="1:18" s="17" customFormat="1"/>
    <row r="123" spans="1:18" s="17" customFormat="1"/>
    <row r="124" spans="1:18" s="17" customFormat="1"/>
    <row r="125" spans="1:18" s="17" customFormat="1"/>
    <row r="126" spans="1:18" s="17" customFormat="1"/>
    <row r="127" spans="1:18" s="17" customFormat="1"/>
    <row r="128" spans="1:1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pans="11:18" s="17" customFormat="1"/>
    <row r="306" spans="11:18" s="17" customFormat="1"/>
    <row r="307" spans="11:18" s="17" customFormat="1"/>
    <row r="308" spans="11:18" s="17" customFormat="1"/>
    <row r="309" spans="11:18" s="17" customFormat="1"/>
    <row r="310" spans="11:18" s="17" customFormat="1"/>
    <row r="311" spans="11:18" s="17" customFormat="1"/>
    <row r="312" spans="11:18" s="17" customFormat="1"/>
    <row r="313" spans="11:18" s="17" customFormat="1"/>
    <row r="318" spans="11:18">
      <c r="K318" s="17"/>
      <c r="L318" s="17"/>
      <c r="M318" s="17"/>
      <c r="N318" s="17"/>
      <c r="O318" s="17"/>
      <c r="P318" s="17"/>
      <c r="Q318" s="17"/>
      <c r="R318" s="17"/>
    </row>
    <row r="319" spans="11:18">
      <c r="K319" s="17"/>
      <c r="L319" s="17"/>
      <c r="M319" s="17"/>
      <c r="N319" s="17"/>
      <c r="O319" s="17"/>
      <c r="P319" s="17"/>
      <c r="Q319" s="17"/>
      <c r="R319" s="17"/>
    </row>
    <row r="320" spans="11:18">
      <c r="K320" s="17"/>
      <c r="L320" s="17"/>
      <c r="M320" s="17"/>
      <c r="N320" s="17"/>
      <c r="O320" s="17"/>
      <c r="P320" s="17"/>
      <c r="Q320" s="17"/>
      <c r="R320" s="17"/>
    </row>
    <row r="321" spans="11:18">
      <c r="K321" s="17"/>
      <c r="L321" s="17"/>
      <c r="M321" s="17"/>
      <c r="N321" s="17"/>
      <c r="O321" s="17"/>
      <c r="P321" s="17"/>
      <c r="Q321" s="17"/>
      <c r="R321" s="17"/>
    </row>
  </sheetData>
  <mergeCells count="26">
    <mergeCell ref="A29:E29"/>
    <mergeCell ref="B30:E30"/>
    <mergeCell ref="A3:A5"/>
    <mergeCell ref="B3:L3"/>
    <mergeCell ref="C4:D4"/>
    <mergeCell ref="E4:H4"/>
    <mergeCell ref="I4:J4"/>
    <mergeCell ref="K4:L4"/>
    <mergeCell ref="A26:H26"/>
    <mergeCell ref="B4:B5"/>
    <mergeCell ref="A30:A31"/>
    <mergeCell ref="A27:L27"/>
    <mergeCell ref="A77:D77"/>
    <mergeCell ref="A73:D73"/>
    <mergeCell ref="A74:D74"/>
    <mergeCell ref="B70:D70"/>
    <mergeCell ref="B67:D67"/>
    <mergeCell ref="A52:E52"/>
    <mergeCell ref="A53:E53"/>
    <mergeCell ref="A54:E54"/>
    <mergeCell ref="A75:D75"/>
    <mergeCell ref="A76:D76"/>
    <mergeCell ref="B64:D64"/>
    <mergeCell ref="B61:D61"/>
    <mergeCell ref="B58:D58"/>
    <mergeCell ref="A56:D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A425-FDC4-416F-A147-3446607F5BE6}">
  <sheetPr>
    <pageSetUpPr fitToPage="1"/>
  </sheetPr>
  <dimension ref="A1:SJ407"/>
  <sheetViews>
    <sheetView topLeftCell="A51" zoomScaleNormal="100" workbookViewId="0">
      <selection activeCell="E72" sqref="E72"/>
    </sheetView>
  </sheetViews>
  <sheetFormatPr defaultColWidth="8.85546875" defaultRowHeight="12.75"/>
  <cols>
    <col min="1" max="1" width="34.85546875" style="205" customWidth="1"/>
    <col min="2" max="2" width="14" style="205" customWidth="1"/>
    <col min="3" max="3" width="11.5703125" style="205" bestFit="1" customWidth="1"/>
    <col min="4" max="4" width="14" style="205" customWidth="1"/>
    <col min="5" max="5" width="10.5703125" style="205" customWidth="1"/>
    <col min="6" max="6" width="13.7109375" style="205" customWidth="1"/>
    <col min="7" max="8" width="12.5703125" style="205" customWidth="1"/>
    <col min="9" max="9" width="12.7109375" style="205" bestFit="1" customWidth="1"/>
    <col min="10" max="10" width="15.7109375" style="205" customWidth="1"/>
    <col min="11" max="11" width="14.85546875" style="205" bestFit="1" customWidth="1"/>
    <col min="12" max="12" width="19.28515625" style="205" customWidth="1"/>
    <col min="13" max="13" width="18.5703125" style="205" customWidth="1"/>
    <col min="14" max="14" width="14.140625" style="205" customWidth="1"/>
    <col min="15" max="15" width="13" style="205" bestFit="1" customWidth="1"/>
    <col min="16" max="16" width="14.42578125" style="205" customWidth="1"/>
    <col min="17" max="17" width="11" style="205" bestFit="1" customWidth="1"/>
    <col min="18" max="18" width="20.7109375" style="205" bestFit="1" customWidth="1"/>
    <col min="19" max="19" width="19.28515625" style="205" customWidth="1"/>
    <col min="20" max="20" width="11.140625" style="205" customWidth="1"/>
    <col min="21" max="21" width="19" style="205" bestFit="1" customWidth="1"/>
    <col min="22" max="23" width="11.7109375" style="205" customWidth="1"/>
    <col min="24" max="25" width="18.140625" style="205" bestFit="1" customWidth="1"/>
    <col min="26" max="26" width="12.42578125" style="205" customWidth="1"/>
    <col min="27" max="27" width="10.7109375" style="205" customWidth="1"/>
    <col min="28" max="28" width="16.140625" style="205" customWidth="1"/>
    <col min="29" max="31" width="15.7109375" style="205" customWidth="1"/>
    <col min="32" max="504" width="8.85546875" style="23"/>
    <col min="505" max="16384" width="8.85546875" style="205"/>
  </cols>
  <sheetData>
    <row r="1" spans="1:504" s="23" customFormat="1" ht="20.25">
      <c r="A1" s="26" t="s">
        <v>245</v>
      </c>
    </row>
    <row r="2" spans="1:50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504" ht="18">
      <c r="A3" s="49" t="s">
        <v>246</v>
      </c>
      <c r="B3" s="23"/>
      <c r="C3" s="20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50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504" ht="13.15" customHeight="1">
      <c r="A5" s="546" t="s">
        <v>29</v>
      </c>
      <c r="B5" s="540" t="s">
        <v>247</v>
      </c>
      <c r="C5" s="541"/>
      <c r="D5" s="505" t="s">
        <v>248</v>
      </c>
      <c r="E5" s="510"/>
      <c r="F5" s="510"/>
      <c r="G5" s="506"/>
      <c r="H5" s="540" t="s">
        <v>249</v>
      </c>
      <c r="I5" s="541"/>
      <c r="J5" s="549" t="s">
        <v>250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SC5" s="205"/>
      <c r="SD5" s="205"/>
      <c r="SE5" s="205"/>
      <c r="SF5" s="205"/>
      <c r="SG5" s="205"/>
      <c r="SH5" s="205"/>
      <c r="SI5" s="205"/>
      <c r="SJ5" s="205"/>
    </row>
    <row r="6" spans="1:504" ht="26.45" customHeight="1">
      <c r="A6" s="547"/>
      <c r="B6" s="542"/>
      <c r="C6" s="543"/>
      <c r="D6" s="552" t="s">
        <v>251</v>
      </c>
      <c r="E6" s="553"/>
      <c r="F6" s="554" t="s">
        <v>252</v>
      </c>
      <c r="G6" s="554"/>
      <c r="H6" s="542"/>
      <c r="I6" s="543"/>
      <c r="J6" s="5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SC6" s="205"/>
      <c r="SD6" s="205"/>
      <c r="SE6" s="205"/>
      <c r="SF6" s="205"/>
      <c r="SG6" s="205"/>
      <c r="SH6" s="205"/>
      <c r="SI6" s="205"/>
      <c r="SJ6" s="205"/>
    </row>
    <row r="7" spans="1:504" ht="40.5" customHeight="1" thickBot="1">
      <c r="A7" s="548"/>
      <c r="B7" s="207" t="s">
        <v>253</v>
      </c>
      <c r="C7" s="207" t="s">
        <v>199</v>
      </c>
      <c r="D7" s="207" t="s">
        <v>253</v>
      </c>
      <c r="E7" s="207" t="s">
        <v>199</v>
      </c>
      <c r="F7" s="207" t="s">
        <v>253</v>
      </c>
      <c r="G7" s="207" t="s">
        <v>199</v>
      </c>
      <c r="H7" s="208" t="s">
        <v>253</v>
      </c>
      <c r="I7" s="208" t="s">
        <v>199</v>
      </c>
      <c r="J7" s="551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SC7" s="205"/>
      <c r="SD7" s="205"/>
      <c r="SE7" s="205"/>
      <c r="SF7" s="205"/>
      <c r="SG7" s="205"/>
      <c r="SH7" s="205"/>
      <c r="SI7" s="205"/>
      <c r="SJ7" s="205"/>
    </row>
    <row r="8" spans="1:504" ht="13.5" thickTop="1">
      <c r="A8" s="209">
        <v>2024</v>
      </c>
      <c r="B8" s="210">
        <f>D68</f>
        <v>22138</v>
      </c>
      <c r="C8" s="211">
        <f>C68</f>
        <v>685</v>
      </c>
      <c r="D8" s="210"/>
      <c r="E8" s="211"/>
      <c r="F8" s="210"/>
      <c r="G8" s="211"/>
      <c r="H8" s="210"/>
      <c r="I8" s="212"/>
      <c r="J8" s="326">
        <f>(H8*$B$115)+(I8*$B$114)</f>
        <v>0</v>
      </c>
      <c r="K8" s="25"/>
      <c r="L8" s="25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SC8" s="205"/>
      <c r="SD8" s="205"/>
      <c r="SE8" s="205"/>
      <c r="SF8" s="205"/>
      <c r="SG8" s="205"/>
      <c r="SH8" s="205"/>
      <c r="SI8" s="205"/>
      <c r="SJ8" s="205"/>
    </row>
    <row r="9" spans="1:504">
      <c r="A9" s="209">
        <f t="shared" ref="A9:A27" si="0">A8+1</f>
        <v>2025</v>
      </c>
      <c r="B9" s="210">
        <f>D69</f>
        <v>22281</v>
      </c>
      <c r="C9" s="211">
        <f>C69</f>
        <v>689</v>
      </c>
      <c r="D9" s="210">
        <f>G69</f>
        <v>5996.0181818181818</v>
      </c>
      <c r="E9" s="211">
        <f>F69</f>
        <v>185</v>
      </c>
      <c r="F9" s="210">
        <f>M69</f>
        <v>1782.6000000000001</v>
      </c>
      <c r="G9" s="211">
        <f>L69</f>
        <v>55</v>
      </c>
      <c r="H9" s="210">
        <f t="shared" ref="H9:I9" si="1">F9-D9</f>
        <v>-4213.4181818181814</v>
      </c>
      <c r="I9" s="212">
        <f t="shared" si="1"/>
        <v>-130</v>
      </c>
      <c r="J9" s="326">
        <f>(H9*$B$115)+(I9*$B$114)</f>
        <v>-79158.843636363628</v>
      </c>
      <c r="K9" s="25"/>
      <c r="L9" s="2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SC9" s="205"/>
      <c r="SD9" s="205"/>
      <c r="SE9" s="205"/>
      <c r="SF9" s="205"/>
      <c r="SG9" s="205"/>
      <c r="SH9" s="205"/>
      <c r="SI9" s="205"/>
      <c r="SJ9" s="205"/>
    </row>
    <row r="10" spans="1:504">
      <c r="A10" s="209">
        <f t="shared" si="0"/>
        <v>2026</v>
      </c>
      <c r="B10" s="210">
        <f t="shared" ref="B10:B28" si="2">D70</f>
        <v>22425</v>
      </c>
      <c r="C10" s="211">
        <f t="shared" ref="C10:C28" si="3">C70</f>
        <v>694</v>
      </c>
      <c r="D10" s="210">
        <f t="shared" ref="D10:D28" si="4">G70</f>
        <v>6034.1127272727272</v>
      </c>
      <c r="E10" s="211">
        <f t="shared" ref="E10:E28" si="5">F70</f>
        <v>187</v>
      </c>
      <c r="F10" s="210">
        <f t="shared" ref="F10:F28" si="6">M70</f>
        <v>1794.52</v>
      </c>
      <c r="G10" s="211">
        <f t="shared" ref="G10:G28" si="7">L70</f>
        <v>55</v>
      </c>
      <c r="H10" s="210">
        <f t="shared" ref="H10:H28" si="8">F10-D10</f>
        <v>-4239.5927272727276</v>
      </c>
      <c r="I10" s="212">
        <f t="shared" ref="I10:I28" si="9">G10-E10</f>
        <v>-132</v>
      </c>
      <c r="J10" s="326">
        <f t="shared" ref="J10:J28" si="10">(H10*$B$115)+(I10*$B$114)</f>
        <v>-79688.750545454561</v>
      </c>
      <c r="K10" s="25"/>
      <c r="L10" s="2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SC10" s="205"/>
      <c r="SD10" s="205"/>
      <c r="SE10" s="205"/>
      <c r="SF10" s="205"/>
      <c r="SG10" s="205"/>
      <c r="SH10" s="205"/>
      <c r="SI10" s="205"/>
      <c r="SJ10" s="205"/>
    </row>
    <row r="11" spans="1:504">
      <c r="A11" s="209">
        <f t="shared" si="0"/>
        <v>2027</v>
      </c>
      <c r="B11" s="210">
        <f t="shared" si="2"/>
        <v>22570</v>
      </c>
      <c r="C11" s="211">
        <f t="shared" si="3"/>
        <v>698</v>
      </c>
      <c r="D11" s="210">
        <f t="shared" si="4"/>
        <v>6073.2072727272734</v>
      </c>
      <c r="E11" s="211">
        <f t="shared" si="5"/>
        <v>188</v>
      </c>
      <c r="F11" s="210">
        <f t="shared" si="6"/>
        <v>1805.44</v>
      </c>
      <c r="G11" s="211">
        <f t="shared" si="7"/>
        <v>56</v>
      </c>
      <c r="H11" s="210">
        <f t="shared" si="8"/>
        <v>-4267.7672727272729</v>
      </c>
      <c r="I11" s="212">
        <f t="shared" si="9"/>
        <v>-132</v>
      </c>
      <c r="J11" s="326">
        <f t="shared" si="10"/>
        <v>-80190.257454545455</v>
      </c>
      <c r="K11" s="25"/>
      <c r="L11" s="2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SC11" s="205"/>
      <c r="SD11" s="205"/>
      <c r="SE11" s="205"/>
      <c r="SF11" s="205"/>
      <c r="SG11" s="205"/>
      <c r="SH11" s="205"/>
      <c r="SI11" s="205"/>
      <c r="SJ11" s="205"/>
    </row>
    <row r="12" spans="1:504">
      <c r="A12" s="209">
        <f t="shared" si="0"/>
        <v>2028</v>
      </c>
      <c r="B12" s="210">
        <f t="shared" si="2"/>
        <v>22715</v>
      </c>
      <c r="C12" s="211">
        <f t="shared" si="3"/>
        <v>703</v>
      </c>
      <c r="D12" s="210">
        <f t="shared" si="4"/>
        <v>6112.5709090909095</v>
      </c>
      <c r="E12" s="211">
        <f t="shared" si="5"/>
        <v>189</v>
      </c>
      <c r="F12" s="210">
        <f t="shared" si="6"/>
        <v>1817.44</v>
      </c>
      <c r="G12" s="211">
        <f t="shared" si="7"/>
        <v>56</v>
      </c>
      <c r="H12" s="210">
        <f t="shared" si="8"/>
        <v>-4295.130909090909</v>
      </c>
      <c r="I12" s="212">
        <f t="shared" si="9"/>
        <v>-133</v>
      </c>
      <c r="J12" s="326">
        <f t="shared" si="10"/>
        <v>-80709.330181818179</v>
      </c>
      <c r="K12" s="25"/>
      <c r="L12" s="2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SC12" s="205"/>
      <c r="SD12" s="205"/>
      <c r="SE12" s="205"/>
      <c r="SF12" s="205"/>
      <c r="SG12" s="205"/>
      <c r="SH12" s="205"/>
      <c r="SI12" s="205"/>
      <c r="SJ12" s="205"/>
    </row>
    <row r="13" spans="1:504">
      <c r="A13" s="209">
        <f t="shared" si="0"/>
        <v>2029</v>
      </c>
      <c r="B13" s="210">
        <f t="shared" si="2"/>
        <v>22862</v>
      </c>
      <c r="C13" s="211">
        <f t="shared" si="3"/>
        <v>707</v>
      </c>
      <c r="D13" s="210">
        <f t="shared" si="4"/>
        <v>6152.2036363636371</v>
      </c>
      <c r="E13" s="211">
        <f t="shared" si="5"/>
        <v>190</v>
      </c>
      <c r="F13" s="210">
        <f t="shared" si="6"/>
        <v>1828.52</v>
      </c>
      <c r="G13" s="211">
        <f t="shared" si="7"/>
        <v>57</v>
      </c>
      <c r="H13" s="210">
        <f t="shared" si="8"/>
        <v>-4323.6836363636376</v>
      </c>
      <c r="I13" s="212">
        <f t="shared" si="9"/>
        <v>-133</v>
      </c>
      <c r="J13" s="326">
        <f t="shared" si="10"/>
        <v>-81217.568727272752</v>
      </c>
      <c r="K13" s="25"/>
      <c r="L13" s="2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SC13" s="205"/>
      <c r="SD13" s="205"/>
      <c r="SE13" s="205"/>
      <c r="SF13" s="205"/>
      <c r="SG13" s="205"/>
      <c r="SH13" s="205"/>
      <c r="SI13" s="205"/>
      <c r="SJ13" s="205"/>
    </row>
    <row r="14" spans="1:504">
      <c r="A14" s="209">
        <f t="shared" si="0"/>
        <v>2030</v>
      </c>
      <c r="B14" s="210">
        <f t="shared" si="2"/>
        <v>23010</v>
      </c>
      <c r="C14" s="211">
        <f t="shared" si="3"/>
        <v>712</v>
      </c>
      <c r="D14" s="210">
        <f t="shared" si="4"/>
        <v>6191.374545454546</v>
      </c>
      <c r="E14" s="211">
        <f t="shared" si="5"/>
        <v>192</v>
      </c>
      <c r="F14" s="210">
        <f t="shared" si="6"/>
        <v>1840.76</v>
      </c>
      <c r="G14" s="211">
        <f t="shared" si="7"/>
        <v>57</v>
      </c>
      <c r="H14" s="210">
        <f t="shared" si="8"/>
        <v>-4350.6145454545458</v>
      </c>
      <c r="I14" s="212">
        <f t="shared" si="9"/>
        <v>-135</v>
      </c>
      <c r="J14" s="326">
        <f t="shared" si="10"/>
        <v>-81760.938909090924</v>
      </c>
      <c r="K14" s="25"/>
      <c r="L14" s="2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SC14" s="205"/>
      <c r="SD14" s="205"/>
      <c r="SE14" s="205"/>
      <c r="SF14" s="205"/>
      <c r="SG14" s="205"/>
      <c r="SH14" s="205"/>
      <c r="SI14" s="205"/>
      <c r="SJ14" s="205"/>
    </row>
    <row r="15" spans="1:504">
      <c r="A15" s="209">
        <f t="shared" si="0"/>
        <v>2031</v>
      </c>
      <c r="B15" s="210">
        <f t="shared" si="2"/>
        <v>23159</v>
      </c>
      <c r="C15" s="211">
        <f t="shared" si="3"/>
        <v>716</v>
      </c>
      <c r="D15" s="210">
        <f t="shared" si="4"/>
        <v>6231.545454545455</v>
      </c>
      <c r="E15" s="211">
        <f t="shared" si="5"/>
        <v>193</v>
      </c>
      <c r="F15" s="210">
        <f t="shared" si="6"/>
        <v>1853</v>
      </c>
      <c r="G15" s="211">
        <f t="shared" si="7"/>
        <v>57</v>
      </c>
      <c r="H15" s="210">
        <f t="shared" si="8"/>
        <v>-4378.545454545455</v>
      </c>
      <c r="I15" s="212">
        <f t="shared" si="9"/>
        <v>-136</v>
      </c>
      <c r="J15" s="326">
        <f t="shared" si="10"/>
        <v>-82290.1090909091</v>
      </c>
      <c r="K15" s="25"/>
      <c r="L15" s="25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SC15" s="205"/>
      <c r="SD15" s="205"/>
      <c r="SE15" s="205"/>
      <c r="SF15" s="205"/>
      <c r="SG15" s="205"/>
      <c r="SH15" s="205"/>
      <c r="SI15" s="205"/>
      <c r="SJ15" s="205"/>
    </row>
    <row r="16" spans="1:504">
      <c r="A16" s="209">
        <f t="shared" si="0"/>
        <v>2032</v>
      </c>
      <c r="B16" s="210">
        <f t="shared" si="2"/>
        <v>23308</v>
      </c>
      <c r="C16" s="211">
        <f t="shared" si="3"/>
        <v>721</v>
      </c>
      <c r="D16" s="210">
        <f t="shared" si="4"/>
        <v>6271.9854545454546</v>
      </c>
      <c r="E16" s="211">
        <f t="shared" si="5"/>
        <v>194</v>
      </c>
      <c r="F16" s="210">
        <f t="shared" si="6"/>
        <v>1864.32</v>
      </c>
      <c r="G16" s="211">
        <f t="shared" si="7"/>
        <v>58</v>
      </c>
      <c r="H16" s="210">
        <f t="shared" si="8"/>
        <v>-4407.6654545454548</v>
      </c>
      <c r="I16" s="212">
        <f t="shared" si="9"/>
        <v>-136</v>
      </c>
      <c r="J16" s="326">
        <f t="shared" si="10"/>
        <v>-82808.445090909096</v>
      </c>
      <c r="K16" s="25"/>
      <c r="L16" s="25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SC16" s="205"/>
      <c r="SD16" s="205"/>
      <c r="SE16" s="205"/>
      <c r="SF16" s="205"/>
      <c r="SG16" s="205"/>
      <c r="SH16" s="205"/>
      <c r="SI16" s="205"/>
      <c r="SJ16" s="205"/>
    </row>
    <row r="17" spans="1:504">
      <c r="A17" s="209">
        <f t="shared" si="0"/>
        <v>2033</v>
      </c>
      <c r="B17" s="210">
        <f t="shared" si="2"/>
        <v>23458</v>
      </c>
      <c r="C17" s="211">
        <f t="shared" si="3"/>
        <v>726</v>
      </c>
      <c r="D17" s="210">
        <f t="shared" si="4"/>
        <v>6312.6945454545457</v>
      </c>
      <c r="E17" s="211">
        <f t="shared" si="5"/>
        <v>195</v>
      </c>
      <c r="F17" s="210">
        <f t="shared" si="6"/>
        <v>1876.72</v>
      </c>
      <c r="G17" s="211">
        <f t="shared" si="7"/>
        <v>58</v>
      </c>
      <c r="H17" s="210">
        <f t="shared" si="8"/>
        <v>-4435.9745454545455</v>
      </c>
      <c r="I17" s="212">
        <f t="shared" si="9"/>
        <v>-137</v>
      </c>
      <c r="J17" s="326">
        <f t="shared" si="10"/>
        <v>-83344.346909090906</v>
      </c>
      <c r="K17" s="25"/>
      <c r="L17" s="2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SC17" s="205"/>
      <c r="SD17" s="205"/>
      <c r="SE17" s="205"/>
      <c r="SF17" s="205"/>
      <c r="SG17" s="205"/>
      <c r="SH17" s="205"/>
      <c r="SI17" s="205"/>
      <c r="SJ17" s="205"/>
    </row>
    <row r="18" spans="1:504">
      <c r="A18" s="209">
        <f t="shared" si="0"/>
        <v>2034</v>
      </c>
      <c r="B18" s="210">
        <f t="shared" si="2"/>
        <v>23610</v>
      </c>
      <c r="C18" s="211">
        <f t="shared" si="3"/>
        <v>730</v>
      </c>
      <c r="D18" s="210">
        <f t="shared" si="4"/>
        <v>6353.6727272727276</v>
      </c>
      <c r="E18" s="211">
        <f t="shared" si="5"/>
        <v>196</v>
      </c>
      <c r="F18" s="210">
        <f t="shared" si="6"/>
        <v>1889.2</v>
      </c>
      <c r="G18" s="211">
        <f t="shared" si="7"/>
        <v>58</v>
      </c>
      <c r="H18" s="210">
        <f t="shared" si="8"/>
        <v>-4464.4727272727278</v>
      </c>
      <c r="I18" s="212">
        <f t="shared" si="9"/>
        <v>-138</v>
      </c>
      <c r="J18" s="326">
        <f t="shared" si="10"/>
        <v>-83883.614545454562</v>
      </c>
      <c r="K18" s="25"/>
      <c r="L18" s="2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SC18" s="205"/>
      <c r="SD18" s="205"/>
      <c r="SE18" s="205"/>
      <c r="SF18" s="205"/>
      <c r="SG18" s="205"/>
      <c r="SH18" s="205"/>
      <c r="SI18" s="205"/>
      <c r="SJ18" s="205"/>
    </row>
    <row r="19" spans="1:504">
      <c r="A19" s="209">
        <f t="shared" si="0"/>
        <v>2035</v>
      </c>
      <c r="B19" s="210">
        <f t="shared" si="2"/>
        <v>23763</v>
      </c>
      <c r="C19" s="211">
        <f t="shared" si="3"/>
        <v>735</v>
      </c>
      <c r="D19" s="210">
        <f t="shared" si="4"/>
        <v>6394.1890909090916</v>
      </c>
      <c r="E19" s="211">
        <f t="shared" si="5"/>
        <v>198</v>
      </c>
      <c r="F19" s="210">
        <f t="shared" si="6"/>
        <v>1900.8400000000001</v>
      </c>
      <c r="G19" s="211">
        <f t="shared" si="7"/>
        <v>59</v>
      </c>
      <c r="H19" s="210">
        <f t="shared" si="8"/>
        <v>-4493.3490909090915</v>
      </c>
      <c r="I19" s="212">
        <f t="shared" si="9"/>
        <v>-139</v>
      </c>
      <c r="J19" s="326">
        <f t="shared" si="10"/>
        <v>-84429.613818181839</v>
      </c>
      <c r="K19" s="25"/>
      <c r="L19" s="2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SC19" s="205"/>
      <c r="SD19" s="205"/>
      <c r="SE19" s="205"/>
      <c r="SF19" s="205"/>
      <c r="SG19" s="205"/>
      <c r="SH19" s="205"/>
      <c r="SI19" s="205"/>
      <c r="SJ19" s="205"/>
    </row>
    <row r="20" spans="1:504">
      <c r="A20" s="209">
        <f t="shared" si="0"/>
        <v>2036</v>
      </c>
      <c r="B20" s="210">
        <f t="shared" si="2"/>
        <v>23916</v>
      </c>
      <c r="C20" s="211">
        <f t="shared" si="3"/>
        <v>740</v>
      </c>
      <c r="D20" s="210">
        <f t="shared" si="4"/>
        <v>6435.7054545454548</v>
      </c>
      <c r="E20" s="211">
        <f t="shared" si="5"/>
        <v>199</v>
      </c>
      <c r="F20" s="210">
        <f t="shared" si="6"/>
        <v>1913.48</v>
      </c>
      <c r="G20" s="211">
        <f t="shared" si="7"/>
        <v>59</v>
      </c>
      <c r="H20" s="210">
        <f t="shared" si="8"/>
        <v>-4522.2254545454543</v>
      </c>
      <c r="I20" s="212">
        <f t="shared" si="9"/>
        <v>-140</v>
      </c>
      <c r="J20" s="326">
        <f t="shared" si="10"/>
        <v>-84975.613090909086</v>
      </c>
      <c r="K20" s="25"/>
      <c r="L20" s="2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SC20" s="205"/>
      <c r="SD20" s="205"/>
      <c r="SE20" s="205"/>
      <c r="SF20" s="205"/>
      <c r="SG20" s="205"/>
      <c r="SH20" s="205"/>
      <c r="SI20" s="205"/>
      <c r="SJ20" s="205"/>
    </row>
    <row r="21" spans="1:504">
      <c r="A21" s="209">
        <f t="shared" si="0"/>
        <v>2037</v>
      </c>
      <c r="B21" s="210">
        <f t="shared" si="2"/>
        <v>24071</v>
      </c>
      <c r="C21" s="211">
        <f t="shared" si="3"/>
        <v>744</v>
      </c>
      <c r="D21" s="210">
        <f t="shared" si="4"/>
        <v>6477.4909090909096</v>
      </c>
      <c r="E21" s="211">
        <f t="shared" si="5"/>
        <v>200</v>
      </c>
      <c r="F21" s="210">
        <f t="shared" si="6"/>
        <v>1925.2</v>
      </c>
      <c r="G21" s="211">
        <f t="shared" si="7"/>
        <v>60</v>
      </c>
      <c r="H21" s="210">
        <f t="shared" si="8"/>
        <v>-4552.2909090909097</v>
      </c>
      <c r="I21" s="212">
        <f t="shared" si="9"/>
        <v>-140</v>
      </c>
      <c r="J21" s="326">
        <f t="shared" si="10"/>
        <v>-85510.778181818197</v>
      </c>
      <c r="K21" s="25"/>
      <c r="L21" s="2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SC21" s="205"/>
      <c r="SD21" s="205"/>
      <c r="SE21" s="205"/>
      <c r="SF21" s="205"/>
      <c r="SG21" s="205"/>
      <c r="SH21" s="205"/>
      <c r="SI21" s="205"/>
      <c r="SJ21" s="205"/>
    </row>
    <row r="22" spans="1:504">
      <c r="A22" s="209">
        <f t="shared" si="0"/>
        <v>2038</v>
      </c>
      <c r="B22" s="210">
        <f t="shared" si="2"/>
        <v>24226</v>
      </c>
      <c r="C22" s="211">
        <f t="shared" si="3"/>
        <v>749</v>
      </c>
      <c r="D22" s="210">
        <f t="shared" si="4"/>
        <v>6518.545454545455</v>
      </c>
      <c r="E22" s="211">
        <f t="shared" si="5"/>
        <v>202</v>
      </c>
      <c r="F22" s="210">
        <f t="shared" si="6"/>
        <v>1938</v>
      </c>
      <c r="G22" s="211">
        <f t="shared" si="7"/>
        <v>60</v>
      </c>
      <c r="H22" s="210">
        <f t="shared" si="8"/>
        <v>-4580.545454545455</v>
      </c>
      <c r="I22" s="212">
        <f t="shared" si="9"/>
        <v>-142</v>
      </c>
      <c r="J22" s="326">
        <f t="shared" si="10"/>
        <v>-86077.709090909106</v>
      </c>
      <c r="K22" s="25"/>
      <c r="L22" s="2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SC22" s="205"/>
      <c r="SD22" s="205"/>
      <c r="SE22" s="205"/>
      <c r="SF22" s="205"/>
      <c r="SG22" s="205"/>
      <c r="SH22" s="205"/>
      <c r="SI22" s="205"/>
      <c r="SJ22" s="205"/>
    </row>
    <row r="23" spans="1:504">
      <c r="A23" s="209">
        <f t="shared" si="0"/>
        <v>2039</v>
      </c>
      <c r="B23" s="210">
        <f t="shared" si="2"/>
        <v>24383</v>
      </c>
      <c r="C23" s="211">
        <f t="shared" si="3"/>
        <v>754</v>
      </c>
      <c r="D23" s="210">
        <f t="shared" si="4"/>
        <v>6561.1381818181817</v>
      </c>
      <c r="E23" s="211">
        <f t="shared" si="5"/>
        <v>203</v>
      </c>
      <c r="F23" s="210">
        <f t="shared" si="6"/>
        <v>1950.96</v>
      </c>
      <c r="G23" s="211">
        <f t="shared" si="7"/>
        <v>60</v>
      </c>
      <c r="H23" s="210">
        <f t="shared" si="8"/>
        <v>-4610.1781818181817</v>
      </c>
      <c r="I23" s="212">
        <f t="shared" si="9"/>
        <v>-143</v>
      </c>
      <c r="J23" s="326">
        <f t="shared" si="10"/>
        <v>-86637.171636363637</v>
      </c>
      <c r="K23" s="25"/>
      <c r="L23" s="2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SC23" s="205"/>
      <c r="SD23" s="205"/>
      <c r="SE23" s="205"/>
      <c r="SF23" s="205"/>
      <c r="SG23" s="205"/>
      <c r="SH23" s="205"/>
      <c r="SI23" s="205"/>
      <c r="SJ23" s="205"/>
    </row>
    <row r="24" spans="1:504">
      <c r="A24" s="209">
        <f t="shared" si="0"/>
        <v>2040</v>
      </c>
      <c r="B24" s="210">
        <f t="shared" si="2"/>
        <v>24540</v>
      </c>
      <c r="C24" s="211">
        <f t="shared" si="3"/>
        <v>759</v>
      </c>
      <c r="D24" s="210">
        <f t="shared" si="4"/>
        <v>6603.7309090909093</v>
      </c>
      <c r="E24" s="211">
        <f t="shared" si="5"/>
        <v>204</v>
      </c>
      <c r="F24" s="210">
        <f t="shared" si="6"/>
        <v>1962.92</v>
      </c>
      <c r="G24" s="211">
        <f t="shared" si="7"/>
        <v>61</v>
      </c>
      <c r="H24" s="210">
        <f t="shared" si="8"/>
        <v>-4640.8109090909093</v>
      </c>
      <c r="I24" s="212">
        <f t="shared" si="9"/>
        <v>-143</v>
      </c>
      <c r="J24" s="326">
        <f t="shared" si="10"/>
        <v>-87182.434181818186</v>
      </c>
      <c r="K24" s="25"/>
      <c r="L24" s="2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SC24" s="205"/>
      <c r="SD24" s="205"/>
      <c r="SE24" s="205"/>
      <c r="SF24" s="205"/>
      <c r="SG24" s="205"/>
      <c r="SH24" s="205"/>
      <c r="SI24" s="205"/>
      <c r="SJ24" s="205"/>
    </row>
    <row r="25" spans="1:504">
      <c r="A25" s="209">
        <f t="shared" si="0"/>
        <v>2041</v>
      </c>
      <c r="B25" s="210">
        <f t="shared" si="2"/>
        <v>24698</v>
      </c>
      <c r="C25" s="211">
        <f t="shared" si="3"/>
        <v>764</v>
      </c>
      <c r="D25" s="210">
        <f t="shared" si="4"/>
        <v>6645.5927272727276</v>
      </c>
      <c r="E25" s="211">
        <f t="shared" si="5"/>
        <v>206</v>
      </c>
      <c r="F25" s="210">
        <f t="shared" si="6"/>
        <v>1975.96</v>
      </c>
      <c r="G25" s="211">
        <f t="shared" si="7"/>
        <v>61</v>
      </c>
      <c r="H25" s="210">
        <f t="shared" si="8"/>
        <v>-4669.6327272727276</v>
      </c>
      <c r="I25" s="212">
        <f t="shared" si="9"/>
        <v>-145</v>
      </c>
      <c r="J25" s="326">
        <f t="shared" si="10"/>
        <v>-87759.46254545456</v>
      </c>
      <c r="K25" s="25"/>
      <c r="L25" s="2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SC25" s="205"/>
      <c r="SD25" s="205"/>
      <c r="SE25" s="205"/>
      <c r="SF25" s="205"/>
      <c r="SG25" s="205"/>
      <c r="SH25" s="205"/>
      <c r="SI25" s="205"/>
      <c r="SJ25" s="205"/>
    </row>
    <row r="26" spans="1:504">
      <c r="A26" s="209">
        <f t="shared" si="0"/>
        <v>2042</v>
      </c>
      <c r="B26" s="210">
        <f t="shared" si="2"/>
        <v>24858</v>
      </c>
      <c r="C26" s="211">
        <f t="shared" si="3"/>
        <v>769</v>
      </c>
      <c r="D26" s="210">
        <f t="shared" si="4"/>
        <v>6688.9927272727273</v>
      </c>
      <c r="E26" s="211">
        <f t="shared" si="5"/>
        <v>207</v>
      </c>
      <c r="F26" s="210">
        <f t="shared" si="6"/>
        <v>1988.1599999999999</v>
      </c>
      <c r="G26" s="211">
        <f t="shared" si="7"/>
        <v>62</v>
      </c>
      <c r="H26" s="210">
        <f t="shared" si="8"/>
        <v>-4700.8327272727274</v>
      </c>
      <c r="I26" s="212">
        <f t="shared" si="9"/>
        <v>-145</v>
      </c>
      <c r="J26" s="326">
        <f t="shared" si="10"/>
        <v>-88314.822545454546</v>
      </c>
      <c r="K26" s="25"/>
      <c r="L26" s="2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SC26" s="205"/>
      <c r="SD26" s="205"/>
      <c r="SE26" s="205"/>
      <c r="SF26" s="205"/>
      <c r="SG26" s="205"/>
      <c r="SH26" s="205"/>
      <c r="SI26" s="205"/>
      <c r="SJ26" s="205"/>
    </row>
    <row r="27" spans="1:504">
      <c r="A27" s="209">
        <f t="shared" si="0"/>
        <v>2043</v>
      </c>
      <c r="B27" s="210">
        <f t="shared" si="2"/>
        <v>25018</v>
      </c>
      <c r="C27" s="211">
        <f t="shared" si="3"/>
        <v>774</v>
      </c>
      <c r="D27" s="210">
        <f t="shared" si="4"/>
        <v>6732.3927272727278</v>
      </c>
      <c r="E27" s="211">
        <f t="shared" si="5"/>
        <v>208</v>
      </c>
      <c r="F27" s="210">
        <f t="shared" si="6"/>
        <v>2001.3600000000001</v>
      </c>
      <c r="G27" s="211">
        <f t="shared" si="7"/>
        <v>62</v>
      </c>
      <c r="H27" s="210">
        <f t="shared" si="8"/>
        <v>-4731.0327272727282</v>
      </c>
      <c r="I27" s="212">
        <f t="shared" si="9"/>
        <v>-146</v>
      </c>
      <c r="J27" s="326">
        <f t="shared" si="10"/>
        <v>-88884.382545454559</v>
      </c>
      <c r="K27" s="25"/>
      <c r="L27" s="2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SC27" s="205"/>
      <c r="SD27" s="205"/>
      <c r="SE27" s="205"/>
      <c r="SF27" s="205"/>
      <c r="SG27" s="205"/>
      <c r="SH27" s="205"/>
      <c r="SI27" s="205"/>
      <c r="SJ27" s="205"/>
    </row>
    <row r="28" spans="1:504" ht="13.5" thickBot="1">
      <c r="A28" s="321">
        <f>A27+1</f>
        <v>2044</v>
      </c>
      <c r="B28" s="210">
        <f t="shared" si="2"/>
        <v>25180</v>
      </c>
      <c r="C28" s="211">
        <f t="shared" si="3"/>
        <v>779</v>
      </c>
      <c r="D28" s="210">
        <f t="shared" si="4"/>
        <v>6775.3309090909097</v>
      </c>
      <c r="E28" s="211">
        <f t="shared" si="5"/>
        <v>210</v>
      </c>
      <c r="F28" s="210">
        <f t="shared" si="6"/>
        <v>2014.7200000000003</v>
      </c>
      <c r="G28" s="211">
        <f t="shared" si="7"/>
        <v>62</v>
      </c>
      <c r="H28" s="210">
        <f t="shared" si="8"/>
        <v>-4760.6109090909094</v>
      </c>
      <c r="I28" s="212">
        <f t="shared" si="9"/>
        <v>-148</v>
      </c>
      <c r="J28" s="327">
        <f t="shared" si="10"/>
        <v>-89474.874181818188</v>
      </c>
      <c r="K28" s="25"/>
      <c r="L28" s="2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SC28" s="205"/>
      <c r="SD28" s="205"/>
      <c r="SE28" s="205"/>
      <c r="SF28" s="205"/>
      <c r="SG28" s="205"/>
      <c r="SH28" s="205"/>
      <c r="SI28" s="205"/>
      <c r="SJ28" s="205"/>
    </row>
    <row r="29" spans="1:504" ht="13.5" thickTop="1">
      <c r="A29" s="555" t="s">
        <v>19</v>
      </c>
      <c r="B29" s="556"/>
      <c r="C29" s="556"/>
      <c r="D29" s="556"/>
      <c r="E29" s="556"/>
      <c r="F29" s="556"/>
      <c r="G29" s="556"/>
      <c r="H29" s="556"/>
      <c r="I29" s="557"/>
      <c r="J29" s="328">
        <f>SUM(J8:J28)</f>
        <v>-1684299.0669090913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SC29" s="205"/>
      <c r="SD29" s="205"/>
      <c r="SE29" s="205"/>
      <c r="SF29" s="205"/>
      <c r="SG29" s="205"/>
      <c r="SH29" s="205"/>
      <c r="SI29" s="205"/>
      <c r="SJ29" s="205"/>
    </row>
    <row r="30" spans="1:504" s="23" customFormat="1">
      <c r="A30" s="216"/>
      <c r="B30" s="216"/>
      <c r="C30" s="216"/>
      <c r="D30" s="216"/>
      <c r="E30" s="216"/>
      <c r="F30" s="216"/>
      <c r="G30" s="216"/>
      <c r="H30" s="216"/>
      <c r="I30" s="216"/>
      <c r="J30" s="322"/>
    </row>
    <row r="31" spans="1:504" ht="18">
      <c r="A31" s="49" t="s">
        <v>254</v>
      </c>
      <c r="B31" s="23"/>
      <c r="C31" s="23"/>
      <c r="D31" s="23"/>
      <c r="E31" s="23"/>
      <c r="F31" s="22"/>
      <c r="G31" s="22"/>
      <c r="H31" s="23"/>
      <c r="I31" s="23"/>
      <c r="J31" s="23"/>
      <c r="K31" s="23"/>
      <c r="L31" s="23"/>
      <c r="M31" s="23"/>
      <c r="N31" s="25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504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504" ht="13.15" customHeight="1">
      <c r="A33" s="568" t="s">
        <v>29</v>
      </c>
      <c r="B33" s="540" t="s">
        <v>247</v>
      </c>
      <c r="C33" s="541"/>
      <c r="D33" s="505" t="s">
        <v>255</v>
      </c>
      <c r="E33" s="510"/>
      <c r="F33" s="510"/>
      <c r="G33" s="506"/>
      <c r="H33" s="540" t="s">
        <v>256</v>
      </c>
      <c r="I33" s="541"/>
      <c r="J33" s="549" t="s">
        <v>257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SI33" s="205"/>
      <c r="SJ33" s="205"/>
    </row>
    <row r="34" spans="1:504" ht="26.45" customHeight="1">
      <c r="A34" s="568"/>
      <c r="B34" s="542"/>
      <c r="C34" s="543"/>
      <c r="D34" s="552" t="s">
        <v>251</v>
      </c>
      <c r="E34" s="553"/>
      <c r="F34" s="554" t="s">
        <v>252</v>
      </c>
      <c r="G34" s="554"/>
      <c r="H34" s="542"/>
      <c r="I34" s="543"/>
      <c r="J34" s="550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SI34" s="205"/>
      <c r="SJ34" s="205"/>
    </row>
    <row r="35" spans="1:504" ht="26.25" thickBot="1">
      <c r="A35" s="568"/>
      <c r="B35" s="207" t="s">
        <v>253</v>
      </c>
      <c r="C35" s="207" t="s">
        <v>199</v>
      </c>
      <c r="D35" s="207" t="s">
        <v>253</v>
      </c>
      <c r="E35" s="207" t="s">
        <v>199</v>
      </c>
      <c r="F35" s="207" t="s">
        <v>253</v>
      </c>
      <c r="G35" s="207" t="s">
        <v>199</v>
      </c>
      <c r="H35" s="213" t="s">
        <v>253</v>
      </c>
      <c r="I35" s="213" t="s">
        <v>199</v>
      </c>
      <c r="J35" s="551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SI35" s="205"/>
      <c r="SJ35" s="205"/>
    </row>
    <row r="36" spans="1:504" ht="13.5" thickTop="1">
      <c r="A36" s="209">
        <v>2024</v>
      </c>
      <c r="B36" s="210">
        <f>D68</f>
        <v>22138</v>
      </c>
      <c r="C36" s="211">
        <f>C68</f>
        <v>685</v>
      </c>
      <c r="D36" s="210"/>
      <c r="E36" s="211"/>
      <c r="F36" s="210"/>
      <c r="G36" s="211"/>
      <c r="H36" s="210"/>
      <c r="I36" s="211"/>
      <c r="J36" s="326">
        <f>(H36*$B$120)+(I36*$B$119)</f>
        <v>0</v>
      </c>
      <c r="K36" s="25"/>
      <c r="L36" s="2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SI36" s="205"/>
      <c r="SJ36" s="205"/>
    </row>
    <row r="37" spans="1:504">
      <c r="A37" s="209">
        <f t="shared" ref="A37:A55" si="11">A36+1</f>
        <v>2025</v>
      </c>
      <c r="B37" s="210">
        <f t="shared" ref="B37" si="12">D69</f>
        <v>22281</v>
      </c>
      <c r="C37" s="211">
        <f t="shared" ref="C37:C56" si="13">C69</f>
        <v>689</v>
      </c>
      <c r="D37" s="210">
        <f t="shared" ref="D37" si="14">J69</f>
        <v>329757.32</v>
      </c>
      <c r="E37" s="211">
        <f t="shared" ref="E37" si="15">I69</f>
        <v>10198.68</v>
      </c>
      <c r="F37" s="210">
        <f t="shared" ref="F37" si="16">P69</f>
        <v>98035.960000000021</v>
      </c>
      <c r="G37" s="211">
        <f t="shared" ref="G37" si="17">O69</f>
        <v>3032.0400000000004</v>
      </c>
      <c r="H37" s="210">
        <f t="shared" ref="H37:I37" si="18">F37-D37</f>
        <v>-231721.36</v>
      </c>
      <c r="I37" s="211">
        <f t="shared" si="18"/>
        <v>-7166.6399999999994</v>
      </c>
      <c r="J37" s="326">
        <f>(H37*$B$120)+(I37*$B$119)</f>
        <v>-111011.2536</v>
      </c>
      <c r="K37" s="25"/>
      <c r="L37" s="25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SI37" s="205"/>
      <c r="SJ37" s="205"/>
    </row>
    <row r="38" spans="1:504">
      <c r="A38" s="209">
        <f t="shared" si="11"/>
        <v>2026</v>
      </c>
      <c r="B38" s="210">
        <f t="shared" ref="B38:B56" si="19">D70</f>
        <v>22425</v>
      </c>
      <c r="C38" s="211">
        <f t="shared" si="13"/>
        <v>694</v>
      </c>
      <c r="D38" s="210">
        <f t="shared" ref="D38:D56" si="20">J70</f>
        <v>331896.364</v>
      </c>
      <c r="E38" s="211">
        <f t="shared" ref="E38:E56" si="21">I70</f>
        <v>10264.835999999999</v>
      </c>
      <c r="F38" s="210">
        <f t="shared" ref="F38:F56" si="22">P70</f>
        <v>98671.892000000007</v>
      </c>
      <c r="G38" s="211">
        <f t="shared" ref="G38:G56" si="23">O70</f>
        <v>3051.7080000000001</v>
      </c>
      <c r="H38" s="210">
        <f t="shared" ref="H38:H56" si="24">F38-D38</f>
        <v>-233224.47200000001</v>
      </c>
      <c r="I38" s="211">
        <f t="shared" ref="I38:I56" si="25">G38-E38</f>
        <v>-7213.1279999999988</v>
      </c>
      <c r="J38" s="326">
        <f t="shared" ref="J38:J56" si="26">(H38*$B$120)+(I38*$B$119)</f>
        <v>-111731.35272000001</v>
      </c>
      <c r="K38" s="25"/>
      <c r="L38" s="25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SI38" s="205"/>
      <c r="SJ38" s="205"/>
    </row>
    <row r="39" spans="1:504">
      <c r="A39" s="209">
        <f t="shared" si="11"/>
        <v>2027</v>
      </c>
      <c r="B39" s="210">
        <f t="shared" si="19"/>
        <v>22570</v>
      </c>
      <c r="C39" s="211">
        <f t="shared" si="13"/>
        <v>698</v>
      </c>
      <c r="D39" s="210">
        <f t="shared" si="20"/>
        <v>334035.408</v>
      </c>
      <c r="E39" s="211">
        <f t="shared" si="21"/>
        <v>10330.992</v>
      </c>
      <c r="F39" s="210">
        <f t="shared" si="22"/>
        <v>99307.824000000008</v>
      </c>
      <c r="G39" s="211">
        <f t="shared" si="23"/>
        <v>3071.3760000000002</v>
      </c>
      <c r="H39" s="210">
        <f t="shared" si="24"/>
        <v>-234727.58399999997</v>
      </c>
      <c r="I39" s="211">
        <f t="shared" si="25"/>
        <v>-7259.616</v>
      </c>
      <c r="J39" s="326">
        <f t="shared" si="26"/>
        <v>-112451.45183999999</v>
      </c>
      <c r="K39" s="25"/>
      <c r="L39" s="25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SI39" s="205"/>
      <c r="SJ39" s="205"/>
    </row>
    <row r="40" spans="1:504">
      <c r="A40" s="209">
        <f t="shared" si="11"/>
        <v>2028</v>
      </c>
      <c r="B40" s="210">
        <f t="shared" si="19"/>
        <v>22715</v>
      </c>
      <c r="C40" s="211">
        <f t="shared" si="13"/>
        <v>703</v>
      </c>
      <c r="D40" s="210">
        <f t="shared" si="20"/>
        <v>336188.80800000002</v>
      </c>
      <c r="E40" s="211">
        <f t="shared" si="21"/>
        <v>10397.592000000001</v>
      </c>
      <c r="F40" s="210">
        <f t="shared" si="22"/>
        <v>99948.024000000005</v>
      </c>
      <c r="G40" s="211">
        <f t="shared" si="23"/>
        <v>3091.1760000000004</v>
      </c>
      <c r="H40" s="210">
        <f t="shared" si="24"/>
        <v>-236240.78400000001</v>
      </c>
      <c r="I40" s="211">
        <f t="shared" si="25"/>
        <v>-7306.4160000000002</v>
      </c>
      <c r="J40" s="326">
        <f t="shared" si="26"/>
        <v>-113176.38384000001</v>
      </c>
      <c r="K40" s="25"/>
      <c r="L40" s="25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SI40" s="205"/>
      <c r="SJ40" s="205"/>
    </row>
    <row r="41" spans="1:504">
      <c r="A41" s="209">
        <f t="shared" si="11"/>
        <v>2029</v>
      </c>
      <c r="B41" s="210">
        <f t="shared" si="19"/>
        <v>22862</v>
      </c>
      <c r="C41" s="211">
        <f t="shared" si="13"/>
        <v>707</v>
      </c>
      <c r="D41" s="210">
        <f t="shared" si="20"/>
        <v>338356.56400000001</v>
      </c>
      <c r="E41" s="211">
        <f t="shared" si="21"/>
        <v>10464.636</v>
      </c>
      <c r="F41" s="210">
        <f t="shared" si="22"/>
        <v>100592.492</v>
      </c>
      <c r="G41" s="211">
        <f t="shared" si="23"/>
        <v>3111.1080000000002</v>
      </c>
      <c r="H41" s="210">
        <f t="shared" si="24"/>
        <v>-237764.07200000001</v>
      </c>
      <c r="I41" s="211">
        <f t="shared" si="25"/>
        <v>-7353.5280000000002</v>
      </c>
      <c r="J41" s="326">
        <f t="shared" si="26"/>
        <v>-113906.14872000001</v>
      </c>
      <c r="K41" s="25"/>
      <c r="L41" s="25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SI41" s="205"/>
      <c r="SJ41" s="205"/>
    </row>
    <row r="42" spans="1:504">
      <c r="A42" s="209">
        <f t="shared" si="11"/>
        <v>2030</v>
      </c>
      <c r="B42" s="210">
        <f t="shared" si="19"/>
        <v>23010</v>
      </c>
      <c r="C42" s="211">
        <f t="shared" si="13"/>
        <v>712</v>
      </c>
      <c r="D42" s="210">
        <f t="shared" si="20"/>
        <v>340553.03200000001</v>
      </c>
      <c r="E42" s="211">
        <f t="shared" si="21"/>
        <v>10532.568000000001</v>
      </c>
      <c r="F42" s="210">
        <f t="shared" si="22"/>
        <v>101245.496</v>
      </c>
      <c r="G42" s="211">
        <f t="shared" si="23"/>
        <v>3131.3040000000001</v>
      </c>
      <c r="H42" s="210">
        <f t="shared" si="24"/>
        <v>-239307.53600000002</v>
      </c>
      <c r="I42" s="211">
        <f t="shared" si="25"/>
        <v>-7401.264000000001</v>
      </c>
      <c r="J42" s="326">
        <f t="shared" si="26"/>
        <v>-114645.57936000002</v>
      </c>
      <c r="K42" s="25"/>
      <c r="L42" s="25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SI42" s="205"/>
      <c r="SJ42" s="205"/>
    </row>
    <row r="43" spans="1:504">
      <c r="A43" s="209">
        <f t="shared" si="11"/>
        <v>2031</v>
      </c>
      <c r="B43" s="210">
        <f t="shared" si="19"/>
        <v>23159</v>
      </c>
      <c r="C43" s="211">
        <f t="shared" si="13"/>
        <v>716</v>
      </c>
      <c r="D43" s="210">
        <f t="shared" si="20"/>
        <v>342749.5</v>
      </c>
      <c r="E43" s="211">
        <f t="shared" si="21"/>
        <v>10600.5</v>
      </c>
      <c r="F43" s="210">
        <f t="shared" si="22"/>
        <v>101898.50000000001</v>
      </c>
      <c r="G43" s="211">
        <f t="shared" si="23"/>
        <v>3151.5000000000005</v>
      </c>
      <c r="H43" s="210">
        <f t="shared" si="24"/>
        <v>-240851</v>
      </c>
      <c r="I43" s="211">
        <f t="shared" si="25"/>
        <v>-7449</v>
      </c>
      <c r="J43" s="326">
        <f t="shared" si="26"/>
        <v>-115385.01</v>
      </c>
      <c r="K43" s="25"/>
      <c r="L43" s="25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SI43" s="205"/>
      <c r="SJ43" s="205"/>
    </row>
    <row r="44" spans="1:504">
      <c r="A44" s="209">
        <f t="shared" si="11"/>
        <v>2032</v>
      </c>
      <c r="B44" s="210">
        <f t="shared" si="19"/>
        <v>23308</v>
      </c>
      <c r="C44" s="211">
        <f t="shared" si="13"/>
        <v>721</v>
      </c>
      <c r="D44" s="210">
        <f t="shared" si="20"/>
        <v>344960.32400000002</v>
      </c>
      <c r="E44" s="211">
        <f t="shared" si="21"/>
        <v>10668.876</v>
      </c>
      <c r="F44" s="210">
        <f t="shared" si="22"/>
        <v>102555.77200000001</v>
      </c>
      <c r="G44" s="211">
        <f t="shared" si="23"/>
        <v>3171.828</v>
      </c>
      <c r="H44" s="210">
        <f t="shared" si="24"/>
        <v>-242404.55200000003</v>
      </c>
      <c r="I44" s="211">
        <f t="shared" si="25"/>
        <v>-7497.0480000000007</v>
      </c>
      <c r="J44" s="326">
        <f t="shared" si="26"/>
        <v>-116129.27352000002</v>
      </c>
      <c r="K44" s="25"/>
      <c r="L44" s="2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SI44" s="205"/>
      <c r="SJ44" s="205"/>
    </row>
    <row r="45" spans="1:504">
      <c r="A45" s="209">
        <f t="shared" si="11"/>
        <v>2033</v>
      </c>
      <c r="B45" s="210">
        <f t="shared" si="19"/>
        <v>23458</v>
      </c>
      <c r="C45" s="211">
        <f t="shared" si="13"/>
        <v>726</v>
      </c>
      <c r="D45" s="210">
        <f t="shared" si="20"/>
        <v>347185.50400000002</v>
      </c>
      <c r="E45" s="211">
        <f t="shared" si="21"/>
        <v>10737.696</v>
      </c>
      <c r="F45" s="210">
        <f t="shared" si="22"/>
        <v>103217.31200000001</v>
      </c>
      <c r="G45" s="211">
        <f t="shared" si="23"/>
        <v>3192.288</v>
      </c>
      <c r="H45" s="210">
        <f t="shared" si="24"/>
        <v>-243968.19200000001</v>
      </c>
      <c r="I45" s="211">
        <f t="shared" si="25"/>
        <v>-7545.4079999999994</v>
      </c>
      <c r="J45" s="326">
        <f t="shared" si="26"/>
        <v>-116878.36992</v>
      </c>
      <c r="K45" s="25"/>
      <c r="L45" s="25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SI45" s="205"/>
      <c r="SJ45" s="205"/>
    </row>
    <row r="46" spans="1:504">
      <c r="A46" s="209">
        <f t="shared" si="11"/>
        <v>2034</v>
      </c>
      <c r="B46" s="210">
        <f t="shared" si="19"/>
        <v>23610</v>
      </c>
      <c r="C46" s="211">
        <f t="shared" si="13"/>
        <v>730</v>
      </c>
      <c r="D46" s="210">
        <f t="shared" si="20"/>
        <v>349425.04</v>
      </c>
      <c r="E46" s="211">
        <f t="shared" si="21"/>
        <v>10806.96</v>
      </c>
      <c r="F46" s="210">
        <f t="shared" si="22"/>
        <v>103883.12000000001</v>
      </c>
      <c r="G46" s="211">
        <f t="shared" si="23"/>
        <v>3212.88</v>
      </c>
      <c r="H46" s="210">
        <f t="shared" si="24"/>
        <v>-245541.91999999998</v>
      </c>
      <c r="I46" s="211">
        <f t="shared" si="25"/>
        <v>-7594.079999999999</v>
      </c>
      <c r="J46" s="326">
        <f t="shared" si="26"/>
        <v>-117632.29919999999</v>
      </c>
      <c r="K46" s="25"/>
      <c r="L46" s="25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SI46" s="205"/>
      <c r="SJ46" s="205"/>
    </row>
    <row r="47" spans="1:504">
      <c r="A47" s="209">
        <f t="shared" si="11"/>
        <v>2035</v>
      </c>
      <c r="B47" s="210">
        <f t="shared" si="19"/>
        <v>23763</v>
      </c>
      <c r="C47" s="211">
        <f t="shared" si="13"/>
        <v>735</v>
      </c>
      <c r="D47" s="210">
        <f t="shared" si="20"/>
        <v>351693.288</v>
      </c>
      <c r="E47" s="211">
        <f t="shared" si="21"/>
        <v>10877.112000000001</v>
      </c>
      <c r="F47" s="210">
        <f t="shared" si="22"/>
        <v>104557.46400000001</v>
      </c>
      <c r="G47" s="211">
        <f t="shared" si="23"/>
        <v>3233.7360000000003</v>
      </c>
      <c r="H47" s="210">
        <f t="shared" si="24"/>
        <v>-247135.82399999999</v>
      </c>
      <c r="I47" s="211">
        <f t="shared" si="25"/>
        <v>-7643.3760000000002</v>
      </c>
      <c r="J47" s="326">
        <f t="shared" si="26"/>
        <v>-118395.89424000001</v>
      </c>
      <c r="K47" s="25"/>
      <c r="L47" s="25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SI47" s="205"/>
      <c r="SJ47" s="205"/>
    </row>
    <row r="48" spans="1:504">
      <c r="A48" s="209">
        <f t="shared" si="11"/>
        <v>2036</v>
      </c>
      <c r="B48" s="210">
        <f t="shared" si="19"/>
        <v>23916</v>
      </c>
      <c r="C48" s="211">
        <f t="shared" si="13"/>
        <v>740</v>
      </c>
      <c r="D48" s="210">
        <f t="shared" si="20"/>
        <v>353961.53600000002</v>
      </c>
      <c r="E48" s="211">
        <f t="shared" si="21"/>
        <v>10947.264000000001</v>
      </c>
      <c r="F48" s="210">
        <f t="shared" si="22"/>
        <v>105231.808</v>
      </c>
      <c r="G48" s="211">
        <f t="shared" si="23"/>
        <v>3254.5920000000001</v>
      </c>
      <c r="H48" s="210">
        <f t="shared" si="24"/>
        <v>-248729.728</v>
      </c>
      <c r="I48" s="211">
        <f t="shared" si="25"/>
        <v>-7692.6720000000005</v>
      </c>
      <c r="J48" s="326">
        <f t="shared" si="26"/>
        <v>-119159.48928000001</v>
      </c>
      <c r="K48" s="25"/>
      <c r="L48" s="25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SI48" s="205"/>
      <c r="SJ48" s="205"/>
    </row>
    <row r="49" spans="1:504">
      <c r="A49" s="209">
        <f t="shared" si="11"/>
        <v>2037</v>
      </c>
      <c r="B49" s="210">
        <f t="shared" si="19"/>
        <v>24071</v>
      </c>
      <c r="C49" s="211">
        <f t="shared" si="13"/>
        <v>744</v>
      </c>
      <c r="D49" s="210">
        <f t="shared" si="20"/>
        <v>356244.14</v>
      </c>
      <c r="E49" s="211">
        <f t="shared" si="21"/>
        <v>11017.859999999999</v>
      </c>
      <c r="F49" s="210">
        <f t="shared" si="22"/>
        <v>105910.42000000001</v>
      </c>
      <c r="G49" s="211">
        <f t="shared" si="23"/>
        <v>3275.5800000000004</v>
      </c>
      <c r="H49" s="210">
        <f t="shared" si="24"/>
        <v>-250333.72</v>
      </c>
      <c r="I49" s="211">
        <f t="shared" si="25"/>
        <v>-7742.2799999999988</v>
      </c>
      <c r="J49" s="326">
        <f t="shared" si="26"/>
        <v>-119927.9172</v>
      </c>
      <c r="K49" s="25"/>
      <c r="L49" s="25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SI49" s="205"/>
      <c r="SJ49" s="205"/>
    </row>
    <row r="50" spans="1:504">
      <c r="A50" s="209">
        <f t="shared" si="11"/>
        <v>2038</v>
      </c>
      <c r="B50" s="210">
        <f t="shared" si="19"/>
        <v>24226</v>
      </c>
      <c r="C50" s="211">
        <f t="shared" si="13"/>
        <v>749</v>
      </c>
      <c r="D50" s="210">
        <f t="shared" si="20"/>
        <v>358541.1</v>
      </c>
      <c r="E50" s="211">
        <f t="shared" si="21"/>
        <v>11088.9</v>
      </c>
      <c r="F50" s="210">
        <f t="shared" si="22"/>
        <v>106593.30000000002</v>
      </c>
      <c r="G50" s="211">
        <f t="shared" si="23"/>
        <v>3296.7000000000003</v>
      </c>
      <c r="H50" s="210">
        <f t="shared" si="24"/>
        <v>-251947.79999999996</v>
      </c>
      <c r="I50" s="211">
        <f t="shared" si="25"/>
        <v>-7792.1999999999989</v>
      </c>
      <c r="J50" s="326">
        <f t="shared" si="26"/>
        <v>-120701.17799999999</v>
      </c>
      <c r="K50" s="25"/>
      <c r="L50" s="25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SI50" s="205"/>
      <c r="SJ50" s="205"/>
    </row>
    <row r="51" spans="1:504">
      <c r="A51" s="209">
        <f t="shared" si="11"/>
        <v>2039</v>
      </c>
      <c r="B51" s="210">
        <f t="shared" si="19"/>
        <v>24383</v>
      </c>
      <c r="C51" s="211">
        <f t="shared" si="13"/>
        <v>754</v>
      </c>
      <c r="D51" s="210">
        <f t="shared" si="20"/>
        <v>360866.77200000006</v>
      </c>
      <c r="E51" s="211">
        <f t="shared" si="21"/>
        <v>11160.828000000001</v>
      </c>
      <c r="F51" s="210">
        <f t="shared" si="22"/>
        <v>107284.716</v>
      </c>
      <c r="G51" s="211">
        <f t="shared" si="23"/>
        <v>3318.0839999999998</v>
      </c>
      <c r="H51" s="210">
        <f t="shared" si="24"/>
        <v>-253582.05600000004</v>
      </c>
      <c r="I51" s="211">
        <f t="shared" si="25"/>
        <v>-7842.7440000000015</v>
      </c>
      <c r="J51" s="326">
        <f t="shared" si="26"/>
        <v>-121484.10456000002</v>
      </c>
      <c r="K51" s="25"/>
      <c r="L51" s="25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SI51" s="205"/>
      <c r="SJ51" s="205"/>
    </row>
    <row r="52" spans="1:504">
      <c r="A52" s="209">
        <f t="shared" si="11"/>
        <v>2040</v>
      </c>
      <c r="B52" s="210">
        <f t="shared" si="19"/>
        <v>24540</v>
      </c>
      <c r="C52" s="211">
        <f t="shared" si="13"/>
        <v>759</v>
      </c>
      <c r="D52" s="210">
        <f t="shared" si="20"/>
        <v>363192.44400000002</v>
      </c>
      <c r="E52" s="211">
        <f t="shared" si="21"/>
        <v>11232.755999999999</v>
      </c>
      <c r="F52" s="210">
        <f t="shared" si="22"/>
        <v>107976.13200000001</v>
      </c>
      <c r="G52" s="211">
        <f t="shared" si="23"/>
        <v>3339.4679999999998</v>
      </c>
      <c r="H52" s="210">
        <f t="shared" si="24"/>
        <v>-255216.31200000001</v>
      </c>
      <c r="I52" s="211">
        <f t="shared" si="25"/>
        <v>-7893.2879999999996</v>
      </c>
      <c r="J52" s="326">
        <f t="shared" si="26"/>
        <v>-122267.03112</v>
      </c>
      <c r="K52" s="25"/>
      <c r="L52" s="25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SI52" s="205"/>
      <c r="SJ52" s="205"/>
    </row>
    <row r="53" spans="1:504">
      <c r="A53" s="209">
        <f t="shared" si="11"/>
        <v>2041</v>
      </c>
      <c r="B53" s="210">
        <f t="shared" si="19"/>
        <v>24698</v>
      </c>
      <c r="C53" s="211">
        <f t="shared" si="13"/>
        <v>764</v>
      </c>
      <c r="D53" s="210">
        <f t="shared" si="20"/>
        <v>365532.47200000001</v>
      </c>
      <c r="E53" s="211">
        <f t="shared" si="21"/>
        <v>11305.128000000001</v>
      </c>
      <c r="F53" s="210">
        <f t="shared" si="22"/>
        <v>108671.81600000001</v>
      </c>
      <c r="G53" s="211">
        <f t="shared" si="23"/>
        <v>3360.9839999999999</v>
      </c>
      <c r="H53" s="210">
        <f t="shared" si="24"/>
        <v>-256860.65600000002</v>
      </c>
      <c r="I53" s="211">
        <f t="shared" si="25"/>
        <v>-7944.1440000000002</v>
      </c>
      <c r="J53" s="326">
        <f t="shared" si="26"/>
        <v>-123054.79056000001</v>
      </c>
      <c r="K53" s="25"/>
      <c r="L53" s="25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SI53" s="205"/>
      <c r="SJ53" s="205"/>
    </row>
    <row r="54" spans="1:504">
      <c r="A54" s="209">
        <f t="shared" si="11"/>
        <v>2042</v>
      </c>
      <c r="B54" s="210">
        <f t="shared" si="19"/>
        <v>24858</v>
      </c>
      <c r="C54" s="211">
        <f t="shared" si="13"/>
        <v>769</v>
      </c>
      <c r="D54" s="210">
        <f t="shared" si="20"/>
        <v>367901.21200000006</v>
      </c>
      <c r="E54" s="211">
        <f t="shared" si="21"/>
        <v>11378.388000000001</v>
      </c>
      <c r="F54" s="210">
        <f t="shared" si="22"/>
        <v>109376.03600000001</v>
      </c>
      <c r="G54" s="211">
        <f t="shared" si="23"/>
        <v>3382.7640000000001</v>
      </c>
      <c r="H54" s="210">
        <f t="shared" si="24"/>
        <v>-258525.17600000004</v>
      </c>
      <c r="I54" s="211">
        <f t="shared" si="25"/>
        <v>-7995.6240000000007</v>
      </c>
      <c r="J54" s="326">
        <f t="shared" si="26"/>
        <v>-123852.21576000002</v>
      </c>
      <c r="K54" s="25"/>
      <c r="L54" s="25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SI54" s="205"/>
      <c r="SJ54" s="205"/>
    </row>
    <row r="55" spans="1:504">
      <c r="A55" s="209">
        <f t="shared" si="11"/>
        <v>2043</v>
      </c>
      <c r="B55" s="210">
        <f t="shared" si="19"/>
        <v>25018</v>
      </c>
      <c r="C55" s="211">
        <f t="shared" si="13"/>
        <v>774</v>
      </c>
      <c r="D55" s="210">
        <f t="shared" si="20"/>
        <v>370269.95200000005</v>
      </c>
      <c r="E55" s="211">
        <f t="shared" si="21"/>
        <v>11451.648000000001</v>
      </c>
      <c r="F55" s="210">
        <f t="shared" si="22"/>
        <v>110080.25600000001</v>
      </c>
      <c r="G55" s="211">
        <f t="shared" si="23"/>
        <v>3404.5439999999999</v>
      </c>
      <c r="H55" s="210">
        <f t="shared" si="24"/>
        <v>-260189.69600000005</v>
      </c>
      <c r="I55" s="211">
        <f t="shared" si="25"/>
        <v>-8047.1040000000012</v>
      </c>
      <c r="J55" s="326">
        <f t="shared" si="26"/>
        <v>-124649.64096000002</v>
      </c>
      <c r="K55" s="25"/>
      <c r="L55" s="25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SI55" s="205"/>
      <c r="SJ55" s="205"/>
    </row>
    <row r="56" spans="1:504" ht="13.5" thickBot="1">
      <c r="A56" s="321">
        <f>A55+1</f>
        <v>2044</v>
      </c>
      <c r="B56" s="210">
        <f t="shared" si="19"/>
        <v>25180</v>
      </c>
      <c r="C56" s="211">
        <f t="shared" si="13"/>
        <v>779</v>
      </c>
      <c r="D56" s="210">
        <f t="shared" si="20"/>
        <v>372667.40400000004</v>
      </c>
      <c r="E56" s="211">
        <f t="shared" si="21"/>
        <v>11525.796</v>
      </c>
      <c r="F56" s="210">
        <f t="shared" si="22"/>
        <v>110793.012</v>
      </c>
      <c r="G56" s="211">
        <f t="shared" si="23"/>
        <v>3426.5880000000002</v>
      </c>
      <c r="H56" s="210">
        <f t="shared" si="24"/>
        <v>-261874.39200000005</v>
      </c>
      <c r="I56" s="211">
        <f t="shared" si="25"/>
        <v>-8099.2080000000005</v>
      </c>
      <c r="J56" s="327">
        <f t="shared" si="26"/>
        <v>-125456.73192000003</v>
      </c>
      <c r="K56" s="25"/>
      <c r="L56" s="25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SI56" s="205"/>
      <c r="SJ56" s="205"/>
    </row>
    <row r="57" spans="1:504" ht="13.5" thickTop="1">
      <c r="A57" s="555" t="s">
        <v>19</v>
      </c>
      <c r="B57" s="556"/>
      <c r="C57" s="556"/>
      <c r="D57" s="556"/>
      <c r="E57" s="556"/>
      <c r="F57" s="556"/>
      <c r="G57" s="556"/>
      <c r="H57" s="556"/>
      <c r="I57" s="557"/>
      <c r="J57" s="328">
        <f>SUM(J36:J56)</f>
        <v>-2361896.1163200005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SI57" s="205"/>
      <c r="SJ57" s="205"/>
    </row>
    <row r="58" spans="1:504">
      <c r="A58" s="23"/>
      <c r="B58" s="23"/>
      <c r="C58" s="23"/>
      <c r="D58" s="23"/>
      <c r="E58" s="23"/>
      <c r="F58" s="23"/>
      <c r="G58" s="23"/>
      <c r="H58" s="23"/>
      <c r="I58" s="131"/>
      <c r="J58" s="216"/>
      <c r="K58" s="216"/>
      <c r="L58" s="217"/>
      <c r="M58" s="217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504">
      <c r="A59" s="23"/>
      <c r="B59" s="23"/>
      <c r="C59" s="23"/>
      <c r="D59" s="23"/>
      <c r="E59" s="23"/>
      <c r="F59" s="23"/>
      <c r="G59" s="23"/>
      <c r="H59" s="23"/>
      <c r="I59" s="131"/>
      <c r="J59" s="216"/>
      <c r="K59" s="216"/>
      <c r="L59" s="217"/>
      <c r="M59" s="217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spans="1:504">
      <c r="A60" s="546" t="s">
        <v>29</v>
      </c>
      <c r="B60" s="562" t="s">
        <v>258</v>
      </c>
      <c r="C60" s="563"/>
      <c r="D60" s="564"/>
      <c r="E60" s="558" t="s">
        <v>259</v>
      </c>
      <c r="F60" s="559"/>
      <c r="G60" s="559"/>
      <c r="H60" s="559"/>
      <c r="I60" s="559"/>
      <c r="J60" s="560"/>
      <c r="K60" s="558" t="s">
        <v>260</v>
      </c>
      <c r="L60" s="559"/>
      <c r="M60" s="559"/>
      <c r="N60" s="559"/>
      <c r="O60" s="559"/>
      <c r="P60" s="5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504">
      <c r="A61" s="547"/>
      <c r="B61" s="565"/>
      <c r="C61" s="566"/>
      <c r="D61" s="567"/>
      <c r="E61" s="558" t="s">
        <v>261</v>
      </c>
      <c r="F61" s="559"/>
      <c r="G61" s="560"/>
      <c r="H61" s="558" t="s">
        <v>262</v>
      </c>
      <c r="I61" s="559"/>
      <c r="J61" s="560"/>
      <c r="K61" s="558" t="s">
        <v>261</v>
      </c>
      <c r="L61" s="559"/>
      <c r="M61" s="560"/>
      <c r="N61" s="558" t="s">
        <v>262</v>
      </c>
      <c r="O61" s="559"/>
      <c r="P61" s="560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RZ61" s="205"/>
      <c r="SA61" s="205"/>
      <c r="SB61" s="205"/>
      <c r="SC61" s="205"/>
      <c r="SD61" s="205"/>
      <c r="SE61" s="205"/>
      <c r="SF61" s="205"/>
      <c r="SG61" s="205"/>
      <c r="SH61" s="205"/>
      <c r="SI61" s="205"/>
      <c r="SJ61" s="205"/>
    </row>
    <row r="62" spans="1:504" ht="25.5">
      <c r="A62" s="561"/>
      <c r="B62" s="361" t="s">
        <v>258</v>
      </c>
      <c r="C62" s="361" t="s">
        <v>144</v>
      </c>
      <c r="D62" s="213" t="s">
        <v>253</v>
      </c>
      <c r="E62" s="361" t="s">
        <v>261</v>
      </c>
      <c r="F62" s="361" t="s">
        <v>263</v>
      </c>
      <c r="G62" s="213" t="s">
        <v>264</v>
      </c>
      <c r="H62" s="361" t="s">
        <v>262</v>
      </c>
      <c r="I62" s="361" t="s">
        <v>265</v>
      </c>
      <c r="J62" s="213" t="s">
        <v>266</v>
      </c>
      <c r="K62" s="361" t="s">
        <v>261</v>
      </c>
      <c r="L62" s="361" t="s">
        <v>263</v>
      </c>
      <c r="M62" s="213" t="s">
        <v>264</v>
      </c>
      <c r="N62" s="361" t="s">
        <v>262</v>
      </c>
      <c r="O62" s="361" t="s">
        <v>265</v>
      </c>
      <c r="P62" s="213" t="s">
        <v>266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RZ62" s="205"/>
      <c r="SA62" s="205"/>
      <c r="SB62" s="205"/>
      <c r="SC62" s="205"/>
      <c r="SD62" s="205"/>
      <c r="SE62" s="205"/>
      <c r="SF62" s="205"/>
      <c r="SG62" s="205"/>
      <c r="SH62" s="205"/>
      <c r="SI62" s="205"/>
      <c r="SJ62" s="205"/>
    </row>
    <row r="63" spans="1:504">
      <c r="A63" s="218">
        <v>2019</v>
      </c>
      <c r="B63" s="210">
        <f>B98</f>
        <v>22100</v>
      </c>
      <c r="C63" s="211">
        <f t="shared" ref="C63:C69" si="27">ROUND(B63*$B$93,0)</f>
        <v>663</v>
      </c>
      <c r="D63" s="210">
        <f>B63-C63</f>
        <v>21437</v>
      </c>
      <c r="E63" s="211"/>
      <c r="F63" s="219"/>
      <c r="G63" s="211"/>
      <c r="H63" s="210"/>
      <c r="I63" s="211"/>
      <c r="J63" s="210"/>
      <c r="K63" s="211"/>
      <c r="L63" s="219"/>
      <c r="M63" s="211"/>
      <c r="N63" s="210"/>
      <c r="O63" s="211"/>
      <c r="P63" s="210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RZ63" s="205"/>
      <c r="SA63" s="205"/>
      <c r="SB63" s="205"/>
      <c r="SC63" s="205"/>
      <c r="SD63" s="205"/>
      <c r="SE63" s="205"/>
      <c r="SF63" s="205"/>
      <c r="SG63" s="205"/>
      <c r="SH63" s="205"/>
      <c r="SI63" s="205"/>
      <c r="SJ63" s="205"/>
    </row>
    <row r="64" spans="1:504">
      <c r="A64" s="209">
        <f>A63+1</f>
        <v>2020</v>
      </c>
      <c r="B64" s="214">
        <f t="shared" ref="B64:B69" si="28">ROUND($B$63*(1+$B$92)^(A64-$A$63),0)</f>
        <v>22243</v>
      </c>
      <c r="C64" s="215">
        <f t="shared" si="27"/>
        <v>667</v>
      </c>
      <c r="D64" s="214">
        <f t="shared" ref="D64:D69" si="29">B64-C64</f>
        <v>21576</v>
      </c>
      <c r="E64" s="215"/>
      <c r="F64" s="220"/>
      <c r="G64" s="215"/>
      <c r="H64" s="214"/>
      <c r="I64" s="215"/>
      <c r="J64" s="214"/>
      <c r="K64" s="215"/>
      <c r="L64" s="220"/>
      <c r="M64" s="215"/>
      <c r="N64" s="214"/>
      <c r="O64" s="215"/>
      <c r="P64" s="21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RZ64" s="205"/>
      <c r="SA64" s="205"/>
      <c r="SB64" s="205"/>
      <c r="SC64" s="205"/>
      <c r="SD64" s="205"/>
      <c r="SE64" s="205"/>
      <c r="SF64" s="205"/>
      <c r="SG64" s="205"/>
      <c r="SH64" s="205"/>
      <c r="SI64" s="205"/>
      <c r="SJ64" s="205"/>
    </row>
    <row r="65" spans="1:504">
      <c r="A65" s="209">
        <f t="shared" ref="A65:A88" si="30">A64+1</f>
        <v>2021</v>
      </c>
      <c r="B65" s="214">
        <f t="shared" si="28"/>
        <v>22386</v>
      </c>
      <c r="C65" s="215">
        <f t="shared" si="27"/>
        <v>672</v>
      </c>
      <c r="D65" s="214">
        <f t="shared" si="29"/>
        <v>21714</v>
      </c>
      <c r="E65" s="215"/>
      <c r="F65" s="220"/>
      <c r="G65" s="215"/>
      <c r="H65" s="214"/>
      <c r="I65" s="215"/>
      <c r="J65" s="214"/>
      <c r="K65" s="215"/>
      <c r="L65" s="220"/>
      <c r="M65" s="215"/>
      <c r="N65" s="214"/>
      <c r="O65" s="215"/>
      <c r="P65" s="214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RZ65" s="205"/>
      <c r="SA65" s="205"/>
      <c r="SB65" s="205"/>
      <c r="SC65" s="205"/>
      <c r="SD65" s="205"/>
      <c r="SE65" s="205"/>
      <c r="SF65" s="205"/>
      <c r="SG65" s="205"/>
      <c r="SH65" s="205"/>
      <c r="SI65" s="205"/>
      <c r="SJ65" s="205"/>
    </row>
    <row r="66" spans="1:504">
      <c r="A66" s="209">
        <f t="shared" si="30"/>
        <v>2022</v>
      </c>
      <c r="B66" s="214">
        <f t="shared" si="28"/>
        <v>22531</v>
      </c>
      <c r="C66" s="215">
        <f t="shared" si="27"/>
        <v>676</v>
      </c>
      <c r="D66" s="214">
        <f t="shared" si="29"/>
        <v>21855</v>
      </c>
      <c r="E66" s="215"/>
      <c r="F66" s="220"/>
      <c r="G66" s="215"/>
      <c r="H66" s="214"/>
      <c r="I66" s="215"/>
      <c r="J66" s="214"/>
      <c r="K66" s="215"/>
      <c r="L66" s="220"/>
      <c r="M66" s="215"/>
      <c r="N66" s="214"/>
      <c r="O66" s="215"/>
      <c r="P66" s="214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RZ66" s="205"/>
      <c r="SA66" s="205"/>
      <c r="SB66" s="205"/>
      <c r="SC66" s="205"/>
      <c r="SD66" s="205"/>
      <c r="SE66" s="205"/>
      <c r="SF66" s="205"/>
      <c r="SG66" s="205"/>
      <c r="SH66" s="205"/>
      <c r="SI66" s="205"/>
      <c r="SJ66" s="205"/>
    </row>
    <row r="67" spans="1:504">
      <c r="A67" s="209">
        <f t="shared" si="30"/>
        <v>2023</v>
      </c>
      <c r="B67" s="214">
        <f t="shared" si="28"/>
        <v>22676</v>
      </c>
      <c r="C67" s="215">
        <f t="shared" si="27"/>
        <v>680</v>
      </c>
      <c r="D67" s="214">
        <f t="shared" si="29"/>
        <v>21996</v>
      </c>
      <c r="E67" s="215"/>
      <c r="F67" s="220"/>
      <c r="G67" s="215"/>
      <c r="H67" s="214"/>
      <c r="I67" s="215"/>
      <c r="J67" s="214"/>
      <c r="K67" s="215"/>
      <c r="L67" s="220"/>
      <c r="M67" s="215"/>
      <c r="N67" s="214"/>
      <c r="O67" s="215"/>
      <c r="P67" s="214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RZ67" s="205"/>
      <c r="SA67" s="205"/>
      <c r="SB67" s="205"/>
      <c r="SC67" s="205"/>
      <c r="SD67" s="205"/>
      <c r="SE67" s="205"/>
      <c r="SF67" s="205"/>
      <c r="SG67" s="205"/>
      <c r="SH67" s="205"/>
      <c r="SI67" s="205"/>
      <c r="SJ67" s="205"/>
    </row>
    <row r="68" spans="1:504">
      <c r="A68" s="209">
        <f t="shared" si="30"/>
        <v>2024</v>
      </c>
      <c r="B68" s="214">
        <f t="shared" si="28"/>
        <v>22823</v>
      </c>
      <c r="C68" s="215">
        <f t="shared" si="27"/>
        <v>685</v>
      </c>
      <c r="D68" s="214">
        <f t="shared" si="29"/>
        <v>22138</v>
      </c>
      <c r="E68" s="215"/>
      <c r="F68" s="220"/>
      <c r="G68" s="215"/>
      <c r="H68" s="214"/>
      <c r="I68" s="215"/>
      <c r="J68" s="214"/>
      <c r="K68" s="215"/>
      <c r="L68" s="220"/>
      <c r="M68" s="215"/>
      <c r="N68" s="214"/>
      <c r="O68" s="215"/>
      <c r="P68" s="214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RZ68" s="205"/>
      <c r="SA68" s="205"/>
      <c r="SB68" s="205"/>
      <c r="SC68" s="205"/>
      <c r="SD68" s="205"/>
      <c r="SE68" s="205"/>
      <c r="SF68" s="205"/>
      <c r="SG68" s="205"/>
      <c r="SH68" s="205"/>
      <c r="SI68" s="205"/>
      <c r="SJ68" s="205"/>
    </row>
    <row r="69" spans="1:504">
      <c r="A69" s="209">
        <f t="shared" si="30"/>
        <v>2025</v>
      </c>
      <c r="B69" s="214">
        <f t="shared" si="28"/>
        <v>22970</v>
      </c>
      <c r="C69" s="215">
        <f t="shared" si="27"/>
        <v>689</v>
      </c>
      <c r="D69" s="214">
        <f t="shared" si="29"/>
        <v>22281</v>
      </c>
      <c r="E69" s="215">
        <f>B69*$B$104</f>
        <v>6181.0181818181818</v>
      </c>
      <c r="F69" s="220">
        <f>ROUND(E69*$B$93,0)</f>
        <v>185</v>
      </c>
      <c r="G69" s="215">
        <f t="shared" ref="G69" si="31">E69-F69</f>
        <v>5996.0181818181818</v>
      </c>
      <c r="H69" s="214">
        <f>B69*$B$102</f>
        <v>339956</v>
      </c>
      <c r="I69" s="215">
        <f>H69*$B$93</f>
        <v>10198.68</v>
      </c>
      <c r="J69" s="214">
        <f t="shared" ref="J69" si="32">H69-I69</f>
        <v>329757.32</v>
      </c>
      <c r="K69" s="215">
        <f>B69*$B$110</f>
        <v>1837.6000000000001</v>
      </c>
      <c r="L69" s="220">
        <f>ROUND(K69*$B$93,0)</f>
        <v>55</v>
      </c>
      <c r="M69" s="215">
        <f t="shared" ref="M69" si="33">K69-L69</f>
        <v>1782.6000000000001</v>
      </c>
      <c r="N69" s="214">
        <f>B69*$B$108</f>
        <v>101068.00000000001</v>
      </c>
      <c r="O69" s="215">
        <f>N69*$B$93</f>
        <v>3032.0400000000004</v>
      </c>
      <c r="P69" s="214">
        <f t="shared" ref="P69" si="34">N69-O69</f>
        <v>98035.960000000021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RZ69" s="205"/>
      <c r="SA69" s="205"/>
      <c r="SB69" s="205"/>
      <c r="SC69" s="205"/>
      <c r="SD69" s="205"/>
      <c r="SE69" s="205"/>
      <c r="SF69" s="205"/>
      <c r="SG69" s="205"/>
      <c r="SH69" s="205"/>
      <c r="SI69" s="205"/>
      <c r="SJ69" s="205"/>
    </row>
    <row r="70" spans="1:504">
      <c r="A70" s="209">
        <f t="shared" si="30"/>
        <v>2026</v>
      </c>
      <c r="B70" s="214">
        <f t="shared" ref="B70:B88" si="35">ROUND($B$63*(1+$B$92)^(A70-$A$63),0)</f>
        <v>23119</v>
      </c>
      <c r="C70" s="215">
        <f t="shared" ref="C70:C88" si="36">ROUND(B70*$B$93,0)</f>
        <v>694</v>
      </c>
      <c r="D70" s="214">
        <f t="shared" ref="D70:D88" si="37">B70-C70</f>
        <v>22425</v>
      </c>
      <c r="E70" s="215">
        <f t="shared" ref="E70:E88" si="38">B70*$B$104</f>
        <v>6221.1127272727272</v>
      </c>
      <c r="F70" s="220">
        <f t="shared" ref="F70:F88" si="39">ROUND(E70*$B$93,0)</f>
        <v>187</v>
      </c>
      <c r="G70" s="215">
        <f t="shared" ref="G70:G88" si="40">E70-F70</f>
        <v>6034.1127272727272</v>
      </c>
      <c r="H70" s="214">
        <f t="shared" ref="H70:H88" si="41">B70*$B$102</f>
        <v>342161.2</v>
      </c>
      <c r="I70" s="215">
        <f t="shared" ref="I70:I88" si="42">H70*$B$93</f>
        <v>10264.835999999999</v>
      </c>
      <c r="J70" s="214">
        <f t="shared" ref="J70:J88" si="43">H70-I70</f>
        <v>331896.364</v>
      </c>
      <c r="K70" s="215">
        <f t="shared" ref="K70:K88" si="44">B70*$B$110</f>
        <v>1849.52</v>
      </c>
      <c r="L70" s="220">
        <f t="shared" ref="L70:L88" si="45">ROUND(K70*$B$93,0)</f>
        <v>55</v>
      </c>
      <c r="M70" s="215">
        <f t="shared" ref="M70:M88" si="46">K70-L70</f>
        <v>1794.52</v>
      </c>
      <c r="N70" s="214">
        <f t="shared" ref="N70:N88" si="47">B70*$B$108</f>
        <v>101723.6</v>
      </c>
      <c r="O70" s="215">
        <f t="shared" ref="O70:O88" si="48">N70*$B$93</f>
        <v>3051.7080000000001</v>
      </c>
      <c r="P70" s="214">
        <f t="shared" ref="P70:P88" si="49">N70-O70</f>
        <v>98671.892000000007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RZ70" s="205"/>
      <c r="SA70" s="205"/>
      <c r="SB70" s="205"/>
      <c r="SC70" s="205"/>
      <c r="SD70" s="205"/>
      <c r="SE70" s="205"/>
      <c r="SF70" s="205"/>
      <c r="SG70" s="205"/>
      <c r="SH70" s="205"/>
      <c r="SI70" s="205"/>
      <c r="SJ70" s="205"/>
    </row>
    <row r="71" spans="1:504">
      <c r="A71" s="209">
        <f t="shared" si="30"/>
        <v>2027</v>
      </c>
      <c r="B71" s="214">
        <f t="shared" si="35"/>
        <v>23268</v>
      </c>
      <c r="C71" s="215">
        <f t="shared" si="36"/>
        <v>698</v>
      </c>
      <c r="D71" s="214">
        <f t="shared" si="37"/>
        <v>22570</v>
      </c>
      <c r="E71" s="215">
        <f t="shared" si="38"/>
        <v>6261.2072727272734</v>
      </c>
      <c r="F71" s="220">
        <f t="shared" si="39"/>
        <v>188</v>
      </c>
      <c r="G71" s="215">
        <f t="shared" si="40"/>
        <v>6073.2072727272734</v>
      </c>
      <c r="H71" s="214">
        <f t="shared" si="41"/>
        <v>344366.4</v>
      </c>
      <c r="I71" s="215">
        <f t="shared" si="42"/>
        <v>10330.992</v>
      </c>
      <c r="J71" s="214">
        <f t="shared" si="43"/>
        <v>334035.408</v>
      </c>
      <c r="K71" s="215">
        <f t="shared" si="44"/>
        <v>1861.44</v>
      </c>
      <c r="L71" s="220">
        <f t="shared" si="45"/>
        <v>56</v>
      </c>
      <c r="M71" s="215">
        <f t="shared" si="46"/>
        <v>1805.44</v>
      </c>
      <c r="N71" s="214">
        <f t="shared" si="47"/>
        <v>102379.20000000001</v>
      </c>
      <c r="O71" s="215">
        <f t="shared" si="48"/>
        <v>3071.3760000000002</v>
      </c>
      <c r="P71" s="214">
        <f t="shared" si="49"/>
        <v>99307.824000000008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RZ71" s="205"/>
      <c r="SA71" s="205"/>
      <c r="SB71" s="205"/>
      <c r="SC71" s="205"/>
      <c r="SD71" s="205"/>
      <c r="SE71" s="205"/>
      <c r="SF71" s="205"/>
      <c r="SG71" s="205"/>
      <c r="SH71" s="205"/>
      <c r="SI71" s="205"/>
      <c r="SJ71" s="205"/>
    </row>
    <row r="72" spans="1:504">
      <c r="A72" s="209">
        <f t="shared" si="30"/>
        <v>2028</v>
      </c>
      <c r="B72" s="214">
        <f t="shared" si="35"/>
        <v>23418</v>
      </c>
      <c r="C72" s="215">
        <f t="shared" si="36"/>
        <v>703</v>
      </c>
      <c r="D72" s="214">
        <f t="shared" si="37"/>
        <v>22715</v>
      </c>
      <c r="E72" s="215">
        <f t="shared" si="38"/>
        <v>6301.5709090909095</v>
      </c>
      <c r="F72" s="220">
        <f t="shared" si="39"/>
        <v>189</v>
      </c>
      <c r="G72" s="215">
        <f t="shared" si="40"/>
        <v>6112.5709090909095</v>
      </c>
      <c r="H72" s="214">
        <f t="shared" si="41"/>
        <v>346586.4</v>
      </c>
      <c r="I72" s="215">
        <f t="shared" si="42"/>
        <v>10397.592000000001</v>
      </c>
      <c r="J72" s="214">
        <f t="shared" si="43"/>
        <v>336188.80800000002</v>
      </c>
      <c r="K72" s="215">
        <f t="shared" si="44"/>
        <v>1873.44</v>
      </c>
      <c r="L72" s="220">
        <f t="shared" si="45"/>
        <v>56</v>
      </c>
      <c r="M72" s="215">
        <f t="shared" si="46"/>
        <v>1817.44</v>
      </c>
      <c r="N72" s="214">
        <f t="shared" si="47"/>
        <v>103039.20000000001</v>
      </c>
      <c r="O72" s="215">
        <f t="shared" si="48"/>
        <v>3091.1760000000004</v>
      </c>
      <c r="P72" s="214">
        <f t="shared" si="49"/>
        <v>99948.024000000005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RZ72" s="205"/>
      <c r="SA72" s="205"/>
      <c r="SB72" s="205"/>
      <c r="SC72" s="205"/>
      <c r="SD72" s="205"/>
      <c r="SE72" s="205"/>
      <c r="SF72" s="205"/>
      <c r="SG72" s="205"/>
      <c r="SH72" s="205"/>
      <c r="SI72" s="205"/>
      <c r="SJ72" s="205"/>
    </row>
    <row r="73" spans="1:504">
      <c r="A73" s="209">
        <f t="shared" si="30"/>
        <v>2029</v>
      </c>
      <c r="B73" s="214">
        <f t="shared" si="35"/>
        <v>23569</v>
      </c>
      <c r="C73" s="215">
        <f t="shared" si="36"/>
        <v>707</v>
      </c>
      <c r="D73" s="214">
        <f t="shared" si="37"/>
        <v>22862</v>
      </c>
      <c r="E73" s="215">
        <f t="shared" si="38"/>
        <v>6342.2036363636371</v>
      </c>
      <c r="F73" s="220">
        <f t="shared" si="39"/>
        <v>190</v>
      </c>
      <c r="G73" s="215">
        <f t="shared" si="40"/>
        <v>6152.2036363636371</v>
      </c>
      <c r="H73" s="214">
        <f t="shared" si="41"/>
        <v>348821.2</v>
      </c>
      <c r="I73" s="215">
        <f t="shared" si="42"/>
        <v>10464.636</v>
      </c>
      <c r="J73" s="214">
        <f t="shared" si="43"/>
        <v>338356.56400000001</v>
      </c>
      <c r="K73" s="215">
        <f t="shared" si="44"/>
        <v>1885.52</v>
      </c>
      <c r="L73" s="220">
        <f t="shared" si="45"/>
        <v>57</v>
      </c>
      <c r="M73" s="215">
        <f t="shared" si="46"/>
        <v>1828.52</v>
      </c>
      <c r="N73" s="214">
        <f t="shared" si="47"/>
        <v>103703.6</v>
      </c>
      <c r="O73" s="215">
        <f t="shared" si="48"/>
        <v>3111.1080000000002</v>
      </c>
      <c r="P73" s="214">
        <f t="shared" si="49"/>
        <v>100592.492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RZ73" s="205"/>
      <c r="SA73" s="205"/>
      <c r="SB73" s="205"/>
      <c r="SC73" s="205"/>
      <c r="SD73" s="205"/>
      <c r="SE73" s="205"/>
      <c r="SF73" s="205"/>
      <c r="SG73" s="205"/>
      <c r="SH73" s="205"/>
      <c r="SI73" s="205"/>
      <c r="SJ73" s="205"/>
    </row>
    <row r="74" spans="1:504">
      <c r="A74" s="209">
        <f t="shared" si="30"/>
        <v>2030</v>
      </c>
      <c r="B74" s="214">
        <f t="shared" si="35"/>
        <v>23722</v>
      </c>
      <c r="C74" s="215">
        <f t="shared" si="36"/>
        <v>712</v>
      </c>
      <c r="D74" s="214">
        <f t="shared" si="37"/>
        <v>23010</v>
      </c>
      <c r="E74" s="215">
        <f t="shared" si="38"/>
        <v>6383.374545454546</v>
      </c>
      <c r="F74" s="220">
        <f t="shared" si="39"/>
        <v>192</v>
      </c>
      <c r="G74" s="215">
        <f t="shared" si="40"/>
        <v>6191.374545454546</v>
      </c>
      <c r="H74" s="214">
        <f t="shared" si="41"/>
        <v>351085.60000000003</v>
      </c>
      <c r="I74" s="215">
        <f t="shared" si="42"/>
        <v>10532.568000000001</v>
      </c>
      <c r="J74" s="214">
        <f t="shared" si="43"/>
        <v>340553.03200000001</v>
      </c>
      <c r="K74" s="215">
        <f t="shared" si="44"/>
        <v>1897.76</v>
      </c>
      <c r="L74" s="220">
        <f t="shared" si="45"/>
        <v>57</v>
      </c>
      <c r="M74" s="215">
        <f t="shared" si="46"/>
        <v>1840.76</v>
      </c>
      <c r="N74" s="214">
        <f t="shared" si="47"/>
        <v>104376.8</v>
      </c>
      <c r="O74" s="215">
        <f t="shared" si="48"/>
        <v>3131.3040000000001</v>
      </c>
      <c r="P74" s="214">
        <f t="shared" si="49"/>
        <v>101245.496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RZ74" s="205"/>
      <c r="SA74" s="205"/>
      <c r="SB74" s="205"/>
      <c r="SC74" s="205"/>
      <c r="SD74" s="205"/>
      <c r="SE74" s="205"/>
      <c r="SF74" s="205"/>
      <c r="SG74" s="205"/>
      <c r="SH74" s="205"/>
      <c r="SI74" s="205"/>
      <c r="SJ74" s="205"/>
    </row>
    <row r="75" spans="1:504">
      <c r="A75" s="209">
        <f t="shared" si="30"/>
        <v>2031</v>
      </c>
      <c r="B75" s="214">
        <f t="shared" si="35"/>
        <v>23875</v>
      </c>
      <c r="C75" s="215">
        <f t="shared" si="36"/>
        <v>716</v>
      </c>
      <c r="D75" s="214">
        <f t="shared" si="37"/>
        <v>23159</v>
      </c>
      <c r="E75" s="215">
        <f t="shared" si="38"/>
        <v>6424.545454545455</v>
      </c>
      <c r="F75" s="220">
        <f t="shared" si="39"/>
        <v>193</v>
      </c>
      <c r="G75" s="215">
        <f t="shared" si="40"/>
        <v>6231.545454545455</v>
      </c>
      <c r="H75" s="214">
        <f t="shared" si="41"/>
        <v>353350</v>
      </c>
      <c r="I75" s="215">
        <f t="shared" si="42"/>
        <v>10600.5</v>
      </c>
      <c r="J75" s="214">
        <f t="shared" si="43"/>
        <v>342749.5</v>
      </c>
      <c r="K75" s="215">
        <f t="shared" si="44"/>
        <v>1910</v>
      </c>
      <c r="L75" s="220">
        <f t="shared" si="45"/>
        <v>57</v>
      </c>
      <c r="M75" s="215">
        <f t="shared" si="46"/>
        <v>1853</v>
      </c>
      <c r="N75" s="214">
        <f t="shared" si="47"/>
        <v>105050.00000000001</v>
      </c>
      <c r="O75" s="215">
        <f t="shared" si="48"/>
        <v>3151.5000000000005</v>
      </c>
      <c r="P75" s="214">
        <f t="shared" si="49"/>
        <v>101898.50000000001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RZ75" s="205"/>
      <c r="SA75" s="205"/>
      <c r="SB75" s="205"/>
      <c r="SC75" s="205"/>
      <c r="SD75" s="205"/>
      <c r="SE75" s="205"/>
      <c r="SF75" s="205"/>
      <c r="SG75" s="205"/>
      <c r="SH75" s="205"/>
      <c r="SI75" s="205"/>
      <c r="SJ75" s="205"/>
    </row>
    <row r="76" spans="1:504">
      <c r="A76" s="209">
        <f t="shared" si="30"/>
        <v>2032</v>
      </c>
      <c r="B76" s="214">
        <f t="shared" si="35"/>
        <v>24029</v>
      </c>
      <c r="C76" s="215">
        <f t="shared" si="36"/>
        <v>721</v>
      </c>
      <c r="D76" s="214">
        <f t="shared" si="37"/>
        <v>23308</v>
      </c>
      <c r="E76" s="215">
        <f t="shared" si="38"/>
        <v>6465.9854545454546</v>
      </c>
      <c r="F76" s="220">
        <f t="shared" si="39"/>
        <v>194</v>
      </c>
      <c r="G76" s="215">
        <f t="shared" si="40"/>
        <v>6271.9854545454546</v>
      </c>
      <c r="H76" s="214">
        <f t="shared" si="41"/>
        <v>355629.2</v>
      </c>
      <c r="I76" s="215">
        <f t="shared" si="42"/>
        <v>10668.876</v>
      </c>
      <c r="J76" s="214">
        <f t="shared" si="43"/>
        <v>344960.32400000002</v>
      </c>
      <c r="K76" s="215">
        <f t="shared" si="44"/>
        <v>1922.32</v>
      </c>
      <c r="L76" s="220">
        <f t="shared" si="45"/>
        <v>58</v>
      </c>
      <c r="M76" s="215">
        <f t="shared" si="46"/>
        <v>1864.32</v>
      </c>
      <c r="N76" s="214">
        <f t="shared" si="47"/>
        <v>105727.6</v>
      </c>
      <c r="O76" s="215">
        <f t="shared" si="48"/>
        <v>3171.828</v>
      </c>
      <c r="P76" s="214">
        <f t="shared" si="49"/>
        <v>102555.77200000001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RZ76" s="205"/>
      <c r="SA76" s="205"/>
      <c r="SB76" s="205"/>
      <c r="SC76" s="205"/>
      <c r="SD76" s="205"/>
      <c r="SE76" s="205"/>
      <c r="SF76" s="205"/>
      <c r="SG76" s="205"/>
      <c r="SH76" s="205"/>
      <c r="SI76" s="205"/>
      <c r="SJ76" s="205"/>
    </row>
    <row r="77" spans="1:504">
      <c r="A77" s="209">
        <f t="shared" si="30"/>
        <v>2033</v>
      </c>
      <c r="B77" s="214">
        <f t="shared" si="35"/>
        <v>24184</v>
      </c>
      <c r="C77" s="215">
        <f t="shared" si="36"/>
        <v>726</v>
      </c>
      <c r="D77" s="214">
        <f t="shared" si="37"/>
        <v>23458</v>
      </c>
      <c r="E77" s="215">
        <f t="shared" si="38"/>
        <v>6507.6945454545457</v>
      </c>
      <c r="F77" s="220">
        <f t="shared" si="39"/>
        <v>195</v>
      </c>
      <c r="G77" s="215">
        <f t="shared" si="40"/>
        <v>6312.6945454545457</v>
      </c>
      <c r="H77" s="214">
        <f t="shared" si="41"/>
        <v>357923.2</v>
      </c>
      <c r="I77" s="215">
        <f t="shared" si="42"/>
        <v>10737.696</v>
      </c>
      <c r="J77" s="214">
        <f t="shared" si="43"/>
        <v>347185.50400000002</v>
      </c>
      <c r="K77" s="215">
        <f t="shared" si="44"/>
        <v>1934.72</v>
      </c>
      <c r="L77" s="220">
        <f t="shared" si="45"/>
        <v>58</v>
      </c>
      <c r="M77" s="215">
        <f t="shared" si="46"/>
        <v>1876.72</v>
      </c>
      <c r="N77" s="214">
        <f t="shared" si="47"/>
        <v>106409.60000000001</v>
      </c>
      <c r="O77" s="215">
        <f t="shared" si="48"/>
        <v>3192.288</v>
      </c>
      <c r="P77" s="214">
        <f t="shared" si="49"/>
        <v>103217.31200000001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RZ77" s="205"/>
      <c r="SA77" s="205"/>
      <c r="SB77" s="205"/>
      <c r="SC77" s="205"/>
      <c r="SD77" s="205"/>
      <c r="SE77" s="205"/>
      <c r="SF77" s="205"/>
      <c r="SG77" s="205"/>
      <c r="SH77" s="205"/>
      <c r="SI77" s="205"/>
      <c r="SJ77" s="205"/>
    </row>
    <row r="78" spans="1:504">
      <c r="A78" s="209">
        <f t="shared" si="30"/>
        <v>2034</v>
      </c>
      <c r="B78" s="214">
        <f t="shared" si="35"/>
        <v>24340</v>
      </c>
      <c r="C78" s="215">
        <f t="shared" si="36"/>
        <v>730</v>
      </c>
      <c r="D78" s="214">
        <f t="shared" si="37"/>
        <v>23610</v>
      </c>
      <c r="E78" s="215">
        <f t="shared" si="38"/>
        <v>6549.6727272727276</v>
      </c>
      <c r="F78" s="220">
        <f t="shared" si="39"/>
        <v>196</v>
      </c>
      <c r="G78" s="215">
        <f t="shared" si="40"/>
        <v>6353.6727272727276</v>
      </c>
      <c r="H78" s="214">
        <f t="shared" si="41"/>
        <v>360232</v>
      </c>
      <c r="I78" s="215">
        <f t="shared" si="42"/>
        <v>10806.96</v>
      </c>
      <c r="J78" s="214">
        <f t="shared" si="43"/>
        <v>349425.04</v>
      </c>
      <c r="K78" s="215">
        <f t="shared" si="44"/>
        <v>1947.2</v>
      </c>
      <c r="L78" s="220">
        <f t="shared" si="45"/>
        <v>58</v>
      </c>
      <c r="M78" s="215">
        <f t="shared" si="46"/>
        <v>1889.2</v>
      </c>
      <c r="N78" s="214">
        <f t="shared" si="47"/>
        <v>107096.00000000001</v>
      </c>
      <c r="O78" s="215">
        <f t="shared" si="48"/>
        <v>3212.88</v>
      </c>
      <c r="P78" s="214">
        <f t="shared" si="49"/>
        <v>103883.12000000001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RZ78" s="205"/>
      <c r="SA78" s="205"/>
      <c r="SB78" s="205"/>
      <c r="SC78" s="205"/>
      <c r="SD78" s="205"/>
      <c r="SE78" s="205"/>
      <c r="SF78" s="205"/>
      <c r="SG78" s="205"/>
      <c r="SH78" s="205"/>
      <c r="SI78" s="205"/>
      <c r="SJ78" s="205"/>
    </row>
    <row r="79" spans="1:504">
      <c r="A79" s="209">
        <f t="shared" si="30"/>
        <v>2035</v>
      </c>
      <c r="B79" s="214">
        <f t="shared" si="35"/>
        <v>24498</v>
      </c>
      <c r="C79" s="215">
        <f t="shared" si="36"/>
        <v>735</v>
      </c>
      <c r="D79" s="214">
        <f t="shared" si="37"/>
        <v>23763</v>
      </c>
      <c r="E79" s="215">
        <f t="shared" si="38"/>
        <v>6592.1890909090916</v>
      </c>
      <c r="F79" s="220">
        <f t="shared" si="39"/>
        <v>198</v>
      </c>
      <c r="G79" s="215">
        <f t="shared" si="40"/>
        <v>6394.1890909090916</v>
      </c>
      <c r="H79" s="214">
        <f t="shared" si="41"/>
        <v>362570.4</v>
      </c>
      <c r="I79" s="215">
        <f t="shared" si="42"/>
        <v>10877.112000000001</v>
      </c>
      <c r="J79" s="214">
        <f t="shared" si="43"/>
        <v>351693.288</v>
      </c>
      <c r="K79" s="215">
        <f t="shared" si="44"/>
        <v>1959.8400000000001</v>
      </c>
      <c r="L79" s="220">
        <f t="shared" si="45"/>
        <v>59</v>
      </c>
      <c r="M79" s="215">
        <f t="shared" si="46"/>
        <v>1900.8400000000001</v>
      </c>
      <c r="N79" s="214">
        <f t="shared" si="47"/>
        <v>107791.20000000001</v>
      </c>
      <c r="O79" s="215">
        <f t="shared" si="48"/>
        <v>3233.7360000000003</v>
      </c>
      <c r="P79" s="214">
        <f t="shared" si="49"/>
        <v>104557.46400000001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RZ79" s="205"/>
      <c r="SA79" s="205"/>
      <c r="SB79" s="205"/>
      <c r="SC79" s="205"/>
      <c r="SD79" s="205"/>
      <c r="SE79" s="205"/>
      <c r="SF79" s="205"/>
      <c r="SG79" s="205"/>
      <c r="SH79" s="205"/>
      <c r="SI79" s="205"/>
      <c r="SJ79" s="205"/>
    </row>
    <row r="80" spans="1:504">
      <c r="A80" s="209">
        <f t="shared" si="30"/>
        <v>2036</v>
      </c>
      <c r="B80" s="214">
        <f t="shared" si="35"/>
        <v>24656</v>
      </c>
      <c r="C80" s="215">
        <f t="shared" si="36"/>
        <v>740</v>
      </c>
      <c r="D80" s="214">
        <f t="shared" si="37"/>
        <v>23916</v>
      </c>
      <c r="E80" s="215">
        <f t="shared" si="38"/>
        <v>6634.7054545454548</v>
      </c>
      <c r="F80" s="220">
        <f t="shared" si="39"/>
        <v>199</v>
      </c>
      <c r="G80" s="215">
        <f t="shared" si="40"/>
        <v>6435.7054545454548</v>
      </c>
      <c r="H80" s="214">
        <f t="shared" si="41"/>
        <v>364908.80000000005</v>
      </c>
      <c r="I80" s="215">
        <f t="shared" si="42"/>
        <v>10947.264000000001</v>
      </c>
      <c r="J80" s="214">
        <f t="shared" si="43"/>
        <v>353961.53600000002</v>
      </c>
      <c r="K80" s="215">
        <f t="shared" si="44"/>
        <v>1972.48</v>
      </c>
      <c r="L80" s="220">
        <f t="shared" si="45"/>
        <v>59</v>
      </c>
      <c r="M80" s="215">
        <f t="shared" si="46"/>
        <v>1913.48</v>
      </c>
      <c r="N80" s="214">
        <f t="shared" si="47"/>
        <v>108486.40000000001</v>
      </c>
      <c r="O80" s="215">
        <f t="shared" si="48"/>
        <v>3254.5920000000001</v>
      </c>
      <c r="P80" s="214">
        <f t="shared" si="49"/>
        <v>105231.808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RZ80" s="205"/>
      <c r="SA80" s="205"/>
      <c r="SB80" s="205"/>
      <c r="SC80" s="205"/>
      <c r="SD80" s="205"/>
      <c r="SE80" s="205"/>
      <c r="SF80" s="205"/>
      <c r="SG80" s="205"/>
      <c r="SH80" s="205"/>
      <c r="SI80" s="205"/>
      <c r="SJ80" s="205"/>
    </row>
    <row r="81" spans="1:504">
      <c r="A81" s="209">
        <f t="shared" si="30"/>
        <v>2037</v>
      </c>
      <c r="B81" s="214">
        <f t="shared" si="35"/>
        <v>24815</v>
      </c>
      <c r="C81" s="215">
        <f t="shared" si="36"/>
        <v>744</v>
      </c>
      <c r="D81" s="214">
        <f t="shared" si="37"/>
        <v>24071</v>
      </c>
      <c r="E81" s="215">
        <f t="shared" si="38"/>
        <v>6677.4909090909096</v>
      </c>
      <c r="F81" s="220">
        <f t="shared" si="39"/>
        <v>200</v>
      </c>
      <c r="G81" s="215">
        <f t="shared" si="40"/>
        <v>6477.4909090909096</v>
      </c>
      <c r="H81" s="214">
        <f t="shared" si="41"/>
        <v>367262</v>
      </c>
      <c r="I81" s="215">
        <f t="shared" si="42"/>
        <v>11017.859999999999</v>
      </c>
      <c r="J81" s="214">
        <f t="shared" si="43"/>
        <v>356244.14</v>
      </c>
      <c r="K81" s="215">
        <f t="shared" si="44"/>
        <v>1985.2</v>
      </c>
      <c r="L81" s="220">
        <f t="shared" si="45"/>
        <v>60</v>
      </c>
      <c r="M81" s="215">
        <f t="shared" si="46"/>
        <v>1925.2</v>
      </c>
      <c r="N81" s="214">
        <f t="shared" si="47"/>
        <v>109186.00000000001</v>
      </c>
      <c r="O81" s="215">
        <f t="shared" si="48"/>
        <v>3275.5800000000004</v>
      </c>
      <c r="P81" s="214">
        <f t="shared" si="49"/>
        <v>105910.42000000001</v>
      </c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RZ81" s="205"/>
      <c r="SA81" s="205"/>
      <c r="SB81" s="205"/>
      <c r="SC81" s="205"/>
      <c r="SD81" s="205"/>
      <c r="SE81" s="205"/>
      <c r="SF81" s="205"/>
      <c r="SG81" s="205"/>
      <c r="SH81" s="205"/>
      <c r="SI81" s="205"/>
      <c r="SJ81" s="205"/>
    </row>
    <row r="82" spans="1:504">
      <c r="A82" s="209">
        <f t="shared" si="30"/>
        <v>2038</v>
      </c>
      <c r="B82" s="214">
        <f t="shared" si="35"/>
        <v>24975</v>
      </c>
      <c r="C82" s="215">
        <f t="shared" si="36"/>
        <v>749</v>
      </c>
      <c r="D82" s="214">
        <f t="shared" si="37"/>
        <v>24226</v>
      </c>
      <c r="E82" s="215">
        <f t="shared" si="38"/>
        <v>6720.545454545455</v>
      </c>
      <c r="F82" s="220">
        <f t="shared" si="39"/>
        <v>202</v>
      </c>
      <c r="G82" s="215">
        <f t="shared" si="40"/>
        <v>6518.545454545455</v>
      </c>
      <c r="H82" s="214">
        <f t="shared" si="41"/>
        <v>369630</v>
      </c>
      <c r="I82" s="215">
        <f t="shared" si="42"/>
        <v>11088.9</v>
      </c>
      <c r="J82" s="214">
        <f t="shared" si="43"/>
        <v>358541.1</v>
      </c>
      <c r="K82" s="215">
        <f t="shared" si="44"/>
        <v>1998</v>
      </c>
      <c r="L82" s="220">
        <f t="shared" si="45"/>
        <v>60</v>
      </c>
      <c r="M82" s="215">
        <f t="shared" si="46"/>
        <v>1938</v>
      </c>
      <c r="N82" s="214">
        <f t="shared" si="47"/>
        <v>109890.00000000001</v>
      </c>
      <c r="O82" s="215">
        <f t="shared" si="48"/>
        <v>3296.7000000000003</v>
      </c>
      <c r="P82" s="214">
        <f t="shared" si="49"/>
        <v>106593.30000000002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RZ82" s="205"/>
      <c r="SA82" s="205"/>
      <c r="SB82" s="205"/>
      <c r="SC82" s="205"/>
      <c r="SD82" s="205"/>
      <c r="SE82" s="205"/>
      <c r="SF82" s="205"/>
      <c r="SG82" s="205"/>
      <c r="SH82" s="205"/>
      <c r="SI82" s="205"/>
      <c r="SJ82" s="205"/>
    </row>
    <row r="83" spans="1:504">
      <c r="A83" s="209">
        <f t="shared" si="30"/>
        <v>2039</v>
      </c>
      <c r="B83" s="214">
        <f t="shared" si="35"/>
        <v>25137</v>
      </c>
      <c r="C83" s="215">
        <f t="shared" si="36"/>
        <v>754</v>
      </c>
      <c r="D83" s="214">
        <f t="shared" si="37"/>
        <v>24383</v>
      </c>
      <c r="E83" s="215">
        <f t="shared" si="38"/>
        <v>6764.1381818181817</v>
      </c>
      <c r="F83" s="220">
        <f t="shared" si="39"/>
        <v>203</v>
      </c>
      <c r="G83" s="215">
        <f t="shared" si="40"/>
        <v>6561.1381818181817</v>
      </c>
      <c r="H83" s="214">
        <f t="shared" si="41"/>
        <v>372027.60000000003</v>
      </c>
      <c r="I83" s="215">
        <f t="shared" si="42"/>
        <v>11160.828000000001</v>
      </c>
      <c r="J83" s="214">
        <f t="shared" si="43"/>
        <v>360866.77200000006</v>
      </c>
      <c r="K83" s="215">
        <f t="shared" si="44"/>
        <v>2010.96</v>
      </c>
      <c r="L83" s="220">
        <f t="shared" si="45"/>
        <v>60</v>
      </c>
      <c r="M83" s="215">
        <f t="shared" si="46"/>
        <v>1950.96</v>
      </c>
      <c r="N83" s="214">
        <f t="shared" si="47"/>
        <v>110602.8</v>
      </c>
      <c r="O83" s="215">
        <f t="shared" si="48"/>
        <v>3318.0839999999998</v>
      </c>
      <c r="P83" s="214">
        <f t="shared" si="49"/>
        <v>107284.716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RZ83" s="205"/>
      <c r="SA83" s="205"/>
      <c r="SB83" s="205"/>
      <c r="SC83" s="205"/>
      <c r="SD83" s="205"/>
      <c r="SE83" s="205"/>
      <c r="SF83" s="205"/>
      <c r="SG83" s="205"/>
      <c r="SH83" s="205"/>
      <c r="SI83" s="205"/>
      <c r="SJ83" s="205"/>
    </row>
    <row r="84" spans="1:504">
      <c r="A84" s="209">
        <f t="shared" si="30"/>
        <v>2040</v>
      </c>
      <c r="B84" s="214">
        <f t="shared" si="35"/>
        <v>25299</v>
      </c>
      <c r="C84" s="215">
        <f t="shared" si="36"/>
        <v>759</v>
      </c>
      <c r="D84" s="214">
        <f t="shared" si="37"/>
        <v>24540</v>
      </c>
      <c r="E84" s="215">
        <f t="shared" si="38"/>
        <v>6807.7309090909093</v>
      </c>
      <c r="F84" s="220">
        <f t="shared" si="39"/>
        <v>204</v>
      </c>
      <c r="G84" s="215">
        <f t="shared" si="40"/>
        <v>6603.7309090909093</v>
      </c>
      <c r="H84" s="214">
        <f t="shared" si="41"/>
        <v>374425.2</v>
      </c>
      <c r="I84" s="215">
        <f t="shared" si="42"/>
        <v>11232.755999999999</v>
      </c>
      <c r="J84" s="214">
        <f t="shared" si="43"/>
        <v>363192.44400000002</v>
      </c>
      <c r="K84" s="215">
        <f t="shared" si="44"/>
        <v>2023.92</v>
      </c>
      <c r="L84" s="220">
        <f t="shared" si="45"/>
        <v>61</v>
      </c>
      <c r="M84" s="215">
        <f t="shared" si="46"/>
        <v>1962.92</v>
      </c>
      <c r="N84" s="214">
        <f t="shared" si="47"/>
        <v>111315.6</v>
      </c>
      <c r="O84" s="215">
        <f t="shared" si="48"/>
        <v>3339.4679999999998</v>
      </c>
      <c r="P84" s="214">
        <f t="shared" si="49"/>
        <v>107976.13200000001</v>
      </c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RZ84" s="205"/>
      <c r="SA84" s="205"/>
      <c r="SB84" s="205"/>
      <c r="SC84" s="205"/>
      <c r="SD84" s="205"/>
      <c r="SE84" s="205"/>
      <c r="SF84" s="205"/>
      <c r="SG84" s="205"/>
      <c r="SH84" s="205"/>
      <c r="SI84" s="205"/>
      <c r="SJ84" s="205"/>
    </row>
    <row r="85" spans="1:504">
      <c r="A85" s="209">
        <f t="shared" si="30"/>
        <v>2041</v>
      </c>
      <c r="B85" s="214">
        <f t="shared" si="35"/>
        <v>25462</v>
      </c>
      <c r="C85" s="215">
        <f t="shared" si="36"/>
        <v>764</v>
      </c>
      <c r="D85" s="214">
        <f t="shared" si="37"/>
        <v>24698</v>
      </c>
      <c r="E85" s="215">
        <f t="shared" si="38"/>
        <v>6851.5927272727276</v>
      </c>
      <c r="F85" s="220">
        <f t="shared" si="39"/>
        <v>206</v>
      </c>
      <c r="G85" s="215">
        <f t="shared" si="40"/>
        <v>6645.5927272727276</v>
      </c>
      <c r="H85" s="214">
        <f t="shared" si="41"/>
        <v>376837.60000000003</v>
      </c>
      <c r="I85" s="215">
        <f t="shared" si="42"/>
        <v>11305.128000000001</v>
      </c>
      <c r="J85" s="214">
        <f t="shared" si="43"/>
        <v>365532.47200000001</v>
      </c>
      <c r="K85" s="215">
        <f t="shared" si="44"/>
        <v>2036.96</v>
      </c>
      <c r="L85" s="220">
        <f t="shared" si="45"/>
        <v>61</v>
      </c>
      <c r="M85" s="215">
        <f t="shared" si="46"/>
        <v>1975.96</v>
      </c>
      <c r="N85" s="214">
        <f t="shared" si="47"/>
        <v>112032.8</v>
      </c>
      <c r="O85" s="215">
        <f t="shared" si="48"/>
        <v>3360.9839999999999</v>
      </c>
      <c r="P85" s="214">
        <f t="shared" si="49"/>
        <v>108671.81600000001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RZ85" s="205"/>
      <c r="SA85" s="205"/>
      <c r="SB85" s="205"/>
      <c r="SC85" s="205"/>
      <c r="SD85" s="205"/>
      <c r="SE85" s="205"/>
      <c r="SF85" s="205"/>
      <c r="SG85" s="205"/>
      <c r="SH85" s="205"/>
      <c r="SI85" s="205"/>
      <c r="SJ85" s="205"/>
    </row>
    <row r="86" spans="1:504">
      <c r="A86" s="209">
        <f t="shared" si="30"/>
        <v>2042</v>
      </c>
      <c r="B86" s="214">
        <f t="shared" si="35"/>
        <v>25627</v>
      </c>
      <c r="C86" s="215">
        <f t="shared" si="36"/>
        <v>769</v>
      </c>
      <c r="D86" s="214">
        <f t="shared" si="37"/>
        <v>24858</v>
      </c>
      <c r="E86" s="215">
        <f t="shared" si="38"/>
        <v>6895.9927272727273</v>
      </c>
      <c r="F86" s="220">
        <f t="shared" si="39"/>
        <v>207</v>
      </c>
      <c r="G86" s="215">
        <f t="shared" si="40"/>
        <v>6688.9927272727273</v>
      </c>
      <c r="H86" s="214">
        <f t="shared" si="41"/>
        <v>379279.60000000003</v>
      </c>
      <c r="I86" s="215">
        <f t="shared" si="42"/>
        <v>11378.388000000001</v>
      </c>
      <c r="J86" s="214">
        <f t="shared" si="43"/>
        <v>367901.21200000006</v>
      </c>
      <c r="K86" s="215">
        <f t="shared" si="44"/>
        <v>2050.16</v>
      </c>
      <c r="L86" s="220">
        <f t="shared" si="45"/>
        <v>62</v>
      </c>
      <c r="M86" s="215">
        <f t="shared" si="46"/>
        <v>1988.1599999999999</v>
      </c>
      <c r="N86" s="214">
        <f t="shared" si="47"/>
        <v>112758.8</v>
      </c>
      <c r="O86" s="215">
        <f t="shared" si="48"/>
        <v>3382.7640000000001</v>
      </c>
      <c r="P86" s="214">
        <f t="shared" si="49"/>
        <v>109376.03600000001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RZ86" s="205"/>
      <c r="SA86" s="205"/>
      <c r="SB86" s="205"/>
      <c r="SC86" s="205"/>
      <c r="SD86" s="205"/>
      <c r="SE86" s="205"/>
      <c r="SF86" s="205"/>
      <c r="SG86" s="205"/>
      <c r="SH86" s="205"/>
      <c r="SI86" s="205"/>
      <c r="SJ86" s="205"/>
    </row>
    <row r="87" spans="1:504">
      <c r="A87" s="209">
        <f t="shared" si="30"/>
        <v>2043</v>
      </c>
      <c r="B87" s="214">
        <f t="shared" si="35"/>
        <v>25792</v>
      </c>
      <c r="C87" s="215">
        <f t="shared" si="36"/>
        <v>774</v>
      </c>
      <c r="D87" s="214">
        <f t="shared" si="37"/>
        <v>25018</v>
      </c>
      <c r="E87" s="215">
        <f t="shared" si="38"/>
        <v>6940.3927272727278</v>
      </c>
      <c r="F87" s="220">
        <f t="shared" si="39"/>
        <v>208</v>
      </c>
      <c r="G87" s="215">
        <f t="shared" si="40"/>
        <v>6732.3927272727278</v>
      </c>
      <c r="H87" s="214">
        <f t="shared" si="41"/>
        <v>381721.60000000003</v>
      </c>
      <c r="I87" s="215">
        <f t="shared" si="42"/>
        <v>11451.648000000001</v>
      </c>
      <c r="J87" s="214">
        <f t="shared" si="43"/>
        <v>370269.95200000005</v>
      </c>
      <c r="K87" s="215">
        <f t="shared" si="44"/>
        <v>2063.36</v>
      </c>
      <c r="L87" s="220">
        <f t="shared" si="45"/>
        <v>62</v>
      </c>
      <c r="M87" s="215">
        <f t="shared" si="46"/>
        <v>2001.3600000000001</v>
      </c>
      <c r="N87" s="214">
        <f t="shared" si="47"/>
        <v>113484.8</v>
      </c>
      <c r="O87" s="215">
        <f t="shared" si="48"/>
        <v>3404.5439999999999</v>
      </c>
      <c r="P87" s="214">
        <f t="shared" si="49"/>
        <v>110080.25600000001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RZ87" s="205"/>
      <c r="SA87" s="205"/>
      <c r="SB87" s="205"/>
      <c r="SC87" s="205"/>
      <c r="SD87" s="205"/>
      <c r="SE87" s="205"/>
      <c r="SF87" s="205"/>
      <c r="SG87" s="205"/>
      <c r="SH87" s="205"/>
      <c r="SI87" s="205"/>
      <c r="SJ87" s="205"/>
    </row>
    <row r="88" spans="1:504">
      <c r="A88" s="221">
        <f t="shared" si="30"/>
        <v>2044</v>
      </c>
      <c r="B88" s="222">
        <f t="shared" si="35"/>
        <v>25959</v>
      </c>
      <c r="C88" s="223">
        <f t="shared" si="36"/>
        <v>779</v>
      </c>
      <c r="D88" s="222">
        <f t="shared" si="37"/>
        <v>25180</v>
      </c>
      <c r="E88" s="223">
        <f t="shared" si="38"/>
        <v>6985.3309090909097</v>
      </c>
      <c r="F88" s="224">
        <f t="shared" si="39"/>
        <v>210</v>
      </c>
      <c r="G88" s="223">
        <f t="shared" si="40"/>
        <v>6775.3309090909097</v>
      </c>
      <c r="H88" s="222">
        <f t="shared" si="41"/>
        <v>384193.2</v>
      </c>
      <c r="I88" s="223">
        <f t="shared" si="42"/>
        <v>11525.796</v>
      </c>
      <c r="J88" s="222">
        <f t="shared" si="43"/>
        <v>372667.40400000004</v>
      </c>
      <c r="K88" s="223">
        <f t="shared" si="44"/>
        <v>2076.7200000000003</v>
      </c>
      <c r="L88" s="224">
        <f t="shared" si="45"/>
        <v>62</v>
      </c>
      <c r="M88" s="223">
        <f t="shared" si="46"/>
        <v>2014.7200000000003</v>
      </c>
      <c r="N88" s="222">
        <f t="shared" si="47"/>
        <v>114219.6</v>
      </c>
      <c r="O88" s="223">
        <f t="shared" si="48"/>
        <v>3426.5880000000002</v>
      </c>
      <c r="P88" s="222">
        <f t="shared" si="49"/>
        <v>110793.012</v>
      </c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RZ88" s="205"/>
      <c r="SA88" s="205"/>
      <c r="SB88" s="205"/>
      <c r="SC88" s="205"/>
      <c r="SD88" s="205"/>
      <c r="SE88" s="205"/>
      <c r="SF88" s="205"/>
      <c r="SG88" s="205"/>
      <c r="SH88" s="205"/>
      <c r="SI88" s="205"/>
      <c r="SJ88" s="205"/>
    </row>
    <row r="89" spans="1:504">
      <c r="A89" s="24"/>
      <c r="B89" s="19"/>
      <c r="C89" s="20"/>
      <c r="D89" s="21"/>
      <c r="E89" s="21"/>
      <c r="F89" s="19"/>
      <c r="G89" s="20"/>
      <c r="H89" s="21"/>
      <c r="I89" s="21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pans="1:504" ht="13.9" customHeight="1">
      <c r="A90" s="225"/>
      <c r="B90" s="225"/>
      <c r="C90" s="225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spans="1:504" ht="13.9" customHeight="1">
      <c r="A91" s="505" t="s">
        <v>267</v>
      </c>
      <c r="B91" s="506"/>
      <c r="C91" s="227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spans="1:504" ht="13.9" customHeight="1">
      <c r="A92" s="14" t="s">
        <v>268</v>
      </c>
      <c r="B92" s="228">
        <f>(B98/B97)^(1/5)-1</f>
        <v>6.458101486379153E-3</v>
      </c>
      <c r="C92" s="227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spans="1:504" ht="13.9" customHeight="1">
      <c r="A93" s="14" t="s">
        <v>269</v>
      </c>
      <c r="B93" s="228">
        <v>0.03</v>
      </c>
      <c r="C93" s="227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spans="1:504" ht="13.9" customHeight="1">
      <c r="A94" s="544" t="s">
        <v>270</v>
      </c>
      <c r="B94" s="545"/>
      <c r="C94" s="227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</row>
    <row r="95" spans="1:504" ht="13.9" customHeight="1">
      <c r="A95" s="229"/>
      <c r="B95" s="229"/>
      <c r="C95" s="225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</row>
    <row r="96" spans="1:504" ht="13.9" customHeight="1">
      <c r="A96" s="505" t="s">
        <v>271</v>
      </c>
      <c r="B96" s="506"/>
      <c r="C96" s="225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</row>
    <row r="97" spans="1:31">
      <c r="A97" s="230" t="s">
        <v>272</v>
      </c>
      <c r="B97" s="231">
        <v>21400</v>
      </c>
      <c r="C97" s="225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</row>
    <row r="98" spans="1:31">
      <c r="A98" s="230" t="s">
        <v>273</v>
      </c>
      <c r="B98" s="231">
        <v>22100</v>
      </c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</row>
    <row r="99" spans="1:31" ht="16.149999999999999" customHeight="1">
      <c r="A99" s="544" t="s">
        <v>270</v>
      </c>
      <c r="B99" s="545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</row>
    <row r="100" spans="1:31" ht="13.9" customHeight="1">
      <c r="A100" s="226"/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</row>
    <row r="101" spans="1:31" ht="13.9" customHeight="1">
      <c r="A101" s="505" t="s">
        <v>274</v>
      </c>
      <c r="B101" s="50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spans="1:31" ht="13.9" customHeight="1">
      <c r="A102" s="232" t="s">
        <v>275</v>
      </c>
      <c r="B102" s="233">
        <v>14.8</v>
      </c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</row>
    <row r="103" spans="1:31" ht="13.9" customHeight="1">
      <c r="A103" s="232" t="s">
        <v>276</v>
      </c>
      <c r="B103" s="234">
        <v>55</v>
      </c>
      <c r="C103" s="238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</row>
    <row r="104" spans="1:31" ht="13.9" customHeight="1">
      <c r="A104" s="232" t="s">
        <v>277</v>
      </c>
      <c r="B104" s="233">
        <f>B102/B103</f>
        <v>0.2690909090909091</v>
      </c>
      <c r="C104" s="238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</row>
    <row r="105" spans="1:31" ht="13.9" customHeight="1">
      <c r="A105" s="544" t="s">
        <v>278</v>
      </c>
      <c r="B105" s="545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</row>
    <row r="106" spans="1:31" ht="13.9" customHeight="1">
      <c r="A106" s="229"/>
      <c r="B106" s="229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</row>
    <row r="107" spans="1:31" ht="13.9" customHeight="1">
      <c r="A107" s="505" t="s">
        <v>279</v>
      </c>
      <c r="B107" s="50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</row>
    <row r="108" spans="1:31" ht="13.9" customHeight="1">
      <c r="A108" s="232" t="s">
        <v>275</v>
      </c>
      <c r="B108" s="233">
        <v>4.4000000000000004</v>
      </c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</row>
    <row r="109" spans="1:31" ht="13.9" customHeight="1">
      <c r="A109" s="232" t="s">
        <v>276</v>
      </c>
      <c r="B109" s="234">
        <v>55</v>
      </c>
      <c r="C109" s="238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</row>
    <row r="110" spans="1:31" ht="13.9" customHeight="1">
      <c r="A110" s="232" t="s">
        <v>277</v>
      </c>
      <c r="B110" s="233">
        <f>B108/B109</f>
        <v>0.08</v>
      </c>
      <c r="C110" s="238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</row>
    <row r="111" spans="1:31" ht="13.9" customHeight="1">
      <c r="A111" s="544" t="s">
        <v>278</v>
      </c>
      <c r="B111" s="545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</row>
    <row r="112" spans="1:31" ht="13.9" customHeight="1">
      <c r="A112" s="229"/>
      <c r="B112" s="229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</row>
    <row r="113" spans="1:31" ht="13.9" customHeight="1">
      <c r="A113" s="505" t="s">
        <v>280</v>
      </c>
      <c r="B113" s="50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</row>
    <row r="114" spans="1:31" ht="13.9" customHeight="1">
      <c r="A114" s="230" t="s">
        <v>144</v>
      </c>
      <c r="B114" s="329">
        <v>32</v>
      </c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</row>
    <row r="115" spans="1:31" ht="13.9" customHeight="1">
      <c r="A115" s="230" t="s">
        <v>281</v>
      </c>
      <c r="B115" s="329">
        <v>17.8</v>
      </c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</row>
    <row r="116" spans="1:31" ht="13.9" customHeight="1">
      <c r="A116" s="544" t="s">
        <v>282</v>
      </c>
      <c r="B116" s="545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</row>
    <row r="117" spans="1:31" ht="13.9" customHeight="1">
      <c r="A117" s="19"/>
      <c r="B117" s="19"/>
      <c r="C117" s="20"/>
      <c r="D117" s="235"/>
      <c r="E117" s="19"/>
      <c r="F117" s="19"/>
      <c r="G117" s="236"/>
      <c r="H117" s="19"/>
      <c r="I117" s="19"/>
      <c r="J117" s="19"/>
      <c r="K117" s="237"/>
      <c r="L117" s="237"/>
      <c r="M117" s="225"/>
      <c r="N117" s="225"/>
      <c r="O117" s="225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</row>
    <row r="118" spans="1:31" ht="13.9" customHeight="1">
      <c r="A118" s="505" t="s">
        <v>283</v>
      </c>
      <c r="B118" s="506"/>
      <c r="C118" s="20"/>
      <c r="D118" s="235"/>
      <c r="E118" s="19"/>
      <c r="F118" s="19"/>
      <c r="G118" s="236"/>
      <c r="H118" s="19"/>
      <c r="I118" s="19"/>
      <c r="J118" s="19"/>
      <c r="K118" s="237"/>
      <c r="L118" s="237"/>
      <c r="M118" s="225"/>
      <c r="N118" s="225"/>
      <c r="O118" s="225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</row>
    <row r="119" spans="1:31" ht="13.9" customHeight="1">
      <c r="A119" s="230" t="s">
        <v>284</v>
      </c>
      <c r="B119" s="329">
        <v>0.94</v>
      </c>
      <c r="C119" s="20"/>
      <c r="D119" s="235"/>
      <c r="E119" s="19"/>
      <c r="F119" s="19"/>
      <c r="G119" s="236"/>
      <c r="H119" s="19"/>
      <c r="I119" s="19"/>
      <c r="J119" s="19"/>
      <c r="K119" s="237"/>
      <c r="L119" s="237"/>
      <c r="M119" s="225"/>
      <c r="N119" s="225"/>
      <c r="O119" s="225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</row>
    <row r="120" spans="1:31" ht="13.9" customHeight="1">
      <c r="A120" s="230" t="s">
        <v>285</v>
      </c>
      <c r="B120" s="329">
        <v>0.45</v>
      </c>
      <c r="C120" s="20"/>
      <c r="D120" s="235"/>
      <c r="E120" s="19"/>
      <c r="F120" s="19"/>
      <c r="G120" s="236"/>
      <c r="H120" s="19"/>
      <c r="I120" s="19"/>
      <c r="J120" s="19"/>
      <c r="K120" s="237"/>
      <c r="L120" s="237"/>
      <c r="M120" s="225"/>
      <c r="N120" s="225"/>
      <c r="O120" s="225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</row>
    <row r="121" spans="1:31" ht="13.9" customHeight="1">
      <c r="A121" s="544" t="s">
        <v>282</v>
      </c>
      <c r="B121" s="545"/>
      <c r="C121" s="20"/>
      <c r="D121" s="235"/>
      <c r="E121" s="19"/>
      <c r="F121" s="19"/>
      <c r="G121" s="236"/>
      <c r="H121" s="19"/>
      <c r="I121" s="19"/>
      <c r="J121" s="19"/>
      <c r="K121" s="237"/>
      <c r="L121" s="237"/>
      <c r="M121" s="225"/>
      <c r="N121" s="225"/>
      <c r="O121" s="225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</row>
    <row r="122" spans="1:31">
      <c r="A122" s="238"/>
      <c r="B122" s="239"/>
      <c r="C122" s="238"/>
      <c r="D122" s="235"/>
      <c r="E122" s="240"/>
      <c r="F122" s="21"/>
      <c r="G122" s="236"/>
      <c r="H122" s="19"/>
      <c r="I122" s="19"/>
      <c r="J122" s="19"/>
      <c r="K122" s="19"/>
      <c r="L122" s="22"/>
      <c r="M122" s="241"/>
      <c r="N122" s="22"/>
      <c r="O122" s="241"/>
      <c r="P122" s="22"/>
      <c r="Q122" s="241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</row>
    <row r="123" spans="1:31">
      <c r="A123" s="23"/>
      <c r="B123" s="23"/>
      <c r="C123" s="23"/>
      <c r="D123" s="23"/>
      <c r="E123" s="23"/>
      <c r="F123" s="23"/>
      <c r="G123" s="23"/>
      <c r="H123" s="19"/>
      <c r="I123" s="19"/>
      <c r="J123" s="19"/>
      <c r="K123" s="19"/>
      <c r="L123" s="22"/>
      <c r="M123" s="241"/>
      <c r="N123" s="22"/>
      <c r="O123" s="241"/>
      <c r="P123" s="22"/>
      <c r="Q123" s="241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</row>
    <row r="124" spans="1:31" ht="13.1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19"/>
      <c r="L124" s="238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</row>
    <row r="125" spans="1:31" ht="13.1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8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</row>
    <row r="126" spans="1:3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19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</row>
    <row r="127" spans="1:3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</row>
    <row r="128" spans="1:3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</row>
    <row r="129" spans="1:3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</row>
    <row r="130" spans="1:3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pans="1:3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</row>
    <row r="132" spans="1:3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1:3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</row>
    <row r="134" spans="1:3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</row>
    <row r="135" spans="1:3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</row>
    <row r="136" spans="1:3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</row>
    <row r="137" spans="1:3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</row>
    <row r="138" spans="1:3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</row>
    <row r="139" spans="1:3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</row>
    <row r="140" spans="1:3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spans="1:3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</row>
    <row r="142" spans="1:3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</row>
    <row r="143" spans="1:3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</row>
    <row r="144" spans="1:3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</row>
    <row r="145" spans="1:3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</row>
    <row r="146" spans="1:3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</row>
    <row r="147" spans="1:3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</row>
    <row r="148" spans="1:3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</row>
    <row r="149" spans="1:3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</row>
    <row r="150" spans="1:3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</row>
    <row r="151" spans="1:3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</row>
    <row r="152" spans="1:3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</row>
    <row r="153" spans="1:3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</row>
    <row r="154" spans="1:3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</row>
    <row r="155" spans="1:31">
      <c r="A155" s="570"/>
      <c r="B155" s="569"/>
      <c r="C155" s="569"/>
      <c r="D155" s="569"/>
      <c r="E155" s="569"/>
      <c r="F155" s="569"/>
      <c r="G155" s="569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</row>
    <row r="156" spans="1:31">
      <c r="A156" s="570"/>
      <c r="B156" s="176"/>
      <c r="C156" s="242"/>
      <c r="D156" s="242"/>
      <c r="E156" s="176"/>
      <c r="F156" s="242"/>
      <c r="G156" s="24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</row>
    <row r="157" spans="1:31">
      <c r="A157" s="24"/>
      <c r="B157" s="22"/>
      <c r="C157" s="22"/>
      <c r="D157" s="22"/>
      <c r="E157" s="22"/>
      <c r="F157" s="22"/>
      <c r="G157" s="2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</row>
    <row r="158" spans="1:31">
      <c r="A158" s="24"/>
      <c r="B158" s="22"/>
      <c r="C158" s="22"/>
      <c r="D158" s="22"/>
      <c r="E158" s="22"/>
      <c r="F158" s="22"/>
      <c r="G158" s="2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</row>
    <row r="159" spans="1:31">
      <c r="A159" s="24"/>
      <c r="B159" s="22"/>
      <c r="C159" s="22"/>
      <c r="D159" s="22"/>
      <c r="E159" s="22"/>
      <c r="F159" s="22"/>
      <c r="G159" s="22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</row>
    <row r="160" spans="1:31">
      <c r="A160" s="24"/>
      <c r="B160" s="22"/>
      <c r="C160" s="22"/>
      <c r="D160" s="22"/>
      <c r="E160" s="22"/>
      <c r="F160" s="22"/>
      <c r="G160" s="22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</row>
    <row r="161" spans="1:31">
      <c r="A161" s="24"/>
      <c r="B161" s="22"/>
      <c r="C161" s="22"/>
      <c r="D161" s="22"/>
      <c r="E161" s="22"/>
      <c r="F161" s="22"/>
      <c r="G161" s="22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</row>
    <row r="162" spans="1:31">
      <c r="A162" s="24"/>
      <c r="B162" s="22"/>
      <c r="C162" s="22"/>
      <c r="D162" s="22"/>
      <c r="E162" s="22"/>
      <c r="F162" s="22"/>
      <c r="G162" s="22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</row>
    <row r="163" spans="1:31">
      <c r="A163" s="24"/>
      <c r="B163" s="22"/>
      <c r="C163" s="22"/>
      <c r="D163" s="22"/>
      <c r="E163" s="22"/>
      <c r="F163" s="22"/>
      <c r="G163" s="22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</row>
    <row r="164" spans="1:31">
      <c r="A164" s="24"/>
      <c r="B164" s="22"/>
      <c r="C164" s="22"/>
      <c r="D164" s="22"/>
      <c r="E164" s="22"/>
      <c r="F164" s="22"/>
      <c r="G164" s="22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</row>
    <row r="165" spans="1:31">
      <c r="A165" s="24"/>
      <c r="B165" s="22"/>
      <c r="C165" s="22"/>
      <c r="D165" s="22"/>
      <c r="E165" s="22"/>
      <c r="F165" s="22"/>
      <c r="G165" s="2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</row>
    <row r="166" spans="1:31">
      <c r="A166" s="24"/>
      <c r="B166" s="22"/>
      <c r="C166" s="22"/>
      <c r="D166" s="22"/>
      <c r="E166" s="22"/>
      <c r="F166" s="22"/>
      <c r="G166" s="2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</row>
    <row r="167" spans="1:31">
      <c r="A167" s="24"/>
      <c r="B167" s="22"/>
      <c r="C167" s="22"/>
      <c r="D167" s="22"/>
      <c r="E167" s="22"/>
      <c r="F167" s="22"/>
      <c r="G167" s="2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</row>
    <row r="168" spans="1:31">
      <c r="A168" s="24"/>
      <c r="B168" s="22"/>
      <c r="C168" s="22"/>
      <c r="D168" s="22"/>
      <c r="E168" s="22"/>
      <c r="F168" s="22"/>
      <c r="G168" s="2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</row>
    <row r="169" spans="1:31">
      <c r="A169" s="24"/>
      <c r="B169" s="22"/>
      <c r="C169" s="22"/>
      <c r="D169" s="22"/>
      <c r="E169" s="22"/>
      <c r="F169" s="22"/>
      <c r="G169" s="2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</row>
    <row r="170" spans="1:31">
      <c r="A170" s="24"/>
      <c r="B170" s="22"/>
      <c r="C170" s="22"/>
      <c r="D170" s="22"/>
      <c r="E170" s="22"/>
      <c r="F170" s="22"/>
      <c r="G170" s="2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</row>
    <row r="171" spans="1:31">
      <c r="A171" s="24"/>
      <c r="B171" s="22"/>
      <c r="C171" s="22"/>
      <c r="D171" s="22"/>
      <c r="E171" s="22"/>
      <c r="F171" s="22"/>
      <c r="G171" s="22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</row>
    <row r="172" spans="1:31">
      <c r="A172" s="24"/>
      <c r="B172" s="22"/>
      <c r="C172" s="22"/>
      <c r="D172" s="22"/>
      <c r="E172" s="22"/>
      <c r="F172" s="22"/>
      <c r="G172" s="22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</row>
    <row r="173" spans="1:31">
      <c r="A173" s="24"/>
      <c r="B173" s="22"/>
      <c r="C173" s="22"/>
      <c r="D173" s="22"/>
      <c r="E173" s="22"/>
      <c r="F173" s="22"/>
      <c r="G173" s="22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</row>
    <row r="174" spans="1:31">
      <c r="A174" s="24"/>
      <c r="B174" s="22"/>
      <c r="C174" s="22"/>
      <c r="D174" s="22"/>
      <c r="E174" s="22"/>
      <c r="F174" s="22"/>
      <c r="G174" s="22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</row>
    <row r="175" spans="1:31">
      <c r="A175" s="24"/>
      <c r="B175" s="22"/>
      <c r="C175" s="22"/>
      <c r="D175" s="22"/>
      <c r="E175" s="22"/>
      <c r="F175" s="22"/>
      <c r="G175" s="22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</row>
    <row r="176" spans="1:31">
      <c r="A176" s="24"/>
      <c r="B176" s="22"/>
      <c r="C176" s="22"/>
      <c r="D176" s="22"/>
      <c r="E176" s="22"/>
      <c r="F176" s="22"/>
      <c r="G176" s="22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</row>
    <row r="177" spans="1:31">
      <c r="A177" s="24"/>
      <c r="B177" s="22"/>
      <c r="C177" s="22"/>
      <c r="D177" s="22"/>
      <c r="E177" s="22"/>
      <c r="F177" s="22"/>
      <c r="G177" s="2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</row>
    <row r="178" spans="1:31">
      <c r="A178" s="24"/>
      <c r="B178" s="22"/>
      <c r="C178" s="22"/>
      <c r="D178" s="22"/>
      <c r="E178" s="22"/>
      <c r="F178" s="22"/>
      <c r="G178" s="2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</row>
    <row r="179" spans="1:31">
      <c r="A179" s="24"/>
      <c r="B179" s="22"/>
      <c r="C179" s="22"/>
      <c r="D179" s="22"/>
      <c r="E179" s="22"/>
      <c r="F179" s="22"/>
      <c r="G179" s="2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</row>
    <row r="180" spans="1:31">
      <c r="A180" s="24"/>
      <c r="B180" s="22"/>
      <c r="C180" s="22"/>
      <c r="D180" s="22"/>
      <c r="E180" s="22"/>
      <c r="F180" s="22"/>
      <c r="G180" s="2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</row>
    <row r="181" spans="1:31">
      <c r="A181" s="24"/>
      <c r="B181" s="22"/>
      <c r="C181" s="22"/>
      <c r="D181" s="22"/>
      <c r="E181" s="22"/>
      <c r="F181" s="22"/>
      <c r="G181" s="2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</row>
    <row r="182" spans="1:31">
      <c r="A182" s="24"/>
      <c r="B182" s="22"/>
      <c r="C182" s="22"/>
      <c r="D182" s="22"/>
      <c r="E182" s="22"/>
      <c r="F182" s="22"/>
      <c r="G182" s="2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</row>
    <row r="183" spans="1:31">
      <c r="A183" s="24"/>
      <c r="B183" s="22"/>
      <c r="C183" s="22"/>
      <c r="D183" s="22"/>
      <c r="E183" s="22"/>
      <c r="F183" s="22"/>
      <c r="G183" s="22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</row>
    <row r="184" spans="1:31">
      <c r="A184" s="24"/>
      <c r="B184" s="22"/>
      <c r="C184" s="22"/>
      <c r="D184" s="22"/>
      <c r="E184" s="22"/>
      <c r="F184" s="22"/>
      <c r="G184" s="22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</row>
    <row r="185" spans="1:31">
      <c r="A185" s="24"/>
      <c r="B185" s="22"/>
      <c r="C185" s="22"/>
      <c r="D185" s="22"/>
      <c r="E185" s="22"/>
      <c r="F185" s="22"/>
      <c r="G185" s="22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</row>
    <row r="186" spans="1:31">
      <c r="A186" s="24"/>
      <c r="B186" s="22"/>
      <c r="C186" s="22"/>
      <c r="D186" s="22"/>
      <c r="E186" s="22"/>
      <c r="F186" s="22"/>
      <c r="G186" s="22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</row>
    <row r="187" spans="1:31">
      <c r="A187" s="24"/>
      <c r="B187" s="22"/>
      <c r="C187" s="22"/>
      <c r="D187" s="22"/>
      <c r="E187" s="22"/>
      <c r="F187" s="22"/>
      <c r="G187" s="22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</row>
    <row r="188" spans="1:31">
      <c r="A188" s="24"/>
      <c r="B188" s="22"/>
      <c r="C188" s="22"/>
      <c r="D188" s="22"/>
      <c r="E188" s="22"/>
      <c r="F188" s="22"/>
      <c r="G188" s="22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</row>
    <row r="189" spans="1:31">
      <c r="A189" s="24"/>
      <c r="B189" s="22"/>
      <c r="C189" s="22"/>
      <c r="D189" s="22"/>
      <c r="E189" s="22"/>
      <c r="F189" s="22"/>
      <c r="G189" s="22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</row>
    <row r="190" spans="1:31">
      <c r="A190" s="24"/>
      <c r="B190" s="22"/>
      <c r="C190" s="22"/>
      <c r="D190" s="22"/>
      <c r="E190" s="22"/>
      <c r="F190" s="22"/>
      <c r="G190" s="22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</row>
    <row r="191" spans="1:31">
      <c r="A191" s="24"/>
      <c r="B191" s="22"/>
      <c r="C191" s="22"/>
      <c r="D191" s="22"/>
      <c r="E191" s="22"/>
      <c r="F191" s="22"/>
      <c r="G191" s="22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</row>
    <row r="192" spans="1:31">
      <c r="A192" s="24"/>
      <c r="B192" s="22"/>
      <c r="C192" s="22"/>
      <c r="D192" s="22"/>
      <c r="E192" s="22"/>
      <c r="F192" s="22"/>
      <c r="G192" s="22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</row>
    <row r="193" spans="1:31">
      <c r="A193" s="24"/>
      <c r="B193" s="22"/>
      <c r="C193" s="22"/>
      <c r="D193" s="22"/>
      <c r="E193" s="22"/>
      <c r="F193" s="22"/>
      <c r="G193" s="22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</row>
    <row r="194" spans="1:3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</row>
    <row r="195" spans="1:3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</row>
    <row r="196" spans="1:3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</row>
    <row r="197" spans="1:3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</row>
    <row r="198" spans="1:3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</row>
    <row r="199" spans="1:3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</row>
    <row r="200" spans="1:3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</row>
    <row r="201" spans="1:3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</row>
    <row r="202" spans="1:3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</row>
    <row r="203" spans="1:3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</row>
    <row r="204" spans="1:3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</row>
    <row r="205" spans="1:3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</row>
    <row r="206" spans="1:3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</row>
    <row r="207" spans="1:3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</row>
    <row r="208" spans="1:3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</row>
    <row r="209" spans="1:3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</row>
    <row r="210" spans="1:3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</row>
    <row r="211" spans="1:3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</row>
    <row r="212" spans="1:3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</row>
    <row r="213" spans="1:3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</row>
    <row r="214" spans="1:3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</row>
    <row r="215" spans="1:3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</row>
    <row r="216" spans="1:3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</row>
    <row r="217" spans="1:3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</row>
    <row r="218" spans="1:3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</row>
    <row r="219" spans="1:3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</row>
    <row r="220" spans="1:3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</row>
    <row r="221" spans="1:3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</row>
    <row r="222" spans="1:3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</row>
    <row r="223" spans="1:3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</row>
    <row r="224" spans="1:3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</row>
    <row r="225" spans="1:3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</row>
    <row r="226" spans="1:3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</row>
    <row r="227" spans="1:3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</row>
    <row r="228" spans="1:3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</row>
    <row r="229" spans="1:3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</row>
    <row r="230" spans="1:3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</row>
    <row r="231" spans="1:3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</row>
    <row r="232" spans="1:3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</row>
    <row r="233" spans="1:3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</row>
    <row r="234" spans="1:3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</row>
    <row r="235" spans="1:3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</row>
    <row r="236" spans="1:3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</row>
    <row r="237" spans="1:3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</row>
    <row r="238" spans="1:3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</row>
    <row r="239" spans="1:3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</row>
    <row r="240" spans="1:3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</row>
    <row r="241" spans="1:3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</row>
    <row r="242" spans="1:3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</row>
    <row r="243" spans="1:3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</row>
    <row r="244" spans="1:3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</row>
    <row r="245" spans="1:3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</row>
    <row r="246" spans="1:3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</row>
    <row r="247" spans="1:3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</row>
    <row r="248" spans="1:3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</row>
    <row r="249" spans="1:3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</row>
    <row r="250" spans="1:3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</row>
    <row r="251" spans="1:3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</row>
    <row r="252" spans="1:3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</row>
    <row r="253" spans="1:3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</row>
    <row r="254" spans="1:3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</row>
    <row r="255" spans="1:3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</row>
    <row r="256" spans="1:3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</row>
    <row r="257" spans="1:3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</row>
    <row r="258" spans="1:3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</row>
    <row r="259" spans="1:3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</row>
    <row r="260" spans="1:3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</row>
    <row r="261" spans="1:3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</row>
    <row r="262" spans="1:3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</row>
    <row r="263" spans="1:3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</row>
    <row r="264" spans="1:3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</row>
    <row r="265" spans="1:3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</row>
    <row r="266" spans="1:3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</row>
    <row r="267" spans="1:3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</row>
    <row r="268" spans="1:3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</row>
    <row r="269" spans="1:3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</row>
    <row r="270" spans="1:3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</row>
    <row r="271" spans="1:3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</row>
    <row r="272" spans="1:3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</row>
    <row r="273" spans="1:3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</row>
    <row r="274" spans="1:3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</row>
    <row r="275" spans="1:3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</row>
    <row r="276" spans="1:3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</row>
    <row r="277" spans="1:3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</row>
    <row r="278" spans="1:3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</row>
    <row r="279" spans="1:3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</row>
    <row r="280" spans="1:3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</row>
    <row r="281" spans="1:3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</row>
    <row r="282" spans="1:3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</row>
    <row r="283" spans="1:3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</row>
    <row r="284" spans="1:3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</row>
    <row r="285" spans="1:3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</row>
    <row r="286" spans="1:3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</row>
    <row r="287" spans="1:3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</row>
    <row r="288" spans="1:3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</row>
    <row r="289" spans="1:3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</row>
    <row r="290" spans="1:3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</row>
    <row r="291" spans="1:3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</row>
    <row r="292" spans="1:3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</row>
    <row r="293" spans="1:3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</row>
    <row r="294" spans="1:3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</row>
    <row r="295" spans="1:3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</row>
    <row r="296" spans="1:3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</row>
    <row r="297" spans="1:3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</row>
    <row r="298" spans="1:3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</row>
    <row r="299" spans="1:3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</row>
    <row r="300" spans="1:3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</row>
    <row r="301" spans="1:3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</row>
    <row r="302" spans="1:3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</row>
    <row r="303" spans="1:3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</row>
    <row r="304" spans="1:3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</row>
    <row r="305" spans="1:3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</row>
    <row r="306" spans="1:3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</row>
    <row r="307" spans="1:3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</row>
    <row r="308" spans="1:3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</row>
    <row r="309" spans="1:3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</row>
    <row r="310" spans="1:3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</row>
    <row r="311" spans="1:3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</row>
    <row r="312" spans="1:3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</row>
    <row r="313" spans="1:3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</row>
    <row r="314" spans="1:3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</row>
    <row r="315" spans="1:3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</row>
    <row r="316" spans="1:3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</row>
    <row r="317" spans="1:3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</row>
    <row r="318" spans="1:3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</row>
    <row r="319" spans="1:3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</row>
    <row r="320" spans="1:3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</row>
    <row r="321" spans="1:3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</row>
    <row r="322" spans="1:3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</row>
    <row r="323" spans="1:3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</row>
    <row r="324" spans="1:3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</row>
    <row r="325" spans="1:3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</row>
    <row r="326" spans="1:3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</row>
    <row r="327" spans="1:3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</row>
    <row r="328" spans="1:3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</row>
    <row r="329" spans="1:31" s="23" customFormat="1"/>
    <row r="330" spans="1:31" s="23" customFormat="1"/>
    <row r="331" spans="1:31" s="23" customFormat="1"/>
    <row r="332" spans="1:31" s="23" customFormat="1"/>
    <row r="333" spans="1:31" s="23" customFormat="1"/>
    <row r="334" spans="1:31" s="23" customFormat="1"/>
    <row r="335" spans="1:31" s="23" customFormat="1"/>
    <row r="336" spans="1:31" s="23" customFormat="1"/>
    <row r="337" s="23" customFormat="1"/>
    <row r="338" s="23" customFormat="1"/>
    <row r="339" s="23" customFormat="1"/>
    <row r="340" s="23" customFormat="1"/>
    <row r="341" s="23" customFormat="1"/>
    <row r="342" s="23" customFormat="1"/>
    <row r="343" s="23" customFormat="1"/>
    <row r="344" s="23" customFormat="1"/>
    <row r="345" s="23" customFormat="1"/>
    <row r="346" s="23" customFormat="1"/>
    <row r="347" s="23" customFormat="1"/>
    <row r="348" s="23" customFormat="1"/>
    <row r="349" s="23" customFormat="1"/>
    <row r="350" s="23" customFormat="1"/>
    <row r="351" s="23" customFormat="1"/>
    <row r="352" s="23" customFormat="1"/>
    <row r="353" s="23" customFormat="1"/>
    <row r="354" s="23" customFormat="1"/>
    <row r="355" s="23" customFormat="1"/>
    <row r="356" s="23" customFormat="1"/>
    <row r="357" s="23" customFormat="1"/>
    <row r="358" s="23" customFormat="1"/>
    <row r="359" s="23" customFormat="1"/>
    <row r="360" s="23" customFormat="1"/>
    <row r="361" s="23" customFormat="1"/>
    <row r="362" s="23" customFormat="1"/>
    <row r="363" s="23" customFormat="1"/>
    <row r="364" s="23" customFormat="1"/>
    <row r="365" s="23" customFormat="1"/>
    <row r="366" s="23" customFormat="1"/>
    <row r="367" s="23" customFormat="1"/>
    <row r="368" s="23" customFormat="1"/>
    <row r="369" s="23" customFormat="1"/>
    <row r="370" s="23" customFormat="1"/>
    <row r="371" s="23" customFormat="1"/>
    <row r="372" s="23" customFormat="1"/>
    <row r="373" s="23" customFormat="1"/>
    <row r="374" s="23" customFormat="1"/>
    <row r="375" s="23" customFormat="1"/>
    <row r="376" s="23" customFormat="1"/>
    <row r="377" s="23" customFormat="1"/>
    <row r="378" s="23" customFormat="1"/>
    <row r="379" s="23" customFormat="1"/>
    <row r="380" s="23" customFormat="1"/>
    <row r="381" s="23" customFormat="1"/>
    <row r="382" s="23" customFormat="1"/>
    <row r="383" s="23" customFormat="1"/>
    <row r="384" s="23" customFormat="1"/>
    <row r="385" s="23" customFormat="1"/>
    <row r="386" s="23" customFormat="1"/>
    <row r="387" s="23" customFormat="1"/>
    <row r="388" s="23" customFormat="1"/>
    <row r="389" s="23" customFormat="1"/>
    <row r="390" s="23" customFormat="1"/>
    <row r="391" s="23" customFormat="1"/>
    <row r="392" s="23" customFormat="1"/>
    <row r="393" s="23" customFormat="1"/>
    <row r="394" s="23" customFormat="1"/>
    <row r="395" s="23" customFormat="1"/>
    <row r="396" s="23" customFormat="1"/>
    <row r="397" s="23" customFormat="1"/>
    <row r="398" s="23" customFormat="1"/>
    <row r="399" s="23" customFormat="1"/>
    <row r="400" s="23" customFormat="1"/>
    <row r="401" s="23" customFormat="1"/>
    <row r="402" s="23" customFormat="1"/>
    <row r="403" s="23" customFormat="1"/>
    <row r="404" s="23" customFormat="1"/>
    <row r="405" s="23" customFormat="1"/>
    <row r="406" s="23" customFormat="1"/>
    <row r="407" s="23" customFormat="1"/>
  </sheetData>
  <mergeCells count="39">
    <mergeCell ref="E155:G155"/>
    <mergeCell ref="A121:B121"/>
    <mergeCell ref="A101:B101"/>
    <mergeCell ref="A107:B107"/>
    <mergeCell ref="A111:B111"/>
    <mergeCell ref="A155:A156"/>
    <mergeCell ref="B155:D155"/>
    <mergeCell ref="A113:B113"/>
    <mergeCell ref="A118:B118"/>
    <mergeCell ref="A116:B116"/>
    <mergeCell ref="A29:I29"/>
    <mergeCell ref="K60:P60"/>
    <mergeCell ref="E61:G61"/>
    <mergeCell ref="H61:J61"/>
    <mergeCell ref="K61:M61"/>
    <mergeCell ref="N61:P61"/>
    <mergeCell ref="A60:A62"/>
    <mergeCell ref="B60:D61"/>
    <mergeCell ref="E60:J60"/>
    <mergeCell ref="A57:I57"/>
    <mergeCell ref="J33:J35"/>
    <mergeCell ref="D34:E34"/>
    <mergeCell ref="F34:G34"/>
    <mergeCell ref="A33:A35"/>
    <mergeCell ref="B33:C34"/>
    <mergeCell ref="D33:G33"/>
    <mergeCell ref="A5:A7"/>
    <mergeCell ref="B5:C6"/>
    <mergeCell ref="D5:G5"/>
    <mergeCell ref="H5:I6"/>
    <mergeCell ref="J5:J7"/>
    <mergeCell ref="D6:E6"/>
    <mergeCell ref="F6:G6"/>
    <mergeCell ref="H33:I34"/>
    <mergeCell ref="A105:B105"/>
    <mergeCell ref="A91:B91"/>
    <mergeCell ref="A94:B94"/>
    <mergeCell ref="A96:B96"/>
    <mergeCell ref="A99:B99"/>
  </mergeCells>
  <pageMargins left="0.7" right="0.7" top="0.75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ocessed xmlns="f40aa4e5-11f0-47b3-bb66-a9479c39c64d">false</Processed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32FAF92C6BD43913D1B8554C5CA89" ma:contentTypeVersion="17" ma:contentTypeDescription="Create a new document." ma:contentTypeScope="" ma:versionID="b272fd0d45070921e291d998bdc11835">
  <xsd:schema xmlns:xsd="http://www.w3.org/2001/XMLSchema" xmlns:xs="http://www.w3.org/2001/XMLSchema" xmlns:p="http://schemas.microsoft.com/office/2006/metadata/properties" xmlns:ns1="http://schemas.microsoft.com/sharepoint/v3" xmlns:ns2="f40aa4e5-11f0-47b3-bb66-a9479c39c64d" xmlns:ns3="44259822-5f70-4047-b4aa-84c0187a967b" targetNamespace="http://schemas.microsoft.com/office/2006/metadata/properties" ma:root="true" ma:fieldsID="8c95f3079b585a4df61642ac31373d4c" ns1:_="" ns2:_="" ns3:_="">
    <xsd:import namespace="http://schemas.microsoft.com/sharepoint/v3"/>
    <xsd:import namespace="f40aa4e5-11f0-47b3-bb66-a9479c39c64d"/>
    <xsd:import namespace="44259822-5f70-4047-b4aa-84c0187a9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a4e5-11f0-47b3-bb66-a9479c39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cessed" ma:index="22" nillable="true" ma:displayName="Processed" ma:default="0" ma:internalName="Proc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9822-5f70-4047-b4aa-84c0187a9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EDE066-CFD2-46C7-96DA-2B2A307051CC}"/>
</file>

<file path=customXml/itemProps2.xml><?xml version="1.0" encoding="utf-8"?>
<ds:datastoreItem xmlns:ds="http://schemas.openxmlformats.org/officeDocument/2006/customXml" ds:itemID="{B7223DDC-C63A-4188-9767-FA8C7933E3DE}"/>
</file>

<file path=customXml/itemProps3.xml><?xml version="1.0" encoding="utf-8"?>
<ds:datastoreItem xmlns:ds="http://schemas.openxmlformats.org/officeDocument/2006/customXml" ds:itemID="{0B0A7890-322F-434E-9FD1-10CF0E706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Kimley-Horn and Associates,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aaron.nathan</dc:creator>
  <cp:keywords/>
  <dc:description/>
  <cp:lastModifiedBy/>
  <cp:revision/>
  <dcterms:created xsi:type="dcterms:W3CDTF">2011-10-18T15:31:40Z</dcterms:created>
  <dcterms:modified xsi:type="dcterms:W3CDTF">2022-04-12T17:28:07Z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ContentTypeId">
    <vt:lpwstr>0x010100F5732FAF92C6BD43913D1B8554C5CA89</vt:lpwstr>
  </property>
  <property fmtid="{D5CDD505-2E9C-101B-9397-08002B2CF9AE}" pid="4" name="Dam_Crash_Cost" linkTarget="Prop_Dam_Crash_Cost">
    <vt:lpwstr>#REF!</vt:lpwstr>
  </property>
</Properties>
</file>