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U:\SAPM\Grants\RAISE\2022\SH-37 BNSF\Benefit Cost Analysis\"/>
    </mc:Choice>
  </mc:AlternateContent>
  <xr:revisionPtr revIDLastSave="0" documentId="8_{3F47E647-038C-4CB6-A872-408F629AD537}" xr6:coauthVersionLast="47" xr6:coauthVersionMax="47" xr10:uidLastSave="{00000000-0000-0000-0000-000000000000}"/>
  <bookViews>
    <workbookView xWindow="-120" yWindow="-120" windowWidth="29040" windowHeight="15840" tabRatio="830" xr2:uid="{D9592330-F94D-418B-A55C-A04D45C285FD}"/>
  </bookViews>
  <sheets>
    <sheet name="Results" sheetId="3" r:id="rId1"/>
    <sheet name="Costs" sheetId="1" r:id="rId2"/>
    <sheet name="Travel Time - vehicles" sheetId="2" r:id="rId3"/>
    <sheet name="Travel Reliability" sheetId="19" r:id="rId4"/>
    <sheet name="Travel Time - bike and ped" sheetId="20" r:id="rId5"/>
    <sheet name="Emergency Response" sheetId="21" r:id="rId6"/>
    <sheet name="Fuel Consumption" sheetId="18" r:id="rId7"/>
    <sheet name="Emissions" sheetId="14" r:id="rId8"/>
    <sheet name="Noise" sheetId="22" r:id="rId9"/>
    <sheet name="Crash Reduction" sheetId="6" r:id="rId10"/>
    <sheet name=" Look Up Data" sheetId="5" r:id="rId11"/>
    <sheet name="Sheet2" sheetId="10" state="hidden" r:id="rId12"/>
    <sheet name="Sheet1" sheetId="9"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3" l="1"/>
  <c r="C10" i="3"/>
  <c r="B7" i="1"/>
  <c r="B32" i="1"/>
  <c r="B10" i="3" l="1"/>
  <c r="L16" i="6" l="1"/>
  <c r="AG23" i="3"/>
  <c r="AF23" i="3"/>
  <c r="AE23" i="3"/>
  <c r="AD23" i="3"/>
  <c r="AC23" i="3"/>
  <c r="AB23" i="3"/>
  <c r="AA23" i="3"/>
  <c r="Z23" i="3"/>
  <c r="Y23" i="3"/>
  <c r="X23" i="3"/>
  <c r="W23" i="3"/>
  <c r="V23" i="3"/>
  <c r="U23" i="3"/>
  <c r="T23" i="3"/>
  <c r="S23" i="3"/>
  <c r="R23" i="3"/>
  <c r="Q23" i="3"/>
  <c r="P23" i="3"/>
  <c r="O23" i="3"/>
  <c r="N23" i="3"/>
  <c r="M23" i="3"/>
  <c r="L23" i="3"/>
  <c r="K23" i="3"/>
  <c r="J23" i="3"/>
  <c r="I23" i="3"/>
  <c r="AG24" i="3"/>
  <c r="AF24" i="3"/>
  <c r="AE24" i="3"/>
  <c r="AD24" i="3"/>
  <c r="AC24" i="3"/>
  <c r="AB24" i="3"/>
  <c r="AA24" i="3"/>
  <c r="Z24" i="3"/>
  <c r="Y24" i="3"/>
  <c r="X24" i="3"/>
  <c r="W24" i="3"/>
  <c r="V24" i="3"/>
  <c r="U24" i="3"/>
  <c r="T24" i="3"/>
  <c r="S24" i="3"/>
  <c r="R24" i="3"/>
  <c r="Q24" i="3"/>
  <c r="P24" i="3"/>
  <c r="O24" i="3"/>
  <c r="N24" i="3"/>
  <c r="M24" i="3"/>
  <c r="L24" i="3"/>
  <c r="K24" i="3"/>
  <c r="J24" i="3"/>
  <c r="I24" i="3"/>
  <c r="AD12" i="14"/>
  <c r="AC12" i="14"/>
  <c r="AB12" i="14"/>
  <c r="AA12" i="14"/>
  <c r="Z12" i="14"/>
  <c r="Y12" i="14"/>
  <c r="X12" i="14"/>
  <c r="W12" i="14"/>
  <c r="W13" i="14" s="1"/>
  <c r="V12" i="14"/>
  <c r="U12" i="14"/>
  <c r="T12" i="14"/>
  <c r="S12" i="14"/>
  <c r="R12" i="14"/>
  <c r="Q12" i="14"/>
  <c r="P12" i="14"/>
  <c r="O12" i="14"/>
  <c r="O13" i="14" s="1"/>
  <c r="N12" i="14"/>
  <c r="M12" i="14"/>
  <c r="L12" i="14"/>
  <c r="K12" i="14"/>
  <c r="J12" i="14"/>
  <c r="I12" i="14"/>
  <c r="H12" i="14"/>
  <c r="G12" i="14"/>
  <c r="G13" i="14" s="1"/>
  <c r="F12" i="14"/>
  <c r="AD11" i="14"/>
  <c r="AC11" i="14"/>
  <c r="AB11" i="14"/>
  <c r="AA11" i="14"/>
  <c r="Z11" i="14"/>
  <c r="Y11" i="14"/>
  <c r="X11" i="14"/>
  <c r="W11" i="14"/>
  <c r="V11" i="14"/>
  <c r="U11" i="14"/>
  <c r="T11" i="14"/>
  <c r="S11" i="14"/>
  <c r="R11" i="14"/>
  <c r="Q11" i="14"/>
  <c r="P11" i="14"/>
  <c r="O11" i="14"/>
  <c r="N11" i="14"/>
  <c r="M11" i="14"/>
  <c r="L11" i="14"/>
  <c r="K11" i="14"/>
  <c r="J11" i="14"/>
  <c r="I11" i="14"/>
  <c r="H11" i="14"/>
  <c r="G11" i="14"/>
  <c r="F11" i="14"/>
  <c r="AD10" i="14"/>
  <c r="AC10" i="14"/>
  <c r="AB10" i="14"/>
  <c r="AA10" i="14"/>
  <c r="Z10" i="14"/>
  <c r="Y10" i="14"/>
  <c r="X10" i="14"/>
  <c r="W10" i="14"/>
  <c r="V10" i="14"/>
  <c r="U10" i="14"/>
  <c r="T10" i="14"/>
  <c r="S10" i="14"/>
  <c r="R10" i="14"/>
  <c r="Q10" i="14"/>
  <c r="P10" i="14"/>
  <c r="O10" i="14"/>
  <c r="N10" i="14"/>
  <c r="M10" i="14"/>
  <c r="L10" i="14"/>
  <c r="K10" i="14"/>
  <c r="J10" i="14"/>
  <c r="I10" i="14"/>
  <c r="H10" i="14"/>
  <c r="G10" i="14"/>
  <c r="F10" i="14"/>
  <c r="AD9" i="14"/>
  <c r="AD13" i="14" s="1"/>
  <c r="AC9" i="14"/>
  <c r="AC13" i="14" s="1"/>
  <c r="AB9" i="14"/>
  <c r="AB13" i="14" s="1"/>
  <c r="AA9" i="14"/>
  <c r="AA13" i="14" s="1"/>
  <c r="Z9" i="14"/>
  <c r="Z13" i="14" s="1"/>
  <c r="Y9" i="14"/>
  <c r="Y13" i="14" s="1"/>
  <c r="X9" i="14"/>
  <c r="X13" i="14" s="1"/>
  <c r="W9" i="14"/>
  <c r="V9" i="14"/>
  <c r="V13" i="14" s="1"/>
  <c r="U9" i="14"/>
  <c r="U13" i="14" s="1"/>
  <c r="T9" i="14"/>
  <c r="T13" i="14" s="1"/>
  <c r="S9" i="14"/>
  <c r="S13" i="14" s="1"/>
  <c r="R9" i="14"/>
  <c r="R13" i="14" s="1"/>
  <c r="Q9" i="14"/>
  <c r="Q13" i="14" s="1"/>
  <c r="P9" i="14"/>
  <c r="P13" i="14" s="1"/>
  <c r="O9" i="14"/>
  <c r="N9" i="14"/>
  <c r="N13" i="14" s="1"/>
  <c r="M9" i="14"/>
  <c r="M13" i="14" s="1"/>
  <c r="L9" i="14"/>
  <c r="L13" i="14" s="1"/>
  <c r="K9" i="14"/>
  <c r="K13" i="14" s="1"/>
  <c r="J9" i="14"/>
  <c r="J13" i="14" s="1"/>
  <c r="I9" i="14"/>
  <c r="I13" i="14" s="1"/>
  <c r="H9" i="14"/>
  <c r="H13" i="14" s="1"/>
  <c r="G9" i="14"/>
  <c r="F9" i="14"/>
  <c r="F13" i="14" s="1"/>
  <c r="E12" i="14"/>
  <c r="E11" i="14"/>
  <c r="E10" i="14"/>
  <c r="E9" i="14"/>
  <c r="AK35" i="6"/>
  <c r="AJ35" i="6"/>
  <c r="AI35" i="6"/>
  <c r="AH35" i="6"/>
  <c r="AG35" i="6"/>
  <c r="AF35" i="6"/>
  <c r="AE35" i="6"/>
  <c r="AD35" i="6"/>
  <c r="AC35" i="6"/>
  <c r="AB35" i="6"/>
  <c r="AA35" i="6"/>
  <c r="Z35" i="6"/>
  <c r="Y35" i="6"/>
  <c r="X35" i="6"/>
  <c r="W35" i="6"/>
  <c r="V35" i="6"/>
  <c r="U35" i="6"/>
  <c r="T35" i="6"/>
  <c r="S35" i="6"/>
  <c r="R35" i="6"/>
  <c r="Q35" i="6"/>
  <c r="P35" i="6"/>
  <c r="O35" i="6"/>
  <c r="N35" i="6"/>
  <c r="M35" i="6"/>
  <c r="O31" i="6"/>
  <c r="P31" i="6" s="1"/>
  <c r="Q31" i="6" s="1"/>
  <c r="R31" i="6" s="1"/>
  <c r="S31" i="6" s="1"/>
  <c r="T31" i="6" s="1"/>
  <c r="U31" i="6" s="1"/>
  <c r="V31" i="6" s="1"/>
  <c r="W31" i="6" s="1"/>
  <c r="X31" i="6" s="1"/>
  <c r="Y31" i="6" s="1"/>
  <c r="Z31" i="6" s="1"/>
  <c r="AA31" i="6" s="1"/>
  <c r="AB31" i="6" s="1"/>
  <c r="AC31" i="6" s="1"/>
  <c r="AD31" i="6" s="1"/>
  <c r="AE31" i="6" s="1"/>
  <c r="AF31" i="6" s="1"/>
  <c r="AG31" i="6" s="1"/>
  <c r="AH31" i="6" s="1"/>
  <c r="AI31" i="6" s="1"/>
  <c r="AJ31" i="6" s="1"/>
  <c r="AK31" i="6" s="1"/>
  <c r="N31" i="6"/>
  <c r="M31" i="6"/>
  <c r="AD7" i="14"/>
  <c r="AD6" i="14"/>
  <c r="AD5" i="14"/>
  <c r="AD4" i="14"/>
  <c r="AD3" i="14"/>
  <c r="E3" i="21" l="1"/>
  <c r="F3" i="21" s="1"/>
  <c r="G3" i="21" s="1"/>
  <c r="H3" i="21" s="1"/>
  <c r="I3" i="21" s="1"/>
  <c r="J3" i="21" s="1"/>
  <c r="K3" i="21" s="1"/>
  <c r="L3" i="21" s="1"/>
  <c r="M3" i="21" s="1"/>
  <c r="N3" i="21" s="1"/>
  <c r="O3" i="21" s="1"/>
  <c r="P3" i="21" s="1"/>
  <c r="Q3" i="21" s="1"/>
  <c r="R3" i="21" s="1"/>
  <c r="S3" i="21" s="1"/>
  <c r="T3" i="21" s="1"/>
  <c r="U3" i="21" s="1"/>
  <c r="V3" i="21" s="1"/>
  <c r="W3" i="21" s="1"/>
  <c r="X3" i="21" s="1"/>
  <c r="Y3" i="21" s="1"/>
  <c r="Z3" i="21" s="1"/>
  <c r="D3" i="21"/>
  <c r="C3" i="21"/>
  <c r="E50" i="5"/>
  <c r="F50" i="5" s="1"/>
  <c r="G50" i="5" s="1"/>
  <c r="H50" i="5" s="1"/>
  <c r="I50" i="5" s="1"/>
  <c r="J50" i="5" s="1"/>
  <c r="K50" i="5" s="1"/>
  <c r="L50" i="5" s="1"/>
  <c r="M50" i="5" s="1"/>
  <c r="N50" i="5" s="1"/>
  <c r="O50" i="5" s="1"/>
  <c r="P50" i="5" s="1"/>
  <c r="Q50" i="5" s="1"/>
  <c r="R50" i="5" s="1"/>
  <c r="S50" i="5" s="1"/>
  <c r="T50" i="5" s="1"/>
  <c r="U50" i="5" s="1"/>
  <c r="V50" i="5" s="1"/>
  <c r="W50" i="5" s="1"/>
  <c r="X50" i="5" s="1"/>
  <c r="Y50" i="5" s="1"/>
  <c r="Z50" i="5" s="1"/>
  <c r="AA50" i="5" s="1"/>
  <c r="AB50" i="5" s="1"/>
  <c r="AC50" i="5" s="1"/>
  <c r="AD50" i="5" s="1"/>
  <c r="AE50" i="5" s="1"/>
  <c r="AF50" i="5" s="1"/>
  <c r="AG50" i="5" s="1"/>
  <c r="AH50" i="5" s="1"/>
  <c r="AI50" i="5" s="1"/>
  <c r="AJ50" i="5" s="1"/>
  <c r="C27" i="2"/>
  <c r="AF11" i="1" l="1"/>
  <c r="AF3" i="1"/>
  <c r="AG5" i="3"/>
  <c r="AG7" i="3" s="1"/>
  <c r="AG20" i="3" s="1"/>
  <c r="AG4" i="3"/>
  <c r="AG3" i="3"/>
  <c r="AG6" i="3" l="1"/>
  <c r="AG13" i="3" s="1"/>
  <c r="AG26" i="3" l="1"/>
  <c r="AG12" i="3"/>
  <c r="AG21" i="3"/>
  <c r="AG11" i="3"/>
  <c r="AG14" i="3" l="1"/>
  <c r="C9" i="21" l="1"/>
  <c r="C2" i="21"/>
  <c r="D2" i="21" s="1"/>
  <c r="E2" i="21" s="1"/>
  <c r="F2" i="21" s="1"/>
  <c r="G2" i="21" s="1"/>
  <c r="H2" i="21" s="1"/>
  <c r="I2" i="21" s="1"/>
  <c r="J2" i="21" s="1"/>
  <c r="K2" i="21" s="1"/>
  <c r="L2" i="21" s="1"/>
  <c r="M2" i="21" s="1"/>
  <c r="N2" i="21" s="1"/>
  <c r="O2" i="21" s="1"/>
  <c r="P2" i="21" s="1"/>
  <c r="Q2" i="21" s="1"/>
  <c r="R2" i="21" s="1"/>
  <c r="S2" i="21" s="1"/>
  <c r="T2" i="21" s="1"/>
  <c r="U2" i="21" s="1"/>
  <c r="V2" i="21" s="1"/>
  <c r="W2" i="21" s="1"/>
  <c r="X2" i="21" s="1"/>
  <c r="Y2" i="21" s="1"/>
  <c r="Z2" i="21" s="1"/>
  <c r="L25" i="1" l="1"/>
  <c r="B10" i="21"/>
  <c r="Z8" i="21"/>
  <c r="Z9" i="21" s="1"/>
  <c r="Y8" i="21"/>
  <c r="X8" i="21"/>
  <c r="W8" i="21"/>
  <c r="V8" i="21"/>
  <c r="U8" i="21"/>
  <c r="U9" i="21" s="1"/>
  <c r="T8" i="21"/>
  <c r="T9" i="21" s="1"/>
  <c r="S8" i="21"/>
  <c r="S9" i="21" s="1"/>
  <c r="R8" i="21"/>
  <c r="R9" i="21" s="1"/>
  <c r="Q8" i="21"/>
  <c r="P8" i="21"/>
  <c r="O8" i="21"/>
  <c r="N8" i="21"/>
  <c r="M8" i="21"/>
  <c r="M9" i="21" s="1"/>
  <c r="L8" i="21"/>
  <c r="L9" i="21" s="1"/>
  <c r="K8" i="21"/>
  <c r="K9" i="21" s="1"/>
  <c r="J8" i="21"/>
  <c r="J9" i="21" s="1"/>
  <c r="I8" i="21"/>
  <c r="H8" i="21"/>
  <c r="G8" i="21"/>
  <c r="F8" i="21"/>
  <c r="E8" i="21"/>
  <c r="E9" i="21" s="1"/>
  <c r="D8" i="21"/>
  <c r="D9" i="21" s="1"/>
  <c r="C8" i="21"/>
  <c r="B8" i="21"/>
  <c r="B9" i="21" s="1"/>
  <c r="B15" i="5"/>
  <c r="B14" i="22"/>
  <c r="B10" i="22"/>
  <c r="B6" i="22"/>
  <c r="Y9" i="21"/>
  <c r="X9" i="21"/>
  <c r="W9" i="21"/>
  <c r="V9" i="21"/>
  <c r="Q9" i="21"/>
  <c r="P9" i="21"/>
  <c r="O9" i="21"/>
  <c r="N9" i="21"/>
  <c r="I9" i="21"/>
  <c r="H9" i="21"/>
  <c r="G9" i="21"/>
  <c r="F9" i="21"/>
  <c r="C14" i="19" l="1"/>
  <c r="C4" i="19"/>
  <c r="E14" i="20"/>
  <c r="E18" i="20" s="1"/>
  <c r="E13" i="20"/>
  <c r="E17" i="20" s="1"/>
  <c r="J60" i="2"/>
  <c r="J54" i="2"/>
  <c r="J53" i="2"/>
  <c r="J59" i="2"/>
  <c r="J48" i="2"/>
  <c r="J56" i="2"/>
  <c r="D68" i="2"/>
  <c r="G68" i="2"/>
  <c r="H68" i="2"/>
  <c r="C26" i="2"/>
  <c r="D4" i="20"/>
  <c r="M24" i="6"/>
  <c r="M22" i="6"/>
  <c r="N22" i="6" s="1"/>
  <c r="O22" i="6" s="1"/>
  <c r="P22" i="6" s="1"/>
  <c r="M21" i="6"/>
  <c r="L14" i="6"/>
  <c r="M25" i="6" s="1"/>
  <c r="L12" i="6"/>
  <c r="M23" i="6" s="1"/>
  <c r="C9" i="6"/>
  <c r="D9" i="6" s="1"/>
  <c r="E9" i="6" s="1"/>
  <c r="F9" i="6" s="1"/>
  <c r="G9" i="6" s="1"/>
  <c r="H9" i="6" s="1"/>
  <c r="I9" i="6" s="1"/>
  <c r="J9" i="6" s="1"/>
  <c r="K9" i="6" s="1"/>
  <c r="F12" i="20"/>
  <c r="G12" i="20" s="1"/>
  <c r="H12" i="20" s="1"/>
  <c r="I12" i="20" s="1"/>
  <c r="J12" i="20" s="1"/>
  <c r="K12" i="20" s="1"/>
  <c r="L12" i="20" s="1"/>
  <c r="M12" i="20" s="1"/>
  <c r="N12" i="20" s="1"/>
  <c r="O12" i="20" s="1"/>
  <c r="P12" i="20" s="1"/>
  <c r="Q12" i="20" s="1"/>
  <c r="R12" i="20" s="1"/>
  <c r="S12" i="20" s="1"/>
  <c r="T12" i="20" s="1"/>
  <c r="U12" i="20" s="1"/>
  <c r="V12" i="20" s="1"/>
  <c r="W12" i="20" s="1"/>
  <c r="X12" i="20" s="1"/>
  <c r="Y12" i="20" s="1"/>
  <c r="Z12" i="20" s="1"/>
  <c r="AA12" i="20" s="1"/>
  <c r="AB12" i="20" s="1"/>
  <c r="AC12" i="20" s="1"/>
  <c r="C6" i="20"/>
  <c r="C7" i="20"/>
  <c r="E22" i="6"/>
  <c r="E5" i="6"/>
  <c r="M28" i="6" s="1"/>
  <c r="N28" i="6" s="1"/>
  <c r="O28" i="6" s="1"/>
  <c r="P28" i="6" s="1"/>
  <c r="Q28" i="6" s="1"/>
  <c r="R28" i="6" s="1"/>
  <c r="S28" i="6" s="1"/>
  <c r="T28" i="6" s="1"/>
  <c r="U28" i="6" s="1"/>
  <c r="V28" i="6" s="1"/>
  <c r="W28" i="6" s="1"/>
  <c r="X28" i="6" s="1"/>
  <c r="Y28" i="6" s="1"/>
  <c r="Z28" i="6" s="1"/>
  <c r="AA28" i="6" s="1"/>
  <c r="AB28" i="6" s="1"/>
  <c r="AC28" i="6" s="1"/>
  <c r="AD28" i="6" s="1"/>
  <c r="AE28" i="6" s="1"/>
  <c r="AF28" i="6" s="1"/>
  <c r="AG28" i="6" s="1"/>
  <c r="AH28" i="6" s="1"/>
  <c r="AI28" i="6" s="1"/>
  <c r="AJ28" i="6" s="1"/>
  <c r="AK28" i="6" s="1"/>
  <c r="N21" i="6" l="1"/>
  <c r="O21" i="6" s="1"/>
  <c r="P21" i="6" s="1"/>
  <c r="Q21" i="6" s="1"/>
  <c r="R21" i="6" s="1"/>
  <c r="S21" i="6" s="1"/>
  <c r="T21" i="6" s="1"/>
  <c r="U21" i="6" s="1"/>
  <c r="V21" i="6" s="1"/>
  <c r="W21" i="6" s="1"/>
  <c r="X21" i="6" s="1"/>
  <c r="Y21" i="6" s="1"/>
  <c r="Z21" i="6" s="1"/>
  <c r="AA21" i="6" s="1"/>
  <c r="AB21" i="6" s="1"/>
  <c r="AC21" i="6" s="1"/>
  <c r="AD21" i="6" s="1"/>
  <c r="AE21" i="6" s="1"/>
  <c r="AF21" i="6" s="1"/>
  <c r="AG21" i="6" s="1"/>
  <c r="AH21" i="6" s="1"/>
  <c r="AI21" i="6" s="1"/>
  <c r="AJ21" i="6" s="1"/>
  <c r="AK21" i="6" s="1"/>
  <c r="N24" i="6"/>
  <c r="O24" i="6" s="1"/>
  <c r="N23" i="6"/>
  <c r="O23" i="6" s="1"/>
  <c r="P23" i="6" s="1"/>
  <c r="Q23" i="6" s="1"/>
  <c r="R23" i="6" s="1"/>
  <c r="S23" i="6" s="1"/>
  <c r="T23" i="6" s="1"/>
  <c r="U23" i="6" s="1"/>
  <c r="V23" i="6" s="1"/>
  <c r="W23" i="6" s="1"/>
  <c r="X23" i="6" s="1"/>
  <c r="Y23" i="6" s="1"/>
  <c r="Z23" i="6" s="1"/>
  <c r="AA23" i="6" s="1"/>
  <c r="AB23" i="6" s="1"/>
  <c r="AC23" i="6" s="1"/>
  <c r="AD23" i="6" s="1"/>
  <c r="AE23" i="6" s="1"/>
  <c r="AF23" i="6" s="1"/>
  <c r="AG23" i="6" s="1"/>
  <c r="AH23" i="6" s="1"/>
  <c r="N25" i="6"/>
  <c r="O25" i="6" s="1"/>
  <c r="P25" i="6" s="1"/>
  <c r="Q25" i="6" s="1"/>
  <c r="R25" i="6" s="1"/>
  <c r="S25" i="6" s="1"/>
  <c r="T25" i="6" s="1"/>
  <c r="U25" i="6" s="1"/>
  <c r="V25" i="6" s="1"/>
  <c r="W25" i="6" s="1"/>
  <c r="X25" i="6" s="1"/>
  <c r="Y25" i="6" s="1"/>
  <c r="Z25" i="6" s="1"/>
  <c r="AA25" i="6" s="1"/>
  <c r="AB25" i="6" s="1"/>
  <c r="AC25" i="6" s="1"/>
  <c r="AD25" i="6" s="1"/>
  <c r="AE25" i="6" s="1"/>
  <c r="AF25" i="6" s="1"/>
  <c r="AG25" i="6" s="1"/>
  <c r="C4" i="2"/>
  <c r="C11" i="2" s="1"/>
  <c r="D4" i="19"/>
  <c r="C7" i="2"/>
  <c r="C14" i="2" s="1"/>
  <c r="E19" i="20"/>
  <c r="F14" i="20"/>
  <c r="G14" i="20" s="1"/>
  <c r="H14" i="20" s="1"/>
  <c r="Q22" i="6"/>
  <c r="R22" i="6" s="1"/>
  <c r="S22" i="6" s="1"/>
  <c r="F13" i="20"/>
  <c r="D4" i="2" l="1"/>
  <c r="E4" i="2" s="1"/>
  <c r="B3" i="18"/>
  <c r="P24" i="6"/>
  <c r="AH25" i="6"/>
  <c r="AI25" i="6" s="1"/>
  <c r="AJ25" i="6" s="1"/>
  <c r="AI23" i="6"/>
  <c r="C8" i="2"/>
  <c r="F4" i="2"/>
  <c r="F18" i="20"/>
  <c r="G18" i="20"/>
  <c r="T22" i="6"/>
  <c r="I14" i="20"/>
  <c r="H18" i="20"/>
  <c r="F17" i="20"/>
  <c r="G13" i="20"/>
  <c r="H13" i="20" s="1"/>
  <c r="Q24" i="6" l="1"/>
  <c r="R24" i="6" s="1"/>
  <c r="AK25" i="6"/>
  <c r="AJ23" i="6"/>
  <c r="F19" i="20"/>
  <c r="U22" i="6"/>
  <c r="J14" i="20"/>
  <c r="I18" i="20"/>
  <c r="G17" i="20"/>
  <c r="G19" i="20" s="1"/>
  <c r="D14" i="19"/>
  <c r="E14" i="19" s="1"/>
  <c r="F14" i="19" s="1"/>
  <c r="I3" i="19"/>
  <c r="J66" i="2"/>
  <c r="J65" i="2"/>
  <c r="J64" i="2"/>
  <c r="J63" i="2"/>
  <c r="J62" i="2"/>
  <c r="J61" i="2"/>
  <c r="J58" i="2"/>
  <c r="J57" i="2"/>
  <c r="J55" i="2"/>
  <c r="J52" i="2"/>
  <c r="J51" i="2"/>
  <c r="J50" i="2"/>
  <c r="J49" i="2"/>
  <c r="J47" i="2"/>
  <c r="J46" i="2"/>
  <c r="J45" i="2"/>
  <c r="J44" i="2"/>
  <c r="J43" i="2"/>
  <c r="C35" i="2"/>
  <c r="T17" i="19" s="1"/>
  <c r="D2" i="19"/>
  <c r="E2" i="19" s="1"/>
  <c r="F2" i="19" s="1"/>
  <c r="G2" i="19" s="1"/>
  <c r="H2" i="19" s="1"/>
  <c r="I2" i="19" s="1"/>
  <c r="J2" i="19" s="1"/>
  <c r="K2" i="19" s="1"/>
  <c r="L2" i="19" s="1"/>
  <c r="M2" i="19" s="1"/>
  <c r="N2" i="19" s="1"/>
  <c r="O2" i="19" s="1"/>
  <c r="P2" i="19" s="1"/>
  <c r="Q2" i="19" s="1"/>
  <c r="R2" i="19" s="1"/>
  <c r="S2" i="19" s="1"/>
  <c r="T2" i="19" s="1"/>
  <c r="U2" i="19" s="1"/>
  <c r="V2" i="19" s="1"/>
  <c r="W2" i="19" s="1"/>
  <c r="X2" i="19" s="1"/>
  <c r="Y2" i="19" s="1"/>
  <c r="Z2" i="19" s="1"/>
  <c r="AA2" i="19" s="1"/>
  <c r="B13" i="5"/>
  <c r="B10" i="18" s="1"/>
  <c r="Z12" i="18"/>
  <c r="Y12" i="18"/>
  <c r="X12" i="18"/>
  <c r="W12" i="18"/>
  <c r="V12" i="18"/>
  <c r="U12" i="18"/>
  <c r="T12" i="18"/>
  <c r="S12" i="18"/>
  <c r="R12" i="18"/>
  <c r="Q12" i="18"/>
  <c r="P12" i="18"/>
  <c r="O12" i="18"/>
  <c r="N12" i="18"/>
  <c r="M12" i="18"/>
  <c r="L12" i="18"/>
  <c r="K12" i="18"/>
  <c r="J12" i="18"/>
  <c r="I12" i="18"/>
  <c r="H12" i="18"/>
  <c r="G12" i="18"/>
  <c r="F12" i="18"/>
  <c r="E12" i="18"/>
  <c r="D12" i="18"/>
  <c r="C12" i="18"/>
  <c r="Z11" i="18"/>
  <c r="Y11" i="18"/>
  <c r="X11" i="18"/>
  <c r="W11" i="18"/>
  <c r="V11" i="18"/>
  <c r="U11" i="18"/>
  <c r="T11" i="18"/>
  <c r="S11" i="18"/>
  <c r="R11" i="18"/>
  <c r="Q11" i="18"/>
  <c r="P11" i="18"/>
  <c r="O11" i="18"/>
  <c r="N11" i="18"/>
  <c r="M11" i="18"/>
  <c r="L11" i="18"/>
  <c r="K11" i="18"/>
  <c r="J11" i="18"/>
  <c r="I11" i="18"/>
  <c r="H11" i="18"/>
  <c r="G11" i="18"/>
  <c r="F11" i="18"/>
  <c r="E11" i="18"/>
  <c r="D11" i="18"/>
  <c r="C11" i="18"/>
  <c r="B12" i="18"/>
  <c r="B11" i="18"/>
  <c r="C9" i="18"/>
  <c r="D9" i="18" s="1"/>
  <c r="E9" i="18" s="1"/>
  <c r="F9" i="18" s="1"/>
  <c r="G9" i="18" s="1"/>
  <c r="H9" i="18" s="1"/>
  <c r="I9" i="18" s="1"/>
  <c r="J9" i="18" s="1"/>
  <c r="K9" i="18" s="1"/>
  <c r="L9" i="18" s="1"/>
  <c r="M9" i="18" s="1"/>
  <c r="N9" i="18" s="1"/>
  <c r="O9" i="18" s="1"/>
  <c r="P9" i="18" s="1"/>
  <c r="Q9" i="18" s="1"/>
  <c r="R9" i="18" s="1"/>
  <c r="S9" i="18" s="1"/>
  <c r="T9" i="18" s="1"/>
  <c r="U9" i="18" s="1"/>
  <c r="V9" i="18" s="1"/>
  <c r="W9" i="18" s="1"/>
  <c r="X9" i="18" s="1"/>
  <c r="Y9" i="18" s="1"/>
  <c r="Z9" i="18" s="1"/>
  <c r="C2" i="18"/>
  <c r="D2" i="18" s="1"/>
  <c r="E2" i="18" s="1"/>
  <c r="F2" i="18" s="1"/>
  <c r="G2" i="18" s="1"/>
  <c r="H2" i="18" s="1"/>
  <c r="I2" i="18" s="1"/>
  <c r="J2" i="18" s="1"/>
  <c r="K2" i="18" s="1"/>
  <c r="L2" i="18" s="1"/>
  <c r="M2" i="18" s="1"/>
  <c r="N2" i="18" s="1"/>
  <c r="O2" i="18" s="1"/>
  <c r="P2" i="18" s="1"/>
  <c r="Q2" i="18" s="1"/>
  <c r="R2" i="18" s="1"/>
  <c r="S2" i="18" s="1"/>
  <c r="T2" i="18" s="1"/>
  <c r="U2" i="18" s="1"/>
  <c r="V2" i="18" s="1"/>
  <c r="W2" i="18" s="1"/>
  <c r="X2" i="18" s="1"/>
  <c r="Y2" i="18" s="1"/>
  <c r="Z2" i="18" s="1"/>
  <c r="J4" i="3"/>
  <c r="AK23" i="6" l="1"/>
  <c r="D7" i="19"/>
  <c r="H7" i="19"/>
  <c r="L7" i="19"/>
  <c r="P7" i="19"/>
  <c r="X7" i="19"/>
  <c r="J68" i="2"/>
  <c r="K68" i="2" s="1"/>
  <c r="C15" i="19" s="1"/>
  <c r="C16" i="19" s="1"/>
  <c r="G7" i="19"/>
  <c r="O7" i="19"/>
  <c r="W7" i="19"/>
  <c r="E17" i="19"/>
  <c r="M17" i="19"/>
  <c r="U17" i="19"/>
  <c r="V17" i="19"/>
  <c r="I7" i="19"/>
  <c r="Q7" i="19"/>
  <c r="Y7" i="19"/>
  <c r="G17" i="19"/>
  <c r="O17" i="19"/>
  <c r="W17" i="19"/>
  <c r="F17" i="19"/>
  <c r="C7" i="19"/>
  <c r="J7" i="19"/>
  <c r="R7" i="19"/>
  <c r="Z7" i="19"/>
  <c r="H17" i="19"/>
  <c r="P17" i="19"/>
  <c r="X17" i="19"/>
  <c r="N17" i="19"/>
  <c r="K7" i="19"/>
  <c r="S7" i="19"/>
  <c r="AA7" i="19"/>
  <c r="I17" i="19"/>
  <c r="Q17" i="19"/>
  <c r="Y17" i="19"/>
  <c r="T7" i="19"/>
  <c r="J17" i="19"/>
  <c r="Z17" i="19"/>
  <c r="E7" i="19"/>
  <c r="M7" i="19"/>
  <c r="U7" i="19"/>
  <c r="D17" i="19"/>
  <c r="K17" i="19"/>
  <c r="S17" i="19"/>
  <c r="AA17" i="19"/>
  <c r="C17" i="19"/>
  <c r="R17" i="19"/>
  <c r="F7" i="19"/>
  <c r="N7" i="19"/>
  <c r="V7" i="19"/>
  <c r="L17" i="19"/>
  <c r="S24" i="6"/>
  <c r="V22" i="6"/>
  <c r="K14" i="20"/>
  <c r="J18" i="20"/>
  <c r="I13" i="20"/>
  <c r="H17" i="20"/>
  <c r="H19" i="20" s="1"/>
  <c r="G14" i="19"/>
  <c r="B6" i="18"/>
  <c r="B13" i="18" s="1"/>
  <c r="D7" i="2"/>
  <c r="C5" i="19" l="1"/>
  <c r="C6" i="19" s="1"/>
  <c r="C8" i="19" s="1"/>
  <c r="F15" i="19"/>
  <c r="F16" i="19" s="1"/>
  <c r="F18" i="19" s="1"/>
  <c r="E15" i="19"/>
  <c r="E16" i="19" s="1"/>
  <c r="C18" i="19"/>
  <c r="D15" i="19"/>
  <c r="D16" i="19" s="1"/>
  <c r="D18" i="19" s="1"/>
  <c r="C6" i="18"/>
  <c r="C13" i="18" s="1"/>
  <c r="D8" i="2"/>
  <c r="E18" i="19"/>
  <c r="W22" i="6"/>
  <c r="T24" i="6"/>
  <c r="L14" i="20"/>
  <c r="K18" i="20"/>
  <c r="J13" i="20"/>
  <c r="I17" i="20"/>
  <c r="I19" i="20" s="1"/>
  <c r="H14" i="19"/>
  <c r="G15" i="19"/>
  <c r="G16" i="19" s="1"/>
  <c r="G18" i="19" s="1"/>
  <c r="D5" i="19"/>
  <c r="D6" i="19" s="1"/>
  <c r="D8" i="19" s="1"/>
  <c r="E4" i="19"/>
  <c r="B7" i="18"/>
  <c r="B14" i="18"/>
  <c r="C3" i="18"/>
  <c r="C10" i="18" s="1"/>
  <c r="D14" i="2"/>
  <c r="E7" i="2"/>
  <c r="N20" i="6"/>
  <c r="O20" i="6" s="1"/>
  <c r="P20" i="6" s="1"/>
  <c r="Q20" i="6" s="1"/>
  <c r="R20" i="6" s="1"/>
  <c r="S20" i="6" s="1"/>
  <c r="T20" i="6" s="1"/>
  <c r="U20" i="6" s="1"/>
  <c r="V20" i="6" s="1"/>
  <c r="W20" i="6" s="1"/>
  <c r="X20" i="6" s="1"/>
  <c r="Y20" i="6" s="1"/>
  <c r="Z20" i="6" s="1"/>
  <c r="AA20" i="6" s="1"/>
  <c r="AB20" i="6" s="1"/>
  <c r="AC20" i="6" s="1"/>
  <c r="AD20" i="6" s="1"/>
  <c r="AE20" i="6" s="1"/>
  <c r="AF20" i="6" s="1"/>
  <c r="AG20" i="6" s="1"/>
  <c r="AH20" i="6" s="1"/>
  <c r="AI20" i="6" s="1"/>
  <c r="AJ20" i="6" s="1"/>
  <c r="AK20" i="6" s="1"/>
  <c r="K4" i="3"/>
  <c r="D3" i="3"/>
  <c r="E3" i="3" s="1"/>
  <c r="F3" i="3" s="1"/>
  <c r="G3" i="3" s="1"/>
  <c r="H3" i="3" s="1"/>
  <c r="I3" i="3" s="1"/>
  <c r="J3" i="3" s="1"/>
  <c r="K3" i="3" s="1"/>
  <c r="L3" i="3" s="1"/>
  <c r="M3" i="3" s="1"/>
  <c r="N3" i="3" s="1"/>
  <c r="O3" i="3" s="1"/>
  <c r="P3" i="3" s="1"/>
  <c r="Q3" i="3" s="1"/>
  <c r="R3" i="3" s="1"/>
  <c r="S3" i="3" s="1"/>
  <c r="T3" i="3" s="1"/>
  <c r="U3" i="3" s="1"/>
  <c r="V3" i="3" s="1"/>
  <c r="W3" i="3" s="1"/>
  <c r="X3" i="3" s="1"/>
  <c r="Y3" i="3" s="1"/>
  <c r="Z3" i="3" s="1"/>
  <c r="AA3" i="3" s="1"/>
  <c r="AB3" i="3" s="1"/>
  <c r="AC3" i="3" s="1"/>
  <c r="AD3" i="3" s="1"/>
  <c r="AE3" i="3" s="1"/>
  <c r="AF3" i="3" s="1"/>
  <c r="C14" i="18" l="1"/>
  <c r="D6" i="18"/>
  <c r="D13" i="18" s="1"/>
  <c r="E8" i="2"/>
  <c r="C7" i="18"/>
  <c r="U24" i="6"/>
  <c r="X22" i="6"/>
  <c r="K13" i="20"/>
  <c r="J17" i="20"/>
  <c r="J19" i="20" s="1"/>
  <c r="M14" i="20"/>
  <c r="L18" i="20"/>
  <c r="I14" i="19"/>
  <c r="H15" i="19"/>
  <c r="H16" i="19" s="1"/>
  <c r="H18" i="19" s="1"/>
  <c r="F4" i="19"/>
  <c r="E5" i="19"/>
  <c r="E6" i="19" s="1"/>
  <c r="E8" i="19" s="1"/>
  <c r="D3" i="18"/>
  <c r="E14" i="2"/>
  <c r="F7" i="2"/>
  <c r="E6" i="18" l="1"/>
  <c r="E13" i="18" s="1"/>
  <c r="F8" i="2"/>
  <c r="Y22" i="6"/>
  <c r="V24" i="6"/>
  <c r="L13" i="20"/>
  <c r="K17" i="20"/>
  <c r="K19" i="20" s="1"/>
  <c r="N14" i="20"/>
  <c r="M18" i="20"/>
  <c r="I15" i="19"/>
  <c r="I16" i="19" s="1"/>
  <c r="I18" i="19" s="1"/>
  <c r="J14" i="19"/>
  <c r="G4" i="19"/>
  <c r="F5" i="19"/>
  <c r="F6" i="19" s="1"/>
  <c r="F8" i="19" s="1"/>
  <c r="D7" i="18"/>
  <c r="D10" i="18"/>
  <c r="D14" i="18" s="1"/>
  <c r="G4" i="2"/>
  <c r="E3" i="18"/>
  <c r="G7" i="2"/>
  <c r="F6" i="18" s="1"/>
  <c r="F13" i="18" s="1"/>
  <c r="F14" i="2"/>
  <c r="M18" i="5"/>
  <c r="L18" i="5"/>
  <c r="K18" i="5"/>
  <c r="M31" i="5"/>
  <c r="L31" i="5"/>
  <c r="M30" i="5"/>
  <c r="L30" i="5"/>
  <c r="M29" i="5"/>
  <c r="L29" i="5"/>
  <c r="M28" i="5"/>
  <c r="L28" i="5"/>
  <c r="L26" i="5"/>
  <c r="L25" i="5"/>
  <c r="L24" i="5"/>
  <c r="L23" i="5"/>
  <c r="M26" i="5"/>
  <c r="M25" i="5"/>
  <c r="M24" i="5"/>
  <c r="M23" i="5"/>
  <c r="L21" i="5"/>
  <c r="L20" i="5"/>
  <c r="L19" i="5"/>
  <c r="M21" i="5"/>
  <c r="M20" i="5"/>
  <c r="M19" i="5"/>
  <c r="G8" i="2" l="1"/>
  <c r="Z22" i="6"/>
  <c r="W24" i="6"/>
  <c r="M13" i="20"/>
  <c r="L17" i="20"/>
  <c r="L19" i="20" s="1"/>
  <c r="O14" i="20"/>
  <c r="P14" i="20" s="1"/>
  <c r="N18" i="20"/>
  <c r="K14" i="19"/>
  <c r="J15" i="19"/>
  <c r="J16" i="19" s="1"/>
  <c r="J18" i="19" s="1"/>
  <c r="H4" i="19"/>
  <c r="G5" i="19"/>
  <c r="G6" i="19" s="1"/>
  <c r="G8" i="19" s="1"/>
  <c r="H4" i="2"/>
  <c r="F3" i="18"/>
  <c r="E10" i="18"/>
  <c r="E14" i="18" s="1"/>
  <c r="E7" i="18"/>
  <c r="H7" i="2"/>
  <c r="G6" i="18" s="1"/>
  <c r="G13" i="18" s="1"/>
  <c r="G14" i="2"/>
  <c r="K19" i="5"/>
  <c r="K20" i="5"/>
  <c r="K21" i="5"/>
  <c r="K23" i="5"/>
  <c r="K24" i="5"/>
  <c r="K25" i="5"/>
  <c r="K26" i="5"/>
  <c r="K28" i="5"/>
  <c r="K29" i="5"/>
  <c r="K30" i="5"/>
  <c r="K31" i="5"/>
  <c r="F17" i="5"/>
  <c r="G17" i="5" s="1"/>
  <c r="H17" i="5" s="1"/>
  <c r="I17" i="5" s="1"/>
  <c r="H8" i="2" l="1"/>
  <c r="X24" i="6"/>
  <c r="AA22" i="6"/>
  <c r="O18" i="20"/>
  <c r="N13" i="20"/>
  <c r="M17" i="20"/>
  <c r="M19" i="20" s="1"/>
  <c r="L14" i="19"/>
  <c r="K15" i="19"/>
  <c r="K16" i="19" s="1"/>
  <c r="K18" i="19" s="1"/>
  <c r="I4" i="19"/>
  <c r="H5" i="19"/>
  <c r="H6" i="19" s="1"/>
  <c r="H8" i="19" s="1"/>
  <c r="F10" i="18"/>
  <c r="F14" i="18" s="1"/>
  <c r="F7" i="18"/>
  <c r="I4" i="2"/>
  <c r="G3" i="18"/>
  <c r="I7" i="2"/>
  <c r="H6" i="18" s="1"/>
  <c r="H13" i="18" s="1"/>
  <c r="H14" i="2"/>
  <c r="B9" i="5"/>
  <c r="I8" i="2" l="1"/>
  <c r="AB22" i="6"/>
  <c r="Y24" i="6"/>
  <c r="Q14" i="20"/>
  <c r="P18" i="20"/>
  <c r="O13" i="20"/>
  <c r="N17" i="20"/>
  <c r="N19" i="20" s="1"/>
  <c r="M14" i="19"/>
  <c r="L15" i="19"/>
  <c r="L16" i="19"/>
  <c r="L18" i="19" s="1"/>
  <c r="J4" i="19"/>
  <c r="I5" i="19"/>
  <c r="I6" i="19" s="1"/>
  <c r="I8" i="19" s="1"/>
  <c r="G7" i="18"/>
  <c r="G10" i="18"/>
  <c r="G14" i="18" s="1"/>
  <c r="J4" i="2"/>
  <c r="H3" i="18"/>
  <c r="J7" i="2"/>
  <c r="I6" i="18" s="1"/>
  <c r="I13" i="18" s="1"/>
  <c r="I14" i="2"/>
  <c r="D17" i="14"/>
  <c r="D19" i="14"/>
  <c r="D22" i="14"/>
  <c r="D24" i="14"/>
  <c r="D27" i="14"/>
  <c r="D44" i="14" s="1"/>
  <c r="D29" i="14"/>
  <c r="D46" i="14" s="1"/>
  <c r="B24" i="14"/>
  <c r="E17" i="14"/>
  <c r="E19" i="14"/>
  <c r="E22" i="14"/>
  <c r="E24" i="14"/>
  <c r="E27" i="14"/>
  <c r="E44" i="14" s="1"/>
  <c r="E29" i="14"/>
  <c r="E46" i="14" s="1"/>
  <c r="B25" i="14"/>
  <c r="F17" i="14"/>
  <c r="F19" i="14"/>
  <c r="F22" i="14"/>
  <c r="F24" i="14"/>
  <c r="F27" i="14"/>
  <c r="F29" i="14"/>
  <c r="B27" i="14"/>
  <c r="B44" i="14" s="1"/>
  <c r="F28" i="14"/>
  <c r="C19" i="14"/>
  <c r="C27" i="14"/>
  <c r="C44" i="14" s="1"/>
  <c r="B23" i="14"/>
  <c r="C18" i="14"/>
  <c r="C20" i="14"/>
  <c r="C23" i="14"/>
  <c r="C25" i="14"/>
  <c r="C28" i="14"/>
  <c r="C45" i="14" s="1"/>
  <c r="C30" i="14"/>
  <c r="C47" i="14" s="1"/>
  <c r="B18" i="14"/>
  <c r="B28" i="14"/>
  <c r="B45" i="14" s="1"/>
  <c r="E18" i="14"/>
  <c r="E30" i="14"/>
  <c r="E47" i="14" s="1"/>
  <c r="B30" i="14"/>
  <c r="B47" i="14" s="1"/>
  <c r="F20" i="14"/>
  <c r="B22" i="14"/>
  <c r="C22" i="14"/>
  <c r="C29" i="14"/>
  <c r="C46" i="14" s="1"/>
  <c r="D18" i="14"/>
  <c r="D20" i="14"/>
  <c r="D23" i="14"/>
  <c r="D25" i="14"/>
  <c r="D28" i="14"/>
  <c r="D45" i="14" s="1"/>
  <c r="D30" i="14"/>
  <c r="D47" i="14" s="1"/>
  <c r="B19" i="14"/>
  <c r="B29" i="14"/>
  <c r="B46" i="14" s="1"/>
  <c r="E20" i="14"/>
  <c r="E23" i="14"/>
  <c r="E25" i="14"/>
  <c r="E28" i="14"/>
  <c r="E45" i="14" s="1"/>
  <c r="B20" i="14"/>
  <c r="F18" i="14"/>
  <c r="F23" i="14"/>
  <c r="F25" i="14"/>
  <c r="F30" i="14"/>
  <c r="B17" i="14"/>
  <c r="B34" i="14" s="1"/>
  <c r="C17" i="14"/>
  <c r="C24" i="14"/>
  <c r="J8" i="2" l="1"/>
  <c r="Z24" i="6"/>
  <c r="AC22" i="6"/>
  <c r="R14" i="20"/>
  <c r="Q18" i="20"/>
  <c r="P13" i="20"/>
  <c r="O17" i="20"/>
  <c r="O19" i="20" s="1"/>
  <c r="E5" i="14"/>
  <c r="E7" i="14"/>
  <c r="E6" i="14"/>
  <c r="G20" i="14"/>
  <c r="F7" i="14"/>
  <c r="G19" i="14"/>
  <c r="F6" i="14"/>
  <c r="E4" i="14"/>
  <c r="G17" i="14"/>
  <c r="F4" i="14"/>
  <c r="G18" i="14"/>
  <c r="F5" i="14"/>
  <c r="M15" i="19"/>
  <c r="M16" i="19" s="1"/>
  <c r="M18" i="19" s="1"/>
  <c r="N14" i="19"/>
  <c r="K4" i="19"/>
  <c r="J5" i="19"/>
  <c r="J6" i="19" s="1"/>
  <c r="J8" i="19" s="1"/>
  <c r="H10" i="18"/>
  <c r="H14" i="18" s="1"/>
  <c r="H7" i="18"/>
  <c r="K4" i="2"/>
  <c r="I3" i="18"/>
  <c r="C39" i="14"/>
  <c r="B42" i="14"/>
  <c r="C42" i="14"/>
  <c r="C40" i="14"/>
  <c r="D41" i="14"/>
  <c r="E42" i="14"/>
  <c r="E41" i="14"/>
  <c r="D39" i="14"/>
  <c r="C41" i="14"/>
  <c r="D40" i="14"/>
  <c r="E40" i="14"/>
  <c r="E39" i="14"/>
  <c r="B39" i="14"/>
  <c r="D42" i="14"/>
  <c r="B40" i="14"/>
  <c r="B41" i="14"/>
  <c r="K7" i="2"/>
  <c r="J6" i="18" s="1"/>
  <c r="J13" i="18" s="1"/>
  <c r="J14" i="2"/>
  <c r="G28" i="14"/>
  <c r="F45" i="14"/>
  <c r="F46" i="14"/>
  <c r="G29" i="14"/>
  <c r="G25" i="14"/>
  <c r="F42" i="14"/>
  <c r="G23" i="14"/>
  <c r="F40" i="14"/>
  <c r="G27" i="14"/>
  <c r="F44" i="14"/>
  <c r="G24" i="14"/>
  <c r="F41" i="14"/>
  <c r="G30" i="14"/>
  <c r="F47" i="14"/>
  <c r="G22" i="14"/>
  <c r="F39" i="14"/>
  <c r="C7" i="3"/>
  <c r="C6" i="3"/>
  <c r="D7" i="3"/>
  <c r="K8" i="2" l="1"/>
  <c r="AD22" i="6"/>
  <c r="AA24" i="6"/>
  <c r="S14" i="20"/>
  <c r="R18" i="20"/>
  <c r="Q13" i="20"/>
  <c r="P17" i="20"/>
  <c r="P19" i="20" s="1"/>
  <c r="H19" i="14"/>
  <c r="G6" i="14"/>
  <c r="H20" i="14"/>
  <c r="G7" i="14"/>
  <c r="H18" i="14"/>
  <c r="G5" i="14"/>
  <c r="H17" i="14"/>
  <c r="G4" i="14"/>
  <c r="N15" i="19"/>
  <c r="N16" i="19"/>
  <c r="N18" i="19" s="1"/>
  <c r="O14" i="19"/>
  <c r="L4" i="19"/>
  <c r="K5" i="19"/>
  <c r="K6" i="19" s="1"/>
  <c r="K8" i="19" s="1"/>
  <c r="I7" i="18"/>
  <c r="I10" i="18"/>
  <c r="I14" i="18" s="1"/>
  <c r="L4" i="2"/>
  <c r="J3" i="18"/>
  <c r="L7" i="2"/>
  <c r="K6" i="18" s="1"/>
  <c r="K13" i="18" s="1"/>
  <c r="K14" i="2"/>
  <c r="H22" i="14"/>
  <c r="G39" i="14"/>
  <c r="H30" i="14"/>
  <c r="G47" i="14"/>
  <c r="H29" i="14"/>
  <c r="G46" i="14"/>
  <c r="H23" i="14"/>
  <c r="G40" i="14"/>
  <c r="H25" i="14"/>
  <c r="G42" i="14"/>
  <c r="H24" i="14"/>
  <c r="G41" i="14"/>
  <c r="H27" i="14"/>
  <c r="G44" i="14"/>
  <c r="H28" i="14"/>
  <c r="G45" i="14"/>
  <c r="G32" i="14"/>
  <c r="H32" i="14" s="1"/>
  <c r="I32" i="14" s="1"/>
  <c r="J32" i="14" s="1"/>
  <c r="K32" i="14" s="1"/>
  <c r="L32" i="14" s="1"/>
  <c r="M32" i="14" s="1"/>
  <c r="N32" i="14" s="1"/>
  <c r="O32" i="14" s="1"/>
  <c r="P32" i="14" s="1"/>
  <c r="Q32" i="14" s="1"/>
  <c r="R32" i="14" s="1"/>
  <c r="S32" i="14" s="1"/>
  <c r="T32" i="14" s="1"/>
  <c r="U32" i="14" s="1"/>
  <c r="V32" i="14" s="1"/>
  <c r="W32" i="14" s="1"/>
  <c r="X32" i="14" s="1"/>
  <c r="Y32" i="14" s="1"/>
  <c r="Z32" i="14" s="1"/>
  <c r="AA32" i="14" s="1"/>
  <c r="AB32" i="14" s="1"/>
  <c r="AC32" i="14" s="1"/>
  <c r="AD32" i="14" s="1"/>
  <c r="AE32" i="14" s="1"/>
  <c r="E33" i="5"/>
  <c r="F33" i="5" s="1"/>
  <c r="G33" i="5" s="1"/>
  <c r="H33" i="5" s="1"/>
  <c r="I33" i="5" s="1"/>
  <c r="J33" i="5" s="1"/>
  <c r="K33" i="5" s="1"/>
  <c r="L33" i="5" s="1"/>
  <c r="M33" i="5" s="1"/>
  <c r="N33" i="5" s="1"/>
  <c r="O33" i="5" s="1"/>
  <c r="P33" i="5" s="1"/>
  <c r="Q33" i="5" s="1"/>
  <c r="R33" i="5" s="1"/>
  <c r="S33" i="5" s="1"/>
  <c r="T33" i="5" s="1"/>
  <c r="U33" i="5" s="1"/>
  <c r="V33" i="5" s="1"/>
  <c r="W33" i="5" s="1"/>
  <c r="X33" i="5" s="1"/>
  <c r="Y33" i="5" s="1"/>
  <c r="Z33" i="5" s="1"/>
  <c r="AA33" i="5" s="1"/>
  <c r="AB33" i="5" s="1"/>
  <c r="AC33" i="5" s="1"/>
  <c r="AD33" i="5" s="1"/>
  <c r="AE33" i="5" s="1"/>
  <c r="AF33" i="5" s="1"/>
  <c r="AG33" i="5" s="1"/>
  <c r="AH33" i="5" s="1"/>
  <c r="L8" i="2" l="1"/>
  <c r="AB24" i="6"/>
  <c r="AE22" i="6"/>
  <c r="R13" i="20"/>
  <c r="Q17" i="20"/>
  <c r="Q19" i="20" s="1"/>
  <c r="T14" i="20"/>
  <c r="S18" i="20"/>
  <c r="I18" i="14"/>
  <c r="H5" i="14"/>
  <c r="I20" i="14"/>
  <c r="H7" i="14"/>
  <c r="I17" i="14"/>
  <c r="H4" i="14"/>
  <c r="I19" i="14"/>
  <c r="H6" i="14"/>
  <c r="P14" i="19"/>
  <c r="O15" i="19"/>
  <c r="O16" i="19" s="1"/>
  <c r="O18" i="19" s="1"/>
  <c r="M4" i="19"/>
  <c r="L5" i="19"/>
  <c r="L6" i="19" s="1"/>
  <c r="L8" i="19" s="1"/>
  <c r="J7" i="18"/>
  <c r="J10" i="18"/>
  <c r="J14" i="18" s="1"/>
  <c r="M4" i="2"/>
  <c r="K3" i="18"/>
  <c r="M7" i="2"/>
  <c r="L6" i="18" s="1"/>
  <c r="L13" i="18" s="1"/>
  <c r="L14" i="2"/>
  <c r="I28" i="14"/>
  <c r="H45" i="14"/>
  <c r="I23" i="14"/>
  <c r="H40" i="14"/>
  <c r="I30" i="14"/>
  <c r="H47" i="14"/>
  <c r="I27" i="14"/>
  <c r="H44" i="14"/>
  <c r="I29" i="14"/>
  <c r="H46" i="14"/>
  <c r="I24" i="14"/>
  <c r="H41" i="14"/>
  <c r="I25" i="14"/>
  <c r="H42" i="14"/>
  <c r="I22" i="14"/>
  <c r="H39" i="14"/>
  <c r="C3" i="1"/>
  <c r="D3" i="1" s="1"/>
  <c r="E3" i="1" s="1"/>
  <c r="F3" i="1" s="1"/>
  <c r="G3" i="1" s="1"/>
  <c r="H3" i="1" s="1"/>
  <c r="I3" i="1" s="1"/>
  <c r="J3" i="1" s="1"/>
  <c r="K3" i="1" s="1"/>
  <c r="L3" i="1" s="1"/>
  <c r="M3" i="1" s="1"/>
  <c r="N3" i="1" s="1"/>
  <c r="O3" i="1" s="1"/>
  <c r="P3" i="1" s="1"/>
  <c r="Q3" i="1" s="1"/>
  <c r="R3" i="1" s="1"/>
  <c r="S3" i="1" s="1"/>
  <c r="T3" i="1" s="1"/>
  <c r="U3" i="1" s="1"/>
  <c r="V3" i="1" s="1"/>
  <c r="W3" i="1" s="1"/>
  <c r="X3" i="1" s="1"/>
  <c r="Y3" i="1" s="1"/>
  <c r="Z3" i="1" s="1"/>
  <c r="AA3" i="1" s="1"/>
  <c r="AB3" i="1" s="1"/>
  <c r="AC3" i="1" s="1"/>
  <c r="AD3" i="1" s="1"/>
  <c r="AE3" i="1" s="1"/>
  <c r="G15" i="14"/>
  <c r="H15" i="14" s="1"/>
  <c r="I15" i="14" s="1"/>
  <c r="J15" i="14" s="1"/>
  <c r="K15" i="14" s="1"/>
  <c r="L15" i="14" s="1"/>
  <c r="M15" i="14" s="1"/>
  <c r="N15" i="14" s="1"/>
  <c r="O15" i="14" s="1"/>
  <c r="P15" i="14" s="1"/>
  <c r="Q15" i="14" s="1"/>
  <c r="R15" i="14" s="1"/>
  <c r="S15" i="14" s="1"/>
  <c r="T15" i="14" s="1"/>
  <c r="U15" i="14" s="1"/>
  <c r="V15" i="14" s="1"/>
  <c r="W15" i="14" s="1"/>
  <c r="X15" i="14" s="1"/>
  <c r="Y15" i="14" s="1"/>
  <c r="Z15" i="14" s="1"/>
  <c r="AA15" i="14" s="1"/>
  <c r="AB15" i="14" s="1"/>
  <c r="AC15" i="14" s="1"/>
  <c r="AD15" i="14" s="1"/>
  <c r="AE15" i="14" s="1"/>
  <c r="G3" i="14"/>
  <c r="M8" i="2" l="1"/>
  <c r="AF22" i="6"/>
  <c r="AC24" i="6"/>
  <c r="U14" i="20"/>
  <c r="T18" i="20"/>
  <c r="S13" i="20"/>
  <c r="R17" i="20"/>
  <c r="R19" i="20" s="1"/>
  <c r="J17" i="14"/>
  <c r="I4" i="14"/>
  <c r="J20" i="14"/>
  <c r="I7" i="14"/>
  <c r="J19" i="14"/>
  <c r="I6" i="14"/>
  <c r="J18" i="14"/>
  <c r="I5" i="14"/>
  <c r="Q14" i="19"/>
  <c r="P15" i="19"/>
  <c r="P16" i="19" s="1"/>
  <c r="P18" i="19" s="1"/>
  <c r="N4" i="19"/>
  <c r="M5" i="19"/>
  <c r="M6" i="19" s="1"/>
  <c r="M8" i="19" s="1"/>
  <c r="K10" i="18"/>
  <c r="K14" i="18" s="1"/>
  <c r="K7" i="18"/>
  <c r="N4" i="2"/>
  <c r="L3" i="18"/>
  <c r="N7" i="2"/>
  <c r="M6" i="18" s="1"/>
  <c r="M13" i="18" s="1"/>
  <c r="M14" i="2"/>
  <c r="J30" i="14"/>
  <c r="I47" i="14"/>
  <c r="J24" i="14"/>
  <c r="I41" i="14"/>
  <c r="J23" i="14"/>
  <c r="I40" i="14"/>
  <c r="J27" i="14"/>
  <c r="I44" i="14"/>
  <c r="J22" i="14"/>
  <c r="I39" i="14"/>
  <c r="J25" i="14"/>
  <c r="I42" i="14"/>
  <c r="J29" i="14"/>
  <c r="I46" i="14"/>
  <c r="J28" i="14"/>
  <c r="I45" i="14"/>
  <c r="N8" i="2" l="1"/>
  <c r="AD24" i="6"/>
  <c r="AG22" i="6"/>
  <c r="T13" i="20"/>
  <c r="S17" i="20"/>
  <c r="S19" i="20" s="1"/>
  <c r="V14" i="20"/>
  <c r="U18" i="20"/>
  <c r="K19" i="14"/>
  <c r="J6" i="14"/>
  <c r="K20" i="14"/>
  <c r="J7" i="14"/>
  <c r="K18" i="14"/>
  <c r="J5" i="14"/>
  <c r="K17" i="14"/>
  <c r="J4" i="14"/>
  <c r="Q15" i="19"/>
  <c r="Q16" i="19" s="1"/>
  <c r="Q18" i="19" s="1"/>
  <c r="R14" i="19"/>
  <c r="O4" i="19"/>
  <c r="N5" i="19"/>
  <c r="N6" i="19" s="1"/>
  <c r="N8" i="19" s="1"/>
  <c r="L7" i="18"/>
  <c r="L10" i="18"/>
  <c r="L14" i="18" s="1"/>
  <c r="O4" i="2"/>
  <c r="M3" i="18"/>
  <c r="O7" i="2"/>
  <c r="N6" i="18" s="1"/>
  <c r="N13" i="18" s="1"/>
  <c r="N14" i="2"/>
  <c r="K23" i="14"/>
  <c r="J40" i="14"/>
  <c r="K29" i="14"/>
  <c r="J46" i="14"/>
  <c r="K25" i="14"/>
  <c r="J42" i="14"/>
  <c r="K24" i="14"/>
  <c r="J41" i="14"/>
  <c r="K27" i="14"/>
  <c r="J44" i="14"/>
  <c r="K28" i="14"/>
  <c r="J45" i="14"/>
  <c r="K22" i="14"/>
  <c r="J39" i="14"/>
  <c r="K30" i="14"/>
  <c r="J47" i="14"/>
  <c r="E47" i="5"/>
  <c r="F47" i="5" s="1"/>
  <c r="G47" i="5" s="1"/>
  <c r="H47" i="5" s="1"/>
  <c r="I47" i="5" s="1"/>
  <c r="J47" i="5" s="1"/>
  <c r="K47" i="5" s="1"/>
  <c r="L47" i="5" s="1"/>
  <c r="M47" i="5" s="1"/>
  <c r="N47" i="5" s="1"/>
  <c r="O47" i="5" s="1"/>
  <c r="P47" i="5" s="1"/>
  <c r="Q47" i="5" s="1"/>
  <c r="R47" i="5" s="1"/>
  <c r="S47" i="5" s="1"/>
  <c r="T47" i="5" s="1"/>
  <c r="U47" i="5" s="1"/>
  <c r="V47" i="5" s="1"/>
  <c r="W47" i="5" s="1"/>
  <c r="X47" i="5" s="1"/>
  <c r="Y47" i="5" s="1"/>
  <c r="Z47" i="5" s="1"/>
  <c r="AA47" i="5" s="1"/>
  <c r="AB47" i="5" s="1"/>
  <c r="AC47" i="5" s="1"/>
  <c r="AD47" i="5" s="1"/>
  <c r="AE47" i="5" s="1"/>
  <c r="AF47" i="5" s="1"/>
  <c r="AG47" i="5" s="1"/>
  <c r="AH47" i="5" s="1"/>
  <c r="AI47" i="5" s="1"/>
  <c r="AJ47" i="5" s="1"/>
  <c r="O8" i="2" l="1"/>
  <c r="AH22" i="6"/>
  <c r="AE24" i="6"/>
  <c r="W14" i="20"/>
  <c r="V18" i="20"/>
  <c r="U13" i="20"/>
  <c r="T17" i="20"/>
  <c r="T19" i="20" s="1"/>
  <c r="L19" i="14"/>
  <c r="K6" i="14"/>
  <c r="K36" i="14"/>
  <c r="L18" i="14"/>
  <c r="K5" i="14"/>
  <c r="K35" i="14"/>
  <c r="L17" i="14"/>
  <c r="K4" i="14"/>
  <c r="K34" i="14"/>
  <c r="L20" i="14"/>
  <c r="K7" i="14"/>
  <c r="K37" i="14"/>
  <c r="S14" i="19"/>
  <c r="R15" i="19"/>
  <c r="R16" i="19" s="1"/>
  <c r="R18" i="19" s="1"/>
  <c r="P4" i="19"/>
  <c r="O5" i="19"/>
  <c r="O6" i="19" s="1"/>
  <c r="O8" i="19" s="1"/>
  <c r="P4" i="2"/>
  <c r="N3" i="18"/>
  <c r="M10" i="18"/>
  <c r="M14" i="18" s="1"/>
  <c r="M7" i="18"/>
  <c r="P7" i="2"/>
  <c r="O6" i="18" s="1"/>
  <c r="O13" i="18" s="1"/>
  <c r="O14" i="2"/>
  <c r="L24" i="14"/>
  <c r="K41" i="14"/>
  <c r="L25" i="14"/>
  <c r="K42" i="14"/>
  <c r="L22" i="14"/>
  <c r="K39" i="14"/>
  <c r="L28" i="14"/>
  <c r="K45" i="14"/>
  <c r="L29" i="14"/>
  <c r="K46" i="14"/>
  <c r="L30" i="14"/>
  <c r="K47" i="14"/>
  <c r="L27" i="14"/>
  <c r="K44" i="14"/>
  <c r="L23" i="14"/>
  <c r="K40" i="14"/>
  <c r="D6" i="3"/>
  <c r="D11" i="3" s="1"/>
  <c r="H3" i="14"/>
  <c r="I3" i="14" s="1"/>
  <c r="J3" i="14" s="1"/>
  <c r="K3" i="14" s="1"/>
  <c r="P8" i="2" l="1"/>
  <c r="AI22" i="6"/>
  <c r="AF24" i="6"/>
  <c r="V13" i="20"/>
  <c r="U17" i="20"/>
  <c r="U19" i="20" s="1"/>
  <c r="X14" i="20"/>
  <c r="W18" i="20"/>
  <c r="M17" i="14"/>
  <c r="L4" i="14"/>
  <c r="M19" i="14"/>
  <c r="L6" i="14"/>
  <c r="M18" i="14"/>
  <c r="L5" i="14"/>
  <c r="M20" i="14"/>
  <c r="L7" i="14"/>
  <c r="T14" i="19"/>
  <c r="S15" i="19"/>
  <c r="S16" i="19" s="1"/>
  <c r="S18" i="19" s="1"/>
  <c r="Q4" i="19"/>
  <c r="P5" i="19"/>
  <c r="P6" i="19" s="1"/>
  <c r="P8" i="19" s="1"/>
  <c r="N10" i="18"/>
  <c r="N14" i="18" s="1"/>
  <c r="N7" i="18"/>
  <c r="Q4" i="2"/>
  <c r="O3" i="18"/>
  <c r="Q7" i="2"/>
  <c r="P6" i="18" s="1"/>
  <c r="P13" i="18" s="1"/>
  <c r="P14" i="2"/>
  <c r="M22" i="14"/>
  <c r="L39" i="14"/>
  <c r="M30" i="14"/>
  <c r="L47" i="14"/>
  <c r="M25" i="14"/>
  <c r="L42" i="14"/>
  <c r="M23" i="14"/>
  <c r="L40" i="14"/>
  <c r="M28" i="14"/>
  <c r="L45" i="14"/>
  <c r="M27" i="14"/>
  <c r="L44" i="14"/>
  <c r="M29" i="14"/>
  <c r="L46" i="14"/>
  <c r="M24" i="14"/>
  <c r="L41" i="14"/>
  <c r="L3" i="14"/>
  <c r="M3" i="14" s="1"/>
  <c r="N3" i="14" s="1"/>
  <c r="O3" i="14" s="1"/>
  <c r="P3" i="14" s="1"/>
  <c r="Q3" i="14" s="1"/>
  <c r="R3" i="14" s="1"/>
  <c r="S3" i="14" s="1"/>
  <c r="T3" i="14" s="1"/>
  <c r="U3" i="14" s="1"/>
  <c r="V3" i="14" s="1"/>
  <c r="W3" i="14" s="1"/>
  <c r="X3" i="14" s="1"/>
  <c r="Y3" i="14" s="1"/>
  <c r="Z3" i="14" s="1"/>
  <c r="D3" i="2"/>
  <c r="E3" i="2" s="1"/>
  <c r="F3" i="2" s="1"/>
  <c r="G3" i="2" s="1"/>
  <c r="H3" i="2" s="1"/>
  <c r="I3" i="2" s="1"/>
  <c r="J3" i="2" s="1"/>
  <c r="K3" i="2" s="1"/>
  <c r="L3" i="2" s="1"/>
  <c r="M3" i="2" s="1"/>
  <c r="N3" i="2" s="1"/>
  <c r="O3" i="2" s="1"/>
  <c r="P3" i="2" s="1"/>
  <c r="Q3" i="2" s="1"/>
  <c r="R3" i="2" s="1"/>
  <c r="S3" i="2" s="1"/>
  <c r="T3" i="2" s="1"/>
  <c r="U3" i="2" s="1"/>
  <c r="V3" i="2" s="1"/>
  <c r="W3" i="2" s="1"/>
  <c r="X3" i="2" s="1"/>
  <c r="Y3" i="2" s="1"/>
  <c r="Z3" i="2" s="1"/>
  <c r="AA3" i="2" s="1"/>
  <c r="Q8" i="2" l="1"/>
  <c r="AG24" i="6"/>
  <c r="AJ22" i="6"/>
  <c r="Y14" i="20"/>
  <c r="X18" i="20"/>
  <c r="W13" i="20"/>
  <c r="V17" i="20"/>
  <c r="V19" i="20" s="1"/>
  <c r="N17" i="14"/>
  <c r="M4" i="14"/>
  <c r="N18" i="14"/>
  <c r="M5" i="14"/>
  <c r="N20" i="14"/>
  <c r="M7" i="14"/>
  <c r="N19" i="14"/>
  <c r="M6" i="14"/>
  <c r="U14" i="19"/>
  <c r="T15" i="19"/>
  <c r="T16" i="19" s="1"/>
  <c r="T18" i="19" s="1"/>
  <c r="R4" i="19"/>
  <c r="Q5" i="19"/>
  <c r="Q6" i="19" s="1"/>
  <c r="Q8" i="19" s="1"/>
  <c r="O7" i="18"/>
  <c r="O10" i="18"/>
  <c r="O14" i="18" s="1"/>
  <c r="R4" i="2"/>
  <c r="P3" i="18"/>
  <c r="R7" i="2"/>
  <c r="Q6" i="18" s="1"/>
  <c r="Q13" i="18" s="1"/>
  <c r="Q14" i="2"/>
  <c r="N25" i="14"/>
  <c r="M42" i="14"/>
  <c r="N24" i="14"/>
  <c r="M41" i="14"/>
  <c r="N29" i="14"/>
  <c r="M46" i="14"/>
  <c r="N30" i="14"/>
  <c r="M47" i="14"/>
  <c r="N23" i="14"/>
  <c r="M40" i="14"/>
  <c r="N27" i="14"/>
  <c r="M44" i="14"/>
  <c r="N28" i="14"/>
  <c r="M45" i="14"/>
  <c r="N22" i="14"/>
  <c r="M39" i="14"/>
  <c r="L34" i="14"/>
  <c r="L36" i="14"/>
  <c r="L37" i="14"/>
  <c r="L35" i="14"/>
  <c r="AA3" i="14"/>
  <c r="AB3" i="14" s="1"/>
  <c r="AC3" i="14" s="1"/>
  <c r="R8" i="2" l="1"/>
  <c r="AK22" i="6"/>
  <c r="AH24" i="6"/>
  <c r="X13" i="20"/>
  <c r="W17" i="20"/>
  <c r="W19" i="20" s="1"/>
  <c r="Z14" i="20"/>
  <c r="Y18" i="20"/>
  <c r="O17" i="14"/>
  <c r="N4" i="14"/>
  <c r="O19" i="14"/>
  <c r="N6" i="14"/>
  <c r="O20" i="14"/>
  <c r="N7" i="14"/>
  <c r="O18" i="14"/>
  <c r="N5" i="14"/>
  <c r="U15" i="19"/>
  <c r="U16" i="19" s="1"/>
  <c r="U18" i="19" s="1"/>
  <c r="V14" i="19"/>
  <c r="S4" i="19"/>
  <c r="R5" i="19"/>
  <c r="R6" i="19" s="1"/>
  <c r="R8" i="19" s="1"/>
  <c r="S4" i="2"/>
  <c r="Q3" i="18"/>
  <c r="P10" i="18"/>
  <c r="P14" i="18" s="1"/>
  <c r="P7" i="18"/>
  <c r="S7" i="2"/>
  <c r="R6" i="18" s="1"/>
  <c r="R13" i="18" s="1"/>
  <c r="R14" i="2"/>
  <c r="O29" i="14"/>
  <c r="N46" i="14"/>
  <c r="O27" i="14"/>
  <c r="N44" i="14"/>
  <c r="O24" i="14"/>
  <c r="N41" i="14"/>
  <c r="O30" i="14"/>
  <c r="N47" i="14"/>
  <c r="O22" i="14"/>
  <c r="N39" i="14"/>
  <c r="O28" i="14"/>
  <c r="N45" i="14"/>
  <c r="O23" i="14"/>
  <c r="N40" i="14"/>
  <c r="O25" i="14"/>
  <c r="N42" i="14"/>
  <c r="B35" i="14"/>
  <c r="B37" i="14"/>
  <c r="B36" i="14"/>
  <c r="M34" i="14"/>
  <c r="M37" i="14"/>
  <c r="M36" i="14"/>
  <c r="M35" i="14"/>
  <c r="B7" i="5"/>
  <c r="S8" i="2" l="1"/>
  <c r="AI24" i="6"/>
  <c r="AA14" i="20"/>
  <c r="Z18" i="20"/>
  <c r="Y13" i="20"/>
  <c r="X17" i="20"/>
  <c r="X19" i="20" s="1"/>
  <c r="P18" i="14"/>
  <c r="O5" i="14"/>
  <c r="P20" i="14"/>
  <c r="O7" i="14"/>
  <c r="P19" i="14"/>
  <c r="O6" i="14"/>
  <c r="P17" i="14"/>
  <c r="O4" i="14"/>
  <c r="V15" i="19"/>
  <c r="V16" i="19" s="1"/>
  <c r="V18" i="19" s="1"/>
  <c r="W14" i="19"/>
  <c r="T4" i="19"/>
  <c r="S5" i="19"/>
  <c r="S6" i="19" s="1"/>
  <c r="S8" i="19" s="1"/>
  <c r="Q7" i="18"/>
  <c r="Q10" i="18"/>
  <c r="Q14" i="18" s="1"/>
  <c r="T4" i="2"/>
  <c r="R3" i="18"/>
  <c r="T7" i="2"/>
  <c r="S6" i="18" s="1"/>
  <c r="S13" i="18" s="1"/>
  <c r="S14" i="2"/>
  <c r="P24" i="14"/>
  <c r="O41" i="14"/>
  <c r="P30" i="14"/>
  <c r="O47" i="14"/>
  <c r="P23" i="14"/>
  <c r="O40" i="14"/>
  <c r="P28" i="14"/>
  <c r="O45" i="14"/>
  <c r="P27" i="14"/>
  <c r="O44" i="14"/>
  <c r="P25" i="14"/>
  <c r="O42" i="14"/>
  <c r="P22" i="14"/>
  <c r="O39" i="14"/>
  <c r="P29" i="14"/>
  <c r="O46" i="14"/>
  <c r="C36" i="14"/>
  <c r="C34" i="14"/>
  <c r="C37" i="14"/>
  <c r="C35" i="14"/>
  <c r="N37" i="14"/>
  <c r="N34" i="14"/>
  <c r="N36" i="14"/>
  <c r="N35" i="14"/>
  <c r="T8" i="2" l="1"/>
  <c r="AJ24" i="6"/>
  <c r="Z13" i="20"/>
  <c r="Y17" i="20"/>
  <c r="Y19" i="20" s="1"/>
  <c r="AB14" i="20"/>
  <c r="AA18" i="20"/>
  <c r="Q19" i="14"/>
  <c r="P6" i="14"/>
  <c r="Q17" i="14"/>
  <c r="P4" i="14"/>
  <c r="Q20" i="14"/>
  <c r="P7" i="14"/>
  <c r="Q18" i="14"/>
  <c r="P5" i="14"/>
  <c r="X14" i="19"/>
  <c r="W15" i="19"/>
  <c r="W16" i="19" s="1"/>
  <c r="W18" i="19" s="1"/>
  <c r="U4" i="19"/>
  <c r="T5" i="19"/>
  <c r="T6" i="19" s="1"/>
  <c r="T8" i="19" s="1"/>
  <c r="U4" i="2"/>
  <c r="S3" i="18"/>
  <c r="R10" i="18"/>
  <c r="R14" i="18" s="1"/>
  <c r="R7" i="18"/>
  <c r="U7" i="2"/>
  <c r="T6" i="18" s="1"/>
  <c r="T13" i="18" s="1"/>
  <c r="T14" i="2"/>
  <c r="Q29" i="14"/>
  <c r="P46" i="14"/>
  <c r="Q23" i="14"/>
  <c r="P40" i="14"/>
  <c r="Q25" i="14"/>
  <c r="P42" i="14"/>
  <c r="Q30" i="14"/>
  <c r="P47" i="14"/>
  <c r="Q22" i="14"/>
  <c r="P39" i="14"/>
  <c r="Q28" i="14"/>
  <c r="P45" i="14"/>
  <c r="Q27" i="14"/>
  <c r="P44" i="14"/>
  <c r="Q24" i="14"/>
  <c r="P41" i="14"/>
  <c r="D37" i="14"/>
  <c r="D34" i="14"/>
  <c r="D35" i="14"/>
  <c r="D36" i="14"/>
  <c r="O35" i="14"/>
  <c r="O36" i="14"/>
  <c r="O37" i="14"/>
  <c r="O34" i="14"/>
  <c r="U8" i="2" l="1"/>
  <c r="AK24" i="6"/>
  <c r="AC14" i="20"/>
  <c r="AC18" i="20" s="1"/>
  <c r="AB18" i="20"/>
  <c r="AA13" i="20"/>
  <c r="Z17" i="20"/>
  <c r="Z19" i="20" s="1"/>
  <c r="R18" i="14"/>
  <c r="Q5" i="14"/>
  <c r="R20" i="14"/>
  <c r="Q7" i="14"/>
  <c r="R17" i="14"/>
  <c r="Q4" i="14"/>
  <c r="R19" i="14"/>
  <c r="Q6" i="14"/>
  <c r="Y14" i="19"/>
  <c r="X15" i="19"/>
  <c r="X16" i="19" s="1"/>
  <c r="X18" i="19" s="1"/>
  <c r="V4" i="19"/>
  <c r="U5" i="19"/>
  <c r="U6" i="19" s="1"/>
  <c r="U8" i="19" s="1"/>
  <c r="S10" i="18"/>
  <c r="S14" i="18" s="1"/>
  <c r="S7" i="18"/>
  <c r="V4" i="2"/>
  <c r="T3" i="18"/>
  <c r="V7" i="2"/>
  <c r="U6" i="18" s="1"/>
  <c r="U13" i="18" s="1"/>
  <c r="U14" i="2"/>
  <c r="R25" i="14"/>
  <c r="Q42" i="14"/>
  <c r="R30" i="14"/>
  <c r="Q47" i="14"/>
  <c r="R27" i="14"/>
  <c r="Q44" i="14"/>
  <c r="R28" i="14"/>
  <c r="Q45" i="14"/>
  <c r="R23" i="14"/>
  <c r="Q40" i="14"/>
  <c r="R24" i="14"/>
  <c r="Q41" i="14"/>
  <c r="R22" i="14"/>
  <c r="Q39" i="14"/>
  <c r="R29" i="14"/>
  <c r="Q46" i="14"/>
  <c r="E36" i="14"/>
  <c r="E35" i="14"/>
  <c r="E34" i="14"/>
  <c r="E37" i="14"/>
  <c r="P37" i="14"/>
  <c r="P35" i="14"/>
  <c r="P36" i="14"/>
  <c r="P34" i="14"/>
  <c r="V8" i="2" l="1"/>
  <c r="AB13" i="20"/>
  <c r="AA17" i="20"/>
  <c r="AA19" i="20" s="1"/>
  <c r="S19" i="14"/>
  <c r="R6" i="14"/>
  <c r="S17" i="14"/>
  <c r="R4" i="14"/>
  <c r="S20" i="14"/>
  <c r="R7" i="14"/>
  <c r="S18" i="14"/>
  <c r="R5" i="14"/>
  <c r="Z14" i="19"/>
  <c r="Y15" i="19"/>
  <c r="Y16" i="19" s="1"/>
  <c r="Y18" i="19" s="1"/>
  <c r="W4" i="19"/>
  <c r="V5" i="19"/>
  <c r="V6" i="19" s="1"/>
  <c r="V8" i="19" s="1"/>
  <c r="T7" i="18"/>
  <c r="T10" i="18"/>
  <c r="T14" i="18" s="1"/>
  <c r="W4" i="2"/>
  <c r="U3" i="18"/>
  <c r="W7" i="2"/>
  <c r="V6" i="18" s="1"/>
  <c r="V13" i="18" s="1"/>
  <c r="V14" i="2"/>
  <c r="S22" i="14"/>
  <c r="R39" i="14"/>
  <c r="S28" i="14"/>
  <c r="R45" i="14"/>
  <c r="S24" i="14"/>
  <c r="R41" i="14"/>
  <c r="S30" i="14"/>
  <c r="R47" i="14"/>
  <c r="S29" i="14"/>
  <c r="R46" i="14"/>
  <c r="S27" i="14"/>
  <c r="R44" i="14"/>
  <c r="S23" i="14"/>
  <c r="R40" i="14"/>
  <c r="S25" i="14"/>
  <c r="R42" i="14"/>
  <c r="F37" i="14"/>
  <c r="F34" i="14"/>
  <c r="F35" i="14"/>
  <c r="F36" i="14"/>
  <c r="Q35" i="14"/>
  <c r="Q34" i="14"/>
  <c r="Q37" i="14"/>
  <c r="Q36" i="14"/>
  <c r="W8" i="2" l="1"/>
  <c r="AC13" i="20"/>
  <c r="AC17" i="20" s="1"/>
  <c r="AC19" i="20" s="1"/>
  <c r="AG19" i="3" s="1"/>
  <c r="AB17" i="20"/>
  <c r="AB19" i="20" s="1"/>
  <c r="T18" i="14"/>
  <c r="S5" i="14"/>
  <c r="T20" i="14"/>
  <c r="S7" i="14"/>
  <c r="T17" i="14"/>
  <c r="S4" i="14"/>
  <c r="T19" i="14"/>
  <c r="S6" i="14"/>
  <c r="AA14" i="19"/>
  <c r="Z15" i="19"/>
  <c r="Z16" i="19" s="1"/>
  <c r="Z18" i="19" s="1"/>
  <c r="X4" i="19"/>
  <c r="W5" i="19"/>
  <c r="W6" i="19" s="1"/>
  <c r="W8" i="19" s="1"/>
  <c r="U10" i="18"/>
  <c r="U14" i="18" s="1"/>
  <c r="U7" i="18"/>
  <c r="X4" i="2"/>
  <c r="V3" i="18"/>
  <c r="X7" i="2"/>
  <c r="W6" i="18" s="1"/>
  <c r="W13" i="18" s="1"/>
  <c r="W14" i="2"/>
  <c r="T25" i="14"/>
  <c r="S42" i="14"/>
  <c r="T23" i="14"/>
  <c r="S40" i="14"/>
  <c r="T27" i="14"/>
  <c r="S44" i="14"/>
  <c r="T28" i="14"/>
  <c r="S45" i="14"/>
  <c r="T30" i="14"/>
  <c r="S47" i="14"/>
  <c r="T24" i="14"/>
  <c r="S41" i="14"/>
  <c r="T29" i="14"/>
  <c r="S46" i="14"/>
  <c r="T22" i="14"/>
  <c r="S39" i="14"/>
  <c r="G36" i="14"/>
  <c r="G35" i="14"/>
  <c r="G34" i="14"/>
  <c r="G37" i="14"/>
  <c r="R34" i="14"/>
  <c r="R36" i="14"/>
  <c r="R37" i="14"/>
  <c r="R35" i="14"/>
  <c r="X8" i="2" l="1"/>
  <c r="U19" i="14"/>
  <c r="T6" i="14"/>
  <c r="U17" i="14"/>
  <c r="T4" i="14"/>
  <c r="U20" i="14"/>
  <c r="T7" i="14"/>
  <c r="U18" i="14"/>
  <c r="T5" i="14"/>
  <c r="AA15" i="19"/>
  <c r="AA16" i="19" s="1"/>
  <c r="AA18" i="19" s="1"/>
  <c r="Y4" i="19"/>
  <c r="X5" i="19"/>
  <c r="X6" i="19" s="1"/>
  <c r="X8" i="19" s="1"/>
  <c r="V10" i="18"/>
  <c r="V14" i="18" s="1"/>
  <c r="V7" i="18"/>
  <c r="Y4" i="2"/>
  <c r="W3" i="18"/>
  <c r="Y7" i="2"/>
  <c r="X6" i="18" s="1"/>
  <c r="X13" i="18" s="1"/>
  <c r="X14" i="2"/>
  <c r="U25" i="14"/>
  <c r="T42" i="14"/>
  <c r="U22" i="14"/>
  <c r="T39" i="14"/>
  <c r="U28" i="14"/>
  <c r="T45" i="14"/>
  <c r="U30" i="14"/>
  <c r="T47" i="14"/>
  <c r="U29" i="14"/>
  <c r="T46" i="14"/>
  <c r="E13" i="14"/>
  <c r="U24" i="14"/>
  <c r="T41" i="14"/>
  <c r="U23" i="14"/>
  <c r="T40" i="14"/>
  <c r="U27" i="14"/>
  <c r="T44" i="14"/>
  <c r="H37" i="14"/>
  <c r="H34" i="14"/>
  <c r="H35" i="14"/>
  <c r="H36" i="14"/>
  <c r="S35" i="14"/>
  <c r="S37" i="14"/>
  <c r="S36" i="14"/>
  <c r="S34" i="14"/>
  <c r="Y8" i="2" l="1"/>
  <c r="V18" i="14"/>
  <c r="U5" i="14"/>
  <c r="V20" i="14"/>
  <c r="U7" i="14"/>
  <c r="V17" i="14"/>
  <c r="U4" i="14"/>
  <c r="V19" i="14"/>
  <c r="U6" i="14"/>
  <c r="Z4" i="19"/>
  <c r="Y5" i="19"/>
  <c r="Y6" i="19" s="1"/>
  <c r="Y8" i="19" s="1"/>
  <c r="W10" i="18"/>
  <c r="W14" i="18" s="1"/>
  <c r="W7" i="18"/>
  <c r="Z4" i="2"/>
  <c r="X3" i="18"/>
  <c r="Z7" i="2"/>
  <c r="Y6" i="18" s="1"/>
  <c r="Y13" i="18" s="1"/>
  <c r="Y14" i="2"/>
  <c r="V30" i="14"/>
  <c r="U47" i="14"/>
  <c r="V23" i="14"/>
  <c r="U40" i="14"/>
  <c r="V28" i="14"/>
  <c r="U45" i="14"/>
  <c r="V24" i="14"/>
  <c r="U41" i="14"/>
  <c r="V22" i="14"/>
  <c r="U39" i="14"/>
  <c r="V27" i="14"/>
  <c r="U44" i="14"/>
  <c r="V29" i="14"/>
  <c r="U46" i="14"/>
  <c r="V25" i="14"/>
  <c r="U42" i="14"/>
  <c r="J36" i="14"/>
  <c r="I36" i="14"/>
  <c r="J35" i="14"/>
  <c r="I35" i="14"/>
  <c r="J34" i="14"/>
  <c r="I34" i="14"/>
  <c r="J37" i="14"/>
  <c r="I37" i="14"/>
  <c r="T36" i="14"/>
  <c r="T37" i="14"/>
  <c r="T34" i="14"/>
  <c r="T35" i="14"/>
  <c r="Z8" i="2" l="1"/>
  <c r="W19" i="14"/>
  <c r="V6" i="14"/>
  <c r="W17" i="14"/>
  <c r="V4" i="14"/>
  <c r="W20" i="14"/>
  <c r="V7" i="14"/>
  <c r="W18" i="14"/>
  <c r="V5" i="14"/>
  <c r="AA4" i="19"/>
  <c r="AA5" i="19" s="1"/>
  <c r="AA6" i="19" s="1"/>
  <c r="AA8" i="19" s="1"/>
  <c r="Z5" i="19"/>
  <c r="Z6" i="19" s="1"/>
  <c r="Z8" i="19" s="1"/>
  <c r="X10" i="18"/>
  <c r="X14" i="18" s="1"/>
  <c r="X7" i="18"/>
  <c r="AA4" i="2"/>
  <c r="Y3" i="18"/>
  <c r="AA7" i="2"/>
  <c r="Z6" i="18" s="1"/>
  <c r="Z13" i="18" s="1"/>
  <c r="Z14" i="2"/>
  <c r="W25" i="14"/>
  <c r="V42" i="14"/>
  <c r="W24" i="14"/>
  <c r="V41" i="14"/>
  <c r="W29" i="14"/>
  <c r="V46" i="14"/>
  <c r="W28" i="14"/>
  <c r="V45" i="14"/>
  <c r="W27" i="14"/>
  <c r="V44" i="14"/>
  <c r="W23" i="14"/>
  <c r="V40" i="14"/>
  <c r="W22" i="14"/>
  <c r="V39" i="14"/>
  <c r="W30" i="14"/>
  <c r="V47" i="14"/>
  <c r="U35" i="14"/>
  <c r="U34" i="14"/>
  <c r="U37" i="14"/>
  <c r="U36" i="14"/>
  <c r="AA8" i="2" l="1"/>
  <c r="X20" i="14"/>
  <c r="W7" i="14"/>
  <c r="X18" i="14"/>
  <c r="W5" i="14"/>
  <c r="X17" i="14"/>
  <c r="W4" i="14"/>
  <c r="X19" i="14"/>
  <c r="W6" i="14"/>
  <c r="Y7" i="18"/>
  <c r="Y10" i="18"/>
  <c r="Y14" i="18" s="1"/>
  <c r="Z3" i="18"/>
  <c r="AA14" i="2"/>
  <c r="X30" i="14"/>
  <c r="W47" i="14"/>
  <c r="X22" i="14"/>
  <c r="W39" i="14"/>
  <c r="X29" i="14"/>
  <c r="W46" i="14"/>
  <c r="X28" i="14"/>
  <c r="W45" i="14"/>
  <c r="X23" i="14"/>
  <c r="W40" i="14"/>
  <c r="X24" i="14"/>
  <c r="W41" i="14"/>
  <c r="X27" i="14"/>
  <c r="W44" i="14"/>
  <c r="X25" i="14"/>
  <c r="W42" i="14"/>
  <c r="V37" i="14"/>
  <c r="V34" i="14"/>
  <c r="V35" i="14"/>
  <c r="V36" i="14"/>
  <c r="Y20" i="14" l="1"/>
  <c r="X7" i="14"/>
  <c r="Y19" i="14"/>
  <c r="X6" i="14"/>
  <c r="Y17" i="14"/>
  <c r="X4" i="14"/>
  <c r="Y18" i="14"/>
  <c r="X5" i="14"/>
  <c r="Z10" i="18"/>
  <c r="Z14" i="18" s="1"/>
  <c r="Z7" i="18"/>
  <c r="Y27" i="14"/>
  <c r="X44" i="14"/>
  <c r="Y29" i="14"/>
  <c r="X46" i="14"/>
  <c r="Y24" i="14"/>
  <c r="X41" i="14"/>
  <c r="Y22" i="14"/>
  <c r="X39" i="14"/>
  <c r="Y28" i="14"/>
  <c r="X45" i="14"/>
  <c r="Y25" i="14"/>
  <c r="X42" i="14"/>
  <c r="Y23" i="14"/>
  <c r="X40" i="14"/>
  <c r="Y30" i="14"/>
  <c r="X47" i="14"/>
  <c r="W36" i="14"/>
  <c r="W35" i="14"/>
  <c r="W34" i="14"/>
  <c r="W37" i="14"/>
  <c r="Z18" i="14" l="1"/>
  <c r="Y5" i="14"/>
  <c r="Z20" i="14"/>
  <c r="Y7" i="14"/>
  <c r="Z17" i="14"/>
  <c r="Y4" i="14"/>
  <c r="Z19" i="14"/>
  <c r="Y6" i="14"/>
  <c r="Z27" i="14"/>
  <c r="Y44" i="14"/>
  <c r="Z30" i="14"/>
  <c r="Y47" i="14"/>
  <c r="Z23" i="14"/>
  <c r="Y40" i="14"/>
  <c r="Z24" i="14"/>
  <c r="Y41" i="14"/>
  <c r="Z22" i="14"/>
  <c r="Y39" i="14"/>
  <c r="Z25" i="14"/>
  <c r="Y42" i="14"/>
  <c r="Z29" i="14"/>
  <c r="Y46" i="14"/>
  <c r="Z28" i="14"/>
  <c r="Y45" i="14"/>
  <c r="X34" i="14"/>
  <c r="X35" i="14"/>
  <c r="X36" i="14"/>
  <c r="X37" i="14"/>
  <c r="E40" i="5"/>
  <c r="F40" i="5" s="1"/>
  <c r="G40" i="5" s="1"/>
  <c r="H40" i="5" s="1"/>
  <c r="I40" i="5" s="1"/>
  <c r="J40" i="5" s="1"/>
  <c r="K40" i="5" s="1"/>
  <c r="L40" i="5" s="1"/>
  <c r="M40" i="5" s="1"/>
  <c r="N40" i="5" s="1"/>
  <c r="O40" i="5" s="1"/>
  <c r="P40" i="5" s="1"/>
  <c r="Q40" i="5" s="1"/>
  <c r="R40" i="5" s="1"/>
  <c r="S40" i="5" s="1"/>
  <c r="T40" i="5" s="1"/>
  <c r="U40" i="5" s="1"/>
  <c r="V40" i="5" s="1"/>
  <c r="W40" i="5" s="1"/>
  <c r="X40" i="5" s="1"/>
  <c r="Y40" i="5" s="1"/>
  <c r="Z40" i="5" s="1"/>
  <c r="AA40" i="5" s="1"/>
  <c r="AB40" i="5" s="1"/>
  <c r="AC40" i="5" s="1"/>
  <c r="AD40" i="5" s="1"/>
  <c r="AE40" i="5" s="1"/>
  <c r="AF40" i="5" s="1"/>
  <c r="AG40" i="5" s="1"/>
  <c r="AH40" i="5" s="1"/>
  <c r="AI40" i="5" s="1"/>
  <c r="AJ40" i="5" s="1"/>
  <c r="AA17" i="14" l="1"/>
  <c r="Z4" i="14"/>
  <c r="Z34" i="14"/>
  <c r="AA20" i="14"/>
  <c r="Z7" i="14"/>
  <c r="Z37" i="14"/>
  <c r="AA19" i="14"/>
  <c r="Z6" i="14"/>
  <c r="Z36" i="14"/>
  <c r="AA18" i="14"/>
  <c r="Z5" i="14"/>
  <c r="Z35" i="14"/>
  <c r="AA28" i="14"/>
  <c r="Z45" i="14"/>
  <c r="AA27" i="14"/>
  <c r="Z44" i="14"/>
  <c r="AA24" i="14"/>
  <c r="Z41" i="14"/>
  <c r="AA22" i="14"/>
  <c r="Z39" i="14"/>
  <c r="AA29" i="14"/>
  <c r="Z46" i="14"/>
  <c r="AA25" i="14"/>
  <c r="Z42" i="14"/>
  <c r="AA30" i="14"/>
  <c r="Z47" i="14"/>
  <c r="AA23" i="14"/>
  <c r="Z40" i="14"/>
  <c r="Y37" i="14"/>
  <c r="Y36" i="14"/>
  <c r="Y35" i="14"/>
  <c r="Y34" i="14"/>
  <c r="H11" i="2"/>
  <c r="E11" i="2"/>
  <c r="W11" i="2"/>
  <c r="D11" i="2"/>
  <c r="M11" i="2"/>
  <c r="R11" i="2"/>
  <c r="X11" i="2"/>
  <c r="O11" i="2"/>
  <c r="S11" i="2"/>
  <c r="J11" i="2"/>
  <c r="N11" i="2"/>
  <c r="F11" i="2"/>
  <c r="I11" i="2"/>
  <c r="K11" i="2"/>
  <c r="T11" i="2"/>
  <c r="Y11" i="2"/>
  <c r="P11" i="2"/>
  <c r="G11" i="2"/>
  <c r="Q11" i="2"/>
  <c r="U11" i="2"/>
  <c r="Z11" i="2"/>
  <c r="L11" i="2"/>
  <c r="V11" i="2"/>
  <c r="AA11" i="2"/>
  <c r="AB20" i="14" l="1"/>
  <c r="AA7" i="14"/>
  <c r="AA37" i="14"/>
  <c r="AB18" i="14"/>
  <c r="AA5" i="14"/>
  <c r="AA35" i="14"/>
  <c r="AB19" i="14"/>
  <c r="AA6" i="14"/>
  <c r="AA36" i="14"/>
  <c r="AB17" i="14"/>
  <c r="AA4" i="14"/>
  <c r="AA34" i="14"/>
  <c r="AB28" i="14"/>
  <c r="AA45" i="14"/>
  <c r="AB22" i="14"/>
  <c r="AA39" i="14"/>
  <c r="AB29" i="14"/>
  <c r="AA46" i="14"/>
  <c r="AB23" i="14"/>
  <c r="AA40" i="14"/>
  <c r="AB24" i="14"/>
  <c r="AA41" i="14"/>
  <c r="AB25" i="14"/>
  <c r="AA42" i="14"/>
  <c r="AB27" i="14"/>
  <c r="AA44" i="14"/>
  <c r="AB30" i="14"/>
  <c r="AA47" i="14"/>
  <c r="W13" i="2"/>
  <c r="H13" i="2"/>
  <c r="R13" i="2"/>
  <c r="C13" i="2"/>
  <c r="S13" i="2"/>
  <c r="W12" i="2"/>
  <c r="M13" i="2"/>
  <c r="C12" i="2"/>
  <c r="I13" i="2"/>
  <c r="R12" i="2"/>
  <c r="X13" i="2"/>
  <c r="D13" i="2"/>
  <c r="T13" i="2"/>
  <c r="H12" i="2"/>
  <c r="H15" i="2" s="1"/>
  <c r="S12" i="2"/>
  <c r="X12" i="2"/>
  <c r="X15" i="2" s="1"/>
  <c r="M12" i="2"/>
  <c r="N13" i="2"/>
  <c r="E13" i="2"/>
  <c r="K13" i="2"/>
  <c r="I12" i="2"/>
  <c r="Y12" i="2"/>
  <c r="E12" i="2"/>
  <c r="AA12" i="2"/>
  <c r="O13" i="2"/>
  <c r="J13" i="2"/>
  <c r="P13" i="2"/>
  <c r="J12" i="2"/>
  <c r="T12" i="2"/>
  <c r="T15" i="2" s="1"/>
  <c r="F13" i="2"/>
  <c r="N12" i="2"/>
  <c r="N15" i="2" s="1"/>
  <c r="Y13" i="2"/>
  <c r="Q12" i="2"/>
  <c r="D12" i="2"/>
  <c r="U13" i="2"/>
  <c r="Z12" i="2"/>
  <c r="O12" i="2"/>
  <c r="Z13" i="2"/>
  <c r="P12" i="2"/>
  <c r="K12" i="2"/>
  <c r="K15" i="2" s="1"/>
  <c r="V13" i="2"/>
  <c r="AA13" i="2"/>
  <c r="L13" i="2"/>
  <c r="Q13" i="2"/>
  <c r="L12" i="2"/>
  <c r="L15" i="2" s="1"/>
  <c r="U12" i="2"/>
  <c r="G13" i="2"/>
  <c r="F12" i="2"/>
  <c r="V12" i="2"/>
  <c r="V15" i="2" s="1"/>
  <c r="G12" i="2"/>
  <c r="E49" i="5"/>
  <c r="F49" i="5" s="1"/>
  <c r="G49" i="5" s="1"/>
  <c r="H49" i="5" s="1"/>
  <c r="E48" i="5"/>
  <c r="F48" i="5" s="1"/>
  <c r="G48" i="5" s="1"/>
  <c r="H48" i="5" s="1"/>
  <c r="P15" i="2" l="1"/>
  <c r="E15" i="2"/>
  <c r="S15" i="2"/>
  <c r="U15" i="2"/>
  <c r="D15" i="2"/>
  <c r="F15" i="2"/>
  <c r="AA15" i="2"/>
  <c r="AG17" i="3" s="1"/>
  <c r="C15" i="2"/>
  <c r="W15" i="2"/>
  <c r="I15" i="2"/>
  <c r="J15" i="2"/>
  <c r="O15" i="2"/>
  <c r="I49" i="5"/>
  <c r="C19" i="19"/>
  <c r="C20" i="19" s="1"/>
  <c r="R15" i="2"/>
  <c r="I48" i="5"/>
  <c r="C9" i="19"/>
  <c r="C10" i="19" s="1"/>
  <c r="Y15" i="2"/>
  <c r="Z15" i="2"/>
  <c r="G15" i="2"/>
  <c r="Q15" i="2"/>
  <c r="M15" i="2"/>
  <c r="AC18" i="14"/>
  <c r="AB5" i="14"/>
  <c r="AB35" i="14"/>
  <c r="AC17" i="14"/>
  <c r="AB4" i="14"/>
  <c r="AB34" i="14"/>
  <c r="AC20" i="14"/>
  <c r="AB7" i="14"/>
  <c r="AB37" i="14"/>
  <c r="AC19" i="14"/>
  <c r="AB6" i="14"/>
  <c r="AB36" i="14"/>
  <c r="AC30" i="14"/>
  <c r="AB47" i="14"/>
  <c r="AC23" i="14"/>
  <c r="AB40" i="14"/>
  <c r="AC25" i="14"/>
  <c r="AB42" i="14"/>
  <c r="AC28" i="14"/>
  <c r="AB45" i="14"/>
  <c r="AC27" i="14"/>
  <c r="AB44" i="14"/>
  <c r="AC24" i="14"/>
  <c r="AB41" i="14"/>
  <c r="AC22" i="14"/>
  <c r="AB39" i="14"/>
  <c r="AC29" i="14"/>
  <c r="AB46" i="14"/>
  <c r="E43" i="5"/>
  <c r="F43" i="5" s="1"/>
  <c r="G43" i="5" s="1"/>
  <c r="H43" i="5" s="1"/>
  <c r="E42" i="5"/>
  <c r="F42" i="5" s="1"/>
  <c r="G42" i="5" s="1"/>
  <c r="H42" i="5" s="1"/>
  <c r="E45" i="5"/>
  <c r="E44" i="5"/>
  <c r="F44" i="5" s="1"/>
  <c r="G44" i="5" s="1"/>
  <c r="H44" i="5" s="1"/>
  <c r="I44" i="5" s="1"/>
  <c r="M36" i="6" s="1"/>
  <c r="E41" i="5"/>
  <c r="C22" i="19" l="1"/>
  <c r="F45" i="5"/>
  <c r="C10" i="21"/>
  <c r="I43" i="5"/>
  <c r="M37" i="6"/>
  <c r="I42" i="5"/>
  <c r="M38" i="6"/>
  <c r="J49" i="5"/>
  <c r="D19" i="19"/>
  <c r="D20" i="19" s="1"/>
  <c r="J48" i="5"/>
  <c r="D9" i="19"/>
  <c r="D10" i="19" s="1"/>
  <c r="AD17" i="14"/>
  <c r="AC4" i="14"/>
  <c r="AC34" i="14"/>
  <c r="AD20" i="14"/>
  <c r="AC7" i="14"/>
  <c r="AC37" i="14"/>
  <c r="AD19" i="14"/>
  <c r="AC6" i="14"/>
  <c r="AC36" i="14"/>
  <c r="AD18" i="14"/>
  <c r="AC5" i="14"/>
  <c r="AC35" i="14"/>
  <c r="AD22" i="14"/>
  <c r="AC39" i="14"/>
  <c r="AD24" i="14"/>
  <c r="AC41" i="14"/>
  <c r="AD25" i="14"/>
  <c r="AC42" i="14"/>
  <c r="AD30" i="14"/>
  <c r="AC47" i="14"/>
  <c r="F41" i="5"/>
  <c r="AD27" i="14"/>
  <c r="AC44" i="14"/>
  <c r="AD23" i="14"/>
  <c r="AC40" i="14"/>
  <c r="AD29" i="14"/>
  <c r="AC46" i="14"/>
  <c r="AD28" i="14"/>
  <c r="AC45" i="14"/>
  <c r="J44" i="5"/>
  <c r="D22" i="19" l="1"/>
  <c r="G45" i="5"/>
  <c r="D10" i="21"/>
  <c r="K44" i="5"/>
  <c r="N36" i="6"/>
  <c r="J43" i="5"/>
  <c r="N37" i="6"/>
  <c r="J42" i="5"/>
  <c r="N38" i="6"/>
  <c r="K49" i="5"/>
  <c r="E19" i="19"/>
  <c r="E20" i="19" s="1"/>
  <c r="K48" i="5"/>
  <c r="E9" i="19"/>
  <c r="E10" i="19" s="1"/>
  <c r="AE19" i="14"/>
  <c r="AE36" i="14" s="1"/>
  <c r="AD36" i="14"/>
  <c r="AE20" i="14"/>
  <c r="AE37" i="14" s="1"/>
  <c r="AD37" i="14"/>
  <c r="AE18" i="14"/>
  <c r="AE35" i="14" s="1"/>
  <c r="AD35" i="14"/>
  <c r="AE17" i="14"/>
  <c r="AD34" i="14"/>
  <c r="AE23" i="14"/>
  <c r="AD40" i="14"/>
  <c r="AE25" i="14"/>
  <c r="AD42" i="14"/>
  <c r="AE28" i="14"/>
  <c r="AE45" i="14" s="1"/>
  <c r="AD45" i="14"/>
  <c r="AE30" i="14"/>
  <c r="AE47" i="14" s="1"/>
  <c r="AD47" i="14"/>
  <c r="AE29" i="14"/>
  <c r="AE46" i="14" s="1"/>
  <c r="AD46" i="14"/>
  <c r="AE27" i="14"/>
  <c r="AE44" i="14" s="1"/>
  <c r="AD44" i="14"/>
  <c r="AE24" i="14"/>
  <c r="AD41" i="14"/>
  <c r="G41" i="5"/>
  <c r="AE22" i="14"/>
  <c r="AD39" i="14"/>
  <c r="H45" i="5" l="1"/>
  <c r="E10" i="21"/>
  <c r="L44" i="5"/>
  <c r="O36" i="6"/>
  <c r="O37" i="6"/>
  <c r="K43" i="5"/>
  <c r="O38" i="6"/>
  <c r="K42" i="5"/>
  <c r="E22" i="19"/>
  <c r="L49" i="5"/>
  <c r="F19" i="19"/>
  <c r="F20" i="19" s="1"/>
  <c r="L48" i="5"/>
  <c r="F9" i="19"/>
  <c r="F10" i="19" s="1"/>
  <c r="F22" i="19" s="1"/>
  <c r="AE34" i="14"/>
  <c r="AG17" i="14"/>
  <c r="AE40" i="14"/>
  <c r="AE41" i="14"/>
  <c r="AE42" i="14"/>
  <c r="AE39" i="14"/>
  <c r="H41" i="5"/>
  <c r="M39" i="6" s="1"/>
  <c r="I45" i="5" l="1"/>
  <c r="F10" i="21"/>
  <c r="M40" i="6"/>
  <c r="M44" i="5"/>
  <c r="P36" i="6"/>
  <c r="P37" i="6"/>
  <c r="L43" i="5"/>
  <c r="P38" i="6"/>
  <c r="L42" i="5"/>
  <c r="M49" i="5"/>
  <c r="G19" i="19"/>
  <c r="G20" i="19" s="1"/>
  <c r="M48" i="5"/>
  <c r="G9" i="19"/>
  <c r="G10" i="19" s="1"/>
  <c r="G22" i="19" s="1"/>
  <c r="I41" i="5"/>
  <c r="N39" i="6" s="1"/>
  <c r="J45" i="5" l="1"/>
  <c r="G10" i="21"/>
  <c r="Q36" i="6"/>
  <c r="N44" i="5"/>
  <c r="Q37" i="6"/>
  <c r="M43" i="5"/>
  <c r="Q38" i="6"/>
  <c r="M42" i="5"/>
  <c r="N49" i="5"/>
  <c r="H19" i="19"/>
  <c r="H20" i="19" s="1"/>
  <c r="N48" i="5"/>
  <c r="H9" i="19"/>
  <c r="H10" i="19" s="1"/>
  <c r="H22" i="19" s="1"/>
  <c r="J41" i="5"/>
  <c r="O39" i="6" s="1"/>
  <c r="E5" i="3"/>
  <c r="E7" i="3" s="1"/>
  <c r="L4" i="3"/>
  <c r="M4" i="3" s="1"/>
  <c r="N4" i="3" s="1"/>
  <c r="O4" i="3" s="1"/>
  <c r="P4" i="3" s="1"/>
  <c r="Q4" i="3" s="1"/>
  <c r="R4" i="3" s="1"/>
  <c r="S4" i="3" s="1"/>
  <c r="T4" i="3" s="1"/>
  <c r="U4" i="3" s="1"/>
  <c r="V4" i="3" s="1"/>
  <c r="W4" i="3" s="1"/>
  <c r="X4" i="3" s="1"/>
  <c r="Y4" i="3" s="1"/>
  <c r="Z4" i="3" s="1"/>
  <c r="AA4" i="3" s="1"/>
  <c r="AB4" i="3" s="1"/>
  <c r="AC4" i="3" s="1"/>
  <c r="AD4" i="3" s="1"/>
  <c r="AE4" i="3" s="1"/>
  <c r="AF4" i="3" s="1"/>
  <c r="H10" i="21" l="1"/>
  <c r="K45" i="5"/>
  <c r="R36" i="6"/>
  <c r="O44" i="5"/>
  <c r="R37" i="6"/>
  <c r="N43" i="5"/>
  <c r="R38" i="6"/>
  <c r="N42" i="5"/>
  <c r="O49" i="5"/>
  <c r="I19" i="19"/>
  <c r="I20" i="19" s="1"/>
  <c r="O48" i="5"/>
  <c r="I9" i="19"/>
  <c r="I10" i="19" s="1"/>
  <c r="I22" i="19" s="1"/>
  <c r="N40" i="6"/>
  <c r="K41" i="5"/>
  <c r="P39" i="6" s="1"/>
  <c r="F5" i="3"/>
  <c r="E6" i="3"/>
  <c r="E11" i="3" s="1"/>
  <c r="I10" i="21" l="1"/>
  <c r="L45" i="5"/>
  <c r="P44" i="5"/>
  <c r="S36" i="6"/>
  <c r="S37" i="6"/>
  <c r="O43" i="5"/>
  <c r="S38" i="6"/>
  <c r="O42" i="5"/>
  <c r="P49" i="5"/>
  <c r="J19" i="19"/>
  <c r="J20" i="19" s="1"/>
  <c r="P48" i="5"/>
  <c r="J9" i="19"/>
  <c r="J10" i="19" s="1"/>
  <c r="J22" i="19" s="1"/>
  <c r="O40" i="6"/>
  <c r="L41" i="5"/>
  <c r="Q39" i="6" s="1"/>
  <c r="G5" i="3"/>
  <c r="G6" i="3" s="1"/>
  <c r="F7" i="3"/>
  <c r="F6" i="3"/>
  <c r="F11" i="3" s="1"/>
  <c r="J10" i="21" l="1"/>
  <c r="M45" i="5"/>
  <c r="T36" i="6"/>
  <c r="Q44" i="5"/>
  <c r="T37" i="6"/>
  <c r="P43" i="5"/>
  <c r="T38" i="6"/>
  <c r="P42" i="5"/>
  <c r="Q49" i="5"/>
  <c r="K19" i="19"/>
  <c r="K20" i="19" s="1"/>
  <c r="Q48" i="5"/>
  <c r="K9" i="19"/>
  <c r="K10" i="19" s="1"/>
  <c r="G11" i="3"/>
  <c r="G12" i="3"/>
  <c r="M41" i="5"/>
  <c r="R39" i="6" s="1"/>
  <c r="P40" i="6"/>
  <c r="H5" i="3"/>
  <c r="H7" i="3" s="1"/>
  <c r="G7" i="3"/>
  <c r="K10" i="21" l="1"/>
  <c r="N45" i="5"/>
  <c r="U36" i="6"/>
  <c r="R44" i="5"/>
  <c r="U37" i="6"/>
  <c r="Q43" i="5"/>
  <c r="U38" i="6"/>
  <c r="Q42" i="5"/>
  <c r="K22" i="19"/>
  <c r="R49" i="5"/>
  <c r="L19" i="19"/>
  <c r="L20" i="19" s="1"/>
  <c r="R48" i="5"/>
  <c r="L9" i="19"/>
  <c r="L10" i="19" s="1"/>
  <c r="L22" i="19" s="1"/>
  <c r="G14" i="3"/>
  <c r="N41" i="5"/>
  <c r="S39" i="6" s="1"/>
  <c r="Q40" i="6"/>
  <c r="I5" i="3"/>
  <c r="H6" i="3"/>
  <c r="L10" i="21" l="1"/>
  <c r="O45" i="5"/>
  <c r="V36" i="6"/>
  <c r="S44" i="5"/>
  <c r="V37" i="6"/>
  <c r="R43" i="5"/>
  <c r="V38" i="6"/>
  <c r="R42" i="5"/>
  <c r="S49" i="5"/>
  <c r="M19" i="19"/>
  <c r="M20" i="19" s="1"/>
  <c r="S48" i="5"/>
  <c r="M9" i="19"/>
  <c r="M10" i="19" s="1"/>
  <c r="M22" i="19" s="1"/>
  <c r="H11" i="3"/>
  <c r="H12" i="3"/>
  <c r="O41" i="5"/>
  <c r="T39" i="6" s="1"/>
  <c r="R40" i="6"/>
  <c r="I7" i="3"/>
  <c r="I20" i="3" s="1"/>
  <c r="I6" i="3"/>
  <c r="J5" i="3"/>
  <c r="I22" i="3" l="1"/>
  <c r="B22" i="3" s="1"/>
  <c r="I25" i="3"/>
  <c r="I19" i="3"/>
  <c r="I17" i="3"/>
  <c r="I18" i="3"/>
  <c r="M10" i="21"/>
  <c r="P45" i="5"/>
  <c r="W36" i="6"/>
  <c r="T44" i="5"/>
  <c r="W37" i="6"/>
  <c r="S43" i="5"/>
  <c r="W38" i="6"/>
  <c r="S42" i="5"/>
  <c r="T49" i="5"/>
  <c r="N19" i="19"/>
  <c r="N20" i="19" s="1"/>
  <c r="T48" i="5"/>
  <c r="N9" i="19"/>
  <c r="N10" i="19" s="1"/>
  <c r="I26" i="3"/>
  <c r="I21" i="3"/>
  <c r="I12" i="3"/>
  <c r="I11" i="3"/>
  <c r="H14" i="3"/>
  <c r="S40" i="6"/>
  <c r="P41" i="5"/>
  <c r="U39" i="6" s="1"/>
  <c r="J6" i="3"/>
  <c r="J7" i="3"/>
  <c r="J20" i="3" s="1"/>
  <c r="K5" i="3"/>
  <c r="J19" i="3" l="1"/>
  <c r="J17" i="3"/>
  <c r="J25" i="3"/>
  <c r="J18" i="3"/>
  <c r="N10" i="21"/>
  <c r="Q45" i="5"/>
  <c r="X36" i="6"/>
  <c r="U44" i="5"/>
  <c r="X37" i="6"/>
  <c r="T43" i="5"/>
  <c r="X38" i="6"/>
  <c r="T42" i="5"/>
  <c r="N22" i="19"/>
  <c r="U49" i="5"/>
  <c r="O19" i="19"/>
  <c r="O20" i="19" s="1"/>
  <c r="U48" i="5"/>
  <c r="O9" i="19"/>
  <c r="O10" i="19" s="1"/>
  <c r="J12" i="3"/>
  <c r="J11" i="3"/>
  <c r="I14" i="3"/>
  <c r="J21" i="3"/>
  <c r="J26" i="3"/>
  <c r="Q41" i="5"/>
  <c r="V39" i="6" s="1"/>
  <c r="T40" i="6"/>
  <c r="K7" i="3"/>
  <c r="K20" i="3" s="1"/>
  <c r="K6" i="3"/>
  <c r="L5" i="3"/>
  <c r="O22" i="19" l="1"/>
  <c r="K19" i="3"/>
  <c r="K17" i="3"/>
  <c r="K25" i="3"/>
  <c r="K18" i="3"/>
  <c r="O10" i="21"/>
  <c r="R45" i="5"/>
  <c r="Y36" i="6"/>
  <c r="V44" i="5"/>
  <c r="Y37" i="6"/>
  <c r="U43" i="5"/>
  <c r="Y38" i="6"/>
  <c r="U42" i="5"/>
  <c r="V49" i="5"/>
  <c r="P19" i="19"/>
  <c r="P20" i="19" s="1"/>
  <c r="V48" i="5"/>
  <c r="P9" i="19"/>
  <c r="P10" i="19" s="1"/>
  <c r="P22" i="19" s="1"/>
  <c r="K26" i="3"/>
  <c r="K11" i="3"/>
  <c r="K12" i="3"/>
  <c r="J14" i="3"/>
  <c r="K21" i="3"/>
  <c r="U40" i="6"/>
  <c r="R41" i="5"/>
  <c r="W39" i="6" s="1"/>
  <c r="L7" i="3"/>
  <c r="L20" i="3" s="1"/>
  <c r="M5" i="3"/>
  <c r="L6" i="3"/>
  <c r="L19" i="3" l="1"/>
  <c r="L17" i="3"/>
  <c r="L18" i="3"/>
  <c r="L25" i="3"/>
  <c r="P10" i="21"/>
  <c r="S45" i="5"/>
  <c r="Z36" i="6"/>
  <c r="W44" i="5"/>
  <c r="Z37" i="6"/>
  <c r="V43" i="5"/>
  <c r="Z38" i="6"/>
  <c r="V42" i="5"/>
  <c r="W49" i="5"/>
  <c r="Q19" i="19"/>
  <c r="Q20" i="19" s="1"/>
  <c r="W48" i="5"/>
  <c r="Q9" i="19"/>
  <c r="Q10" i="19" s="1"/>
  <c r="L11" i="3"/>
  <c r="L12" i="3"/>
  <c r="K14" i="3"/>
  <c r="L21" i="3"/>
  <c r="L26" i="3"/>
  <c r="V40" i="6"/>
  <c r="S41" i="5"/>
  <c r="X39" i="6" s="1"/>
  <c r="M7" i="3"/>
  <c r="M20" i="3" s="1"/>
  <c r="N5" i="3"/>
  <c r="M6" i="3"/>
  <c r="M19" i="3" l="1"/>
  <c r="M17" i="3"/>
  <c r="M18" i="3"/>
  <c r="M25" i="3"/>
  <c r="Q10" i="21"/>
  <c r="T45" i="5"/>
  <c r="AA36" i="6"/>
  <c r="X44" i="5"/>
  <c r="AA37" i="6"/>
  <c r="W43" i="5"/>
  <c r="AA38" i="6"/>
  <c r="W42" i="5"/>
  <c r="Q22" i="19"/>
  <c r="X49" i="5"/>
  <c r="R19" i="19"/>
  <c r="R20" i="19" s="1"/>
  <c r="X48" i="5"/>
  <c r="R9" i="19"/>
  <c r="R10" i="19" s="1"/>
  <c r="M12" i="3"/>
  <c r="M11" i="3"/>
  <c r="L14" i="3"/>
  <c r="M21" i="3"/>
  <c r="W40" i="6"/>
  <c r="M26" i="3"/>
  <c r="T41" i="5"/>
  <c r="Y39" i="6" s="1"/>
  <c r="N7" i="3"/>
  <c r="N20" i="3" s="1"/>
  <c r="N6" i="3"/>
  <c r="O5" i="3"/>
  <c r="N19" i="3" l="1"/>
  <c r="N17" i="3"/>
  <c r="N18" i="3"/>
  <c r="N25" i="3"/>
  <c r="R10" i="21"/>
  <c r="U45" i="5"/>
  <c r="AB36" i="6"/>
  <c r="Y44" i="5"/>
  <c r="AB37" i="6"/>
  <c r="X43" i="5"/>
  <c r="AB38" i="6"/>
  <c r="X42" i="5"/>
  <c r="R22" i="19"/>
  <c r="Y49" i="5"/>
  <c r="S19" i="19"/>
  <c r="S20" i="19" s="1"/>
  <c r="Y48" i="5"/>
  <c r="S9" i="19"/>
  <c r="S10" i="19" s="1"/>
  <c r="M14" i="3"/>
  <c r="N12" i="3"/>
  <c r="N11" i="3"/>
  <c r="N21" i="3"/>
  <c r="N26" i="3"/>
  <c r="U41" i="5"/>
  <c r="Z39" i="6" s="1"/>
  <c r="X40" i="6"/>
  <c r="O7" i="3"/>
  <c r="O20" i="3" s="1"/>
  <c r="P5" i="3"/>
  <c r="O6" i="3"/>
  <c r="O19" i="3" l="1"/>
  <c r="O17" i="3"/>
  <c r="O18" i="3"/>
  <c r="O25" i="3"/>
  <c r="S10" i="21"/>
  <c r="V45" i="5"/>
  <c r="AC36" i="6"/>
  <c r="Z44" i="5"/>
  <c r="AC37" i="6"/>
  <c r="Y43" i="5"/>
  <c r="AC38" i="6"/>
  <c r="Y42" i="5"/>
  <c r="S22" i="19"/>
  <c r="Z49" i="5"/>
  <c r="T19" i="19"/>
  <c r="T20" i="19" s="1"/>
  <c r="Z48" i="5"/>
  <c r="T9" i="19"/>
  <c r="T10" i="19" s="1"/>
  <c r="O11" i="3"/>
  <c r="O12" i="3"/>
  <c r="N14" i="3"/>
  <c r="O21" i="3"/>
  <c r="O26" i="3"/>
  <c r="Y40" i="6"/>
  <c r="V41" i="5"/>
  <c r="AA39" i="6" s="1"/>
  <c r="P7" i="3"/>
  <c r="P20" i="3" s="1"/>
  <c r="P6" i="3"/>
  <c r="Q5" i="3"/>
  <c r="T22" i="19" l="1"/>
  <c r="P19" i="3"/>
  <c r="P17" i="3"/>
  <c r="P25" i="3"/>
  <c r="P18" i="3"/>
  <c r="T10" i="21"/>
  <c r="W45" i="5"/>
  <c r="AD36" i="6"/>
  <c r="AA44" i="5"/>
  <c r="AD37" i="6"/>
  <c r="Z43" i="5"/>
  <c r="AD38" i="6"/>
  <c r="Z42" i="5"/>
  <c r="AA49" i="5"/>
  <c r="U19" i="19"/>
  <c r="U20" i="19" s="1"/>
  <c r="AA48" i="5"/>
  <c r="U9" i="19"/>
  <c r="U10" i="19" s="1"/>
  <c r="P11" i="3"/>
  <c r="P12" i="3"/>
  <c r="O14" i="3"/>
  <c r="P21" i="3"/>
  <c r="P26" i="3"/>
  <c r="Z40" i="6"/>
  <c r="W41" i="5"/>
  <c r="AB39" i="6" s="1"/>
  <c r="Q7" i="3"/>
  <c r="Q20" i="3" s="1"/>
  <c r="R5" i="3"/>
  <c r="Q6" i="3"/>
  <c r="U22" i="19" l="1"/>
  <c r="Q19" i="3"/>
  <c r="Q17" i="3"/>
  <c r="Q25" i="3"/>
  <c r="Q18" i="3"/>
  <c r="U10" i="21"/>
  <c r="X45" i="5"/>
  <c r="AE36" i="6"/>
  <c r="AB44" i="5"/>
  <c r="AE37" i="6"/>
  <c r="AA43" i="5"/>
  <c r="AE38" i="6"/>
  <c r="AA42" i="5"/>
  <c r="AB49" i="5"/>
  <c r="V19" i="19"/>
  <c r="V20" i="19" s="1"/>
  <c r="AB48" i="5"/>
  <c r="V9" i="19"/>
  <c r="V10" i="19" s="1"/>
  <c r="Q26" i="3"/>
  <c r="Q11" i="3"/>
  <c r="Q12" i="3"/>
  <c r="P14" i="3"/>
  <c r="Q21" i="3"/>
  <c r="AA40" i="6"/>
  <c r="X41" i="5"/>
  <c r="AC39" i="6" s="1"/>
  <c r="R7" i="3"/>
  <c r="R20" i="3" s="1"/>
  <c r="R6" i="3"/>
  <c r="S5" i="3"/>
  <c r="V22" i="19" l="1"/>
  <c r="R19" i="3"/>
  <c r="R17" i="3"/>
  <c r="R25" i="3"/>
  <c r="R18" i="3"/>
  <c r="V10" i="21"/>
  <c r="Y45" i="5"/>
  <c r="AF36" i="6"/>
  <c r="AC44" i="5"/>
  <c r="AF37" i="6"/>
  <c r="AB43" i="5"/>
  <c r="AF38" i="6"/>
  <c r="AB42" i="5"/>
  <c r="AC49" i="5"/>
  <c r="W19" i="19"/>
  <c r="W20" i="19" s="1"/>
  <c r="AC48" i="5"/>
  <c r="W9" i="19"/>
  <c r="W10" i="19" s="1"/>
  <c r="Q14" i="3"/>
  <c r="R12" i="3"/>
  <c r="R11" i="3"/>
  <c r="R21" i="3"/>
  <c r="R26" i="3"/>
  <c r="AB40" i="6"/>
  <c r="Y41" i="5"/>
  <c r="AD39" i="6" s="1"/>
  <c r="S7" i="3"/>
  <c r="S20" i="3" s="1"/>
  <c r="T5" i="3"/>
  <c r="S6" i="3"/>
  <c r="W22" i="19" l="1"/>
  <c r="S19" i="3"/>
  <c r="S17" i="3"/>
  <c r="S18" i="3"/>
  <c r="S25" i="3"/>
  <c r="W10" i="21"/>
  <c r="Z45" i="5"/>
  <c r="AG36" i="6"/>
  <c r="AD44" i="5"/>
  <c r="AG37" i="6"/>
  <c r="AC43" i="5"/>
  <c r="AG38" i="6"/>
  <c r="AC42" i="5"/>
  <c r="AD49" i="5"/>
  <c r="X19" i="19"/>
  <c r="X20" i="19" s="1"/>
  <c r="AD48" i="5"/>
  <c r="X9" i="19"/>
  <c r="X10" i="19" s="1"/>
  <c r="R14" i="3"/>
  <c r="S11" i="3"/>
  <c r="S12" i="3"/>
  <c r="S21" i="3"/>
  <c r="AC40" i="6"/>
  <c r="S26" i="3"/>
  <c r="Z41" i="5"/>
  <c r="AE39" i="6" s="1"/>
  <c r="T7" i="3"/>
  <c r="T20" i="3" s="1"/>
  <c r="T6" i="3"/>
  <c r="U5" i="3"/>
  <c r="X22" i="19" l="1"/>
  <c r="T19" i="3"/>
  <c r="T17" i="3"/>
  <c r="T25" i="3"/>
  <c r="T18" i="3"/>
  <c r="X10" i="21"/>
  <c r="AA45" i="5"/>
  <c r="AH36" i="6"/>
  <c r="AE44" i="5"/>
  <c r="AH37" i="6"/>
  <c r="AD43" i="5"/>
  <c r="AH38" i="6"/>
  <c r="AD42" i="5"/>
  <c r="AE49" i="5"/>
  <c r="Y19" i="19"/>
  <c r="Y20" i="19" s="1"/>
  <c r="AE48" i="5"/>
  <c r="Y9" i="19"/>
  <c r="Y10" i="19" s="1"/>
  <c r="T11" i="3"/>
  <c r="T12" i="3"/>
  <c r="S14" i="3"/>
  <c r="T21" i="3"/>
  <c r="T26" i="3"/>
  <c r="AD40" i="6"/>
  <c r="AA41" i="5"/>
  <c r="AF39" i="6" s="1"/>
  <c r="U7" i="3"/>
  <c r="U20" i="3" s="1"/>
  <c r="V5" i="3"/>
  <c r="U6" i="3"/>
  <c r="Y22" i="19" l="1"/>
  <c r="U19" i="3"/>
  <c r="U17" i="3"/>
  <c r="U25" i="3"/>
  <c r="U18" i="3"/>
  <c r="Y10" i="21"/>
  <c r="AB45" i="5"/>
  <c r="AI36" i="6"/>
  <c r="AF44" i="5"/>
  <c r="AI37" i="6"/>
  <c r="AE43" i="5"/>
  <c r="AI38" i="6"/>
  <c r="AE42" i="5"/>
  <c r="AF49" i="5"/>
  <c r="Z19" i="19"/>
  <c r="Z20" i="19" s="1"/>
  <c r="AF48" i="5"/>
  <c r="Z9" i="19"/>
  <c r="Z10" i="19" s="1"/>
  <c r="U12" i="3"/>
  <c r="U11" i="3"/>
  <c r="T14" i="3"/>
  <c r="U21" i="3"/>
  <c r="AE40" i="6"/>
  <c r="U26" i="3"/>
  <c r="AB41" i="5"/>
  <c r="AG39" i="6" s="1"/>
  <c r="V7" i="3"/>
  <c r="V20" i="3" s="1"/>
  <c r="W5" i="3"/>
  <c r="V6" i="3"/>
  <c r="Z22" i="19" l="1"/>
  <c r="V19" i="3"/>
  <c r="V17" i="3"/>
  <c r="V25" i="3"/>
  <c r="V18" i="3"/>
  <c r="Z10" i="21"/>
  <c r="AG25" i="3" s="1"/>
  <c r="AC45" i="5"/>
  <c r="AJ36" i="6"/>
  <c r="AG44" i="5"/>
  <c r="AJ37" i="6"/>
  <c r="AF43" i="5"/>
  <c r="AJ38" i="6"/>
  <c r="AF42" i="5"/>
  <c r="AG49" i="5"/>
  <c r="AH49" i="5" s="1"/>
  <c r="AI49" i="5" s="1"/>
  <c r="AJ49" i="5" s="1"/>
  <c r="AV49" i="5" s="1"/>
  <c r="AA19" i="19"/>
  <c r="AA20" i="19" s="1"/>
  <c r="AG48" i="5"/>
  <c r="AH48" i="5" s="1"/>
  <c r="AI48" i="5" s="1"/>
  <c r="AJ48" i="5" s="1"/>
  <c r="AV48" i="5" s="1"/>
  <c r="AA9" i="19"/>
  <c r="AA10" i="19" s="1"/>
  <c r="U14" i="3"/>
  <c r="V12" i="3"/>
  <c r="V11" i="3"/>
  <c r="V21" i="3"/>
  <c r="V26" i="3"/>
  <c r="AC41" i="5"/>
  <c r="AF40" i="6"/>
  <c r="W7" i="3"/>
  <c r="W20" i="3" s="1"/>
  <c r="W6" i="3"/>
  <c r="X5" i="3"/>
  <c r="W19" i="3" l="1"/>
  <c r="W17" i="3"/>
  <c r="W25" i="3"/>
  <c r="W18" i="3"/>
  <c r="AD45" i="5"/>
  <c r="AK36" i="6"/>
  <c r="AH44" i="5"/>
  <c r="AI44" i="5" s="1"/>
  <c r="AJ44" i="5" s="1"/>
  <c r="AK37" i="6"/>
  <c r="AG43" i="5"/>
  <c r="AH43" i="5" s="1"/>
  <c r="AI43" i="5" s="1"/>
  <c r="AJ43" i="5" s="1"/>
  <c r="AK38" i="6"/>
  <c r="AG42" i="5"/>
  <c r="AH42" i="5" s="1"/>
  <c r="AD41" i="5"/>
  <c r="AH39" i="6"/>
  <c r="AA22" i="19"/>
  <c r="AG18" i="3" s="1"/>
  <c r="W11" i="3"/>
  <c r="W12" i="3"/>
  <c r="V14" i="3"/>
  <c r="W21" i="3"/>
  <c r="W26" i="3"/>
  <c r="AI42" i="5"/>
  <c r="AJ42" i="5" s="1"/>
  <c r="AG40" i="6"/>
  <c r="X7" i="3"/>
  <c r="X20" i="3" s="1"/>
  <c r="Y5" i="3"/>
  <c r="X6" i="3"/>
  <c r="X19" i="3" l="1"/>
  <c r="X17" i="3"/>
  <c r="X25" i="3"/>
  <c r="X18" i="3"/>
  <c r="AE45" i="5"/>
  <c r="AE41" i="5"/>
  <c r="AI39" i="6"/>
  <c r="W14" i="3"/>
  <c r="X11" i="3"/>
  <c r="X12" i="3"/>
  <c r="X21" i="3"/>
  <c r="X26" i="3"/>
  <c r="AH40" i="6"/>
  <c r="Y7" i="3"/>
  <c r="Y20" i="3" s="1"/>
  <c r="Z5" i="3"/>
  <c r="Y6" i="3"/>
  <c r="Y19" i="3" l="1"/>
  <c r="Y17" i="3"/>
  <c r="Y25" i="3"/>
  <c r="Y18" i="3"/>
  <c r="AI40" i="6"/>
  <c r="AF45" i="5"/>
  <c r="AF41" i="5"/>
  <c r="AJ39" i="6"/>
  <c r="X14" i="3"/>
  <c r="Y12" i="3"/>
  <c r="Y11" i="3"/>
  <c r="Y21" i="3"/>
  <c r="Y26" i="3"/>
  <c r="Z7" i="3"/>
  <c r="Z20" i="3" s="1"/>
  <c r="AA5" i="3"/>
  <c r="Z6" i="3"/>
  <c r="Z19" i="3" l="1"/>
  <c r="Z17" i="3"/>
  <c r="Z18" i="3"/>
  <c r="Z25" i="3"/>
  <c r="AJ40" i="6"/>
  <c r="AG45" i="5"/>
  <c r="AH45" i="5" s="1"/>
  <c r="AI45" i="5" s="1"/>
  <c r="AJ45" i="5" s="1"/>
  <c r="AG41" i="5"/>
  <c r="AH41" i="5" s="1"/>
  <c r="AI41" i="5" s="1"/>
  <c r="AJ41" i="5" s="1"/>
  <c r="AK39" i="6"/>
  <c r="Y14" i="3"/>
  <c r="Z12" i="3"/>
  <c r="Z11" i="3"/>
  <c r="Z21" i="3"/>
  <c r="Z26" i="3"/>
  <c r="AA7" i="3"/>
  <c r="AA20" i="3" s="1"/>
  <c r="AB5" i="3"/>
  <c r="AA6" i="3"/>
  <c r="AA19" i="3" l="1"/>
  <c r="AA17" i="3"/>
  <c r="AA25" i="3"/>
  <c r="AA18" i="3"/>
  <c r="AK40" i="6"/>
  <c r="Z14" i="3"/>
  <c r="AA11" i="3"/>
  <c r="AA12" i="3"/>
  <c r="AA21" i="3"/>
  <c r="AA26" i="3"/>
  <c r="AB7" i="3"/>
  <c r="AB20" i="3" s="1"/>
  <c r="AC5" i="3"/>
  <c r="AB6" i="3"/>
  <c r="AB19" i="3" l="1"/>
  <c r="AB17" i="3"/>
  <c r="AB25" i="3"/>
  <c r="AB18" i="3"/>
  <c r="AB12" i="3"/>
  <c r="AB11" i="3"/>
  <c r="AA14" i="3"/>
  <c r="AB21" i="3"/>
  <c r="AB26" i="3"/>
  <c r="AC7" i="3"/>
  <c r="AC20" i="3" s="1"/>
  <c r="AC6" i="3"/>
  <c r="AD5" i="3"/>
  <c r="AC19" i="3" l="1"/>
  <c r="AC17" i="3"/>
  <c r="AC18" i="3"/>
  <c r="AC25" i="3"/>
  <c r="AB14" i="3"/>
  <c r="AC12" i="3"/>
  <c r="AC11" i="3"/>
  <c r="AC21" i="3"/>
  <c r="AC26" i="3"/>
  <c r="AD7" i="3"/>
  <c r="AD20" i="3" s="1"/>
  <c r="AE5" i="3"/>
  <c r="AD6" i="3"/>
  <c r="AD19" i="3" l="1"/>
  <c r="AD17" i="3"/>
  <c r="AD25" i="3"/>
  <c r="AD18" i="3"/>
  <c r="AC14" i="3"/>
  <c r="AD12" i="3"/>
  <c r="AD11" i="3"/>
  <c r="AD21" i="3"/>
  <c r="AD26" i="3"/>
  <c r="AE7" i="3"/>
  <c r="AE20" i="3" s="1"/>
  <c r="AE6" i="3"/>
  <c r="AF5" i="3"/>
  <c r="AE19" i="3" l="1"/>
  <c r="AE17" i="3"/>
  <c r="AE18" i="3"/>
  <c r="AE25" i="3"/>
  <c r="AD14" i="3"/>
  <c r="AE11" i="3"/>
  <c r="AE12" i="3"/>
  <c r="AE21" i="3"/>
  <c r="AE26" i="3"/>
  <c r="AF7" i="3"/>
  <c r="AF6" i="3"/>
  <c r="AF19" i="3" l="1"/>
  <c r="AF17" i="3"/>
  <c r="B17" i="3" s="1"/>
  <c r="AF25" i="3"/>
  <c r="AF18" i="3"/>
  <c r="B25" i="3"/>
  <c r="AF13" i="3"/>
  <c r="B13" i="3" s="1"/>
  <c r="AF21" i="3"/>
  <c r="B21" i="3" s="1"/>
  <c r="AE14" i="3"/>
  <c r="AF11" i="3"/>
  <c r="B11" i="3" s="1"/>
  <c r="AF12" i="3"/>
  <c r="B12" i="3" s="1"/>
  <c r="B19" i="3"/>
  <c r="B24" i="3"/>
  <c r="B18" i="3"/>
  <c r="AF26" i="3"/>
  <c r="B26" i="3" s="1"/>
  <c r="AF20" i="3"/>
  <c r="B20" i="3" s="1"/>
  <c r="B23" i="3"/>
  <c r="B27" i="3" l="1"/>
  <c r="B37" i="3" s="1"/>
  <c r="AF14" i="3"/>
  <c r="B35" i="3" l="1"/>
  <c r="B39" i="3"/>
  <c r="B38" i="3"/>
  <c r="B31" i="3"/>
  <c r="B30" i="3"/>
  <c r="B34" i="3"/>
  <c r="B40" i="3"/>
  <c r="B42" i="3"/>
  <c r="B41" i="3"/>
  <c r="B36" i="3"/>
  <c r="B4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tc={64EE20D0-1213-D042-8BF3-FA4893D43D8D}</author>
  </authors>
  <commentList>
    <comment ref="G15" authorId="0" shapeId="0" xr:uid="{64EE20D0-1213-D042-8BF3-FA4893D43D8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Starts emissions decrease formula
Reply:
    Updated to % decrease</t>
        </r>
      </text>
    </comment>
  </commentList>
</comments>
</file>

<file path=xl/sharedStrings.xml><?xml version="1.0" encoding="utf-8"?>
<sst xmlns="http://schemas.openxmlformats.org/spreadsheetml/2006/main" count="405" uniqueCount="252">
  <si>
    <t>Year</t>
  </si>
  <si>
    <t>Total</t>
  </si>
  <si>
    <t>Build</t>
  </si>
  <si>
    <t>Look Up Table</t>
  </si>
  <si>
    <t>Discount Rate</t>
  </si>
  <si>
    <t>Sox</t>
  </si>
  <si>
    <r>
      <t>CO</t>
    </r>
    <r>
      <rPr>
        <vertAlign val="subscript"/>
        <sz val="11"/>
        <color theme="1"/>
        <rFont val="Calibri"/>
        <family val="2"/>
        <scheme val="minor"/>
      </rPr>
      <t>2</t>
    </r>
  </si>
  <si>
    <t>Nox</t>
  </si>
  <si>
    <t>No injury (PDO equivalent)</t>
  </si>
  <si>
    <t>Possible Injury (=OK Severity 2)</t>
  </si>
  <si>
    <t>Non-incapacitating Injury (=OK Severity 3)</t>
  </si>
  <si>
    <t>Incapacitating Injury (=OK Severity 4)</t>
  </si>
  <si>
    <t xml:space="preserve">Fatal </t>
  </si>
  <si>
    <t/>
  </si>
  <si>
    <t>Passengers</t>
  </si>
  <si>
    <t>Small commercial vehicles</t>
  </si>
  <si>
    <t>Large commercial vehicles</t>
  </si>
  <si>
    <t>Benefit Cost Ratio</t>
  </si>
  <si>
    <t>-</t>
  </si>
  <si>
    <t>Source</t>
  </si>
  <si>
    <t>Unit</t>
  </si>
  <si>
    <t>Seconds to hours conversion</t>
  </si>
  <si>
    <t>Annualization factor</t>
  </si>
  <si>
    <t>Average passenger vehicle occupancy</t>
  </si>
  <si>
    <t>CAGR (for VMT)</t>
  </si>
  <si>
    <t>Base Year Y for Discounting</t>
  </si>
  <si>
    <t>Discounted Costs</t>
  </si>
  <si>
    <t>Discounted Benefits</t>
  </si>
  <si>
    <t>Emissions Benefits</t>
  </si>
  <si>
    <t>Crash Reductions Benefits</t>
  </si>
  <si>
    <t>Summary</t>
  </si>
  <si>
    <t>Share of Benefits</t>
  </si>
  <si>
    <t>Truck</t>
  </si>
  <si>
    <t>All commercial vehicles</t>
  </si>
  <si>
    <t>Hours of Delay Saved</t>
  </si>
  <si>
    <t>Passenger Car</t>
  </si>
  <si>
    <t>Light/Medium Truck</t>
  </si>
  <si>
    <t>Heavy Truck</t>
  </si>
  <si>
    <t xml:space="preserve">Emissions Costs Per Ton </t>
  </si>
  <si>
    <t>$/Crash</t>
  </si>
  <si>
    <t>Passengers (All Purposes)</t>
  </si>
  <si>
    <t>Truck Drivers</t>
  </si>
  <si>
    <t>PM2.5</t>
  </si>
  <si>
    <t>https://www.epa.gov/energy/greenhouse-gases-equivalencies-calculator-calculations-and-references</t>
  </si>
  <si>
    <t>https://www.epa.gov/moves/latest-version-motor-vehicle-emission-simulator-moves</t>
  </si>
  <si>
    <t>Grams to tons conversion</t>
  </si>
  <si>
    <r>
      <t>CO</t>
    </r>
    <r>
      <rPr>
        <vertAlign val="subscript"/>
        <sz val="11"/>
        <color theme="1"/>
        <rFont val="Calibri"/>
        <family val="2"/>
        <scheme val="minor"/>
      </rPr>
      <t>2</t>
    </r>
    <r>
      <rPr>
        <sz val="11"/>
        <color theme="1"/>
        <rFont val="Calibri"/>
        <family val="2"/>
        <scheme val="minor"/>
      </rPr>
      <t xml:space="preserve"> Benefit</t>
    </r>
  </si>
  <si>
    <t>Nox Benefit</t>
  </si>
  <si>
    <t>SOx Benefit</t>
  </si>
  <si>
    <t>$/Metric Ton</t>
  </si>
  <si>
    <r>
      <t>CO</t>
    </r>
    <r>
      <rPr>
        <vertAlign val="subscript"/>
        <sz val="11"/>
        <color theme="1"/>
        <rFont val="Calibri"/>
        <family val="2"/>
        <scheme val="minor"/>
      </rPr>
      <t>2</t>
    </r>
    <r>
      <rPr>
        <sz val="11"/>
        <color theme="1"/>
        <rFont val="Calibri"/>
        <family val="2"/>
        <scheme val="minor"/>
      </rPr>
      <t xml:space="preserve"> Savings</t>
    </r>
  </si>
  <si>
    <t xml:space="preserve">NOx Savings </t>
  </si>
  <si>
    <t>SOx Savings</t>
  </si>
  <si>
    <t>Discount Rate (Carbon Emissions)</t>
  </si>
  <si>
    <t>Emissions Benefits (All Other)</t>
  </si>
  <si>
    <t>Discount Factor (7% Disc.)</t>
  </si>
  <si>
    <t xml:space="preserve">Crash Reductions </t>
  </si>
  <si>
    <t>CO2 Equivalent</t>
  </si>
  <si>
    <t>PM2.5 Savings</t>
  </si>
  <si>
    <t>PM2.5 Benefit</t>
  </si>
  <si>
    <t>Kilograms to metric tons conversion</t>
  </si>
  <si>
    <t>MOVES3</t>
  </si>
  <si>
    <t>kg/VHT</t>
  </si>
  <si>
    <t>*Source: MOVES3</t>
  </si>
  <si>
    <t>US tons to metric tons conversion</t>
  </si>
  <si>
    <t>Construction</t>
  </si>
  <si>
    <t>Medium Duty Truck</t>
  </si>
  <si>
    <t>Tractor Trailers</t>
  </si>
  <si>
    <t>Oxides of Nitrogen (NOx)</t>
  </si>
  <si>
    <t>Sulfur Dioxide (SO2)</t>
  </si>
  <si>
    <t>Vehicle Class</t>
  </si>
  <si>
    <t>Car (Gasoline)</t>
  </si>
  <si>
    <t>Emissions Kilograms Per VHT</t>
  </si>
  <si>
    <t xml:space="preserve">Emissions Savings Per Hour of Delay (metric tons/VHT) </t>
  </si>
  <si>
    <t>AVG pollutant decrease, 2021-2025</t>
  </si>
  <si>
    <t>Emissions Benefit Per Hour of Delay ($/VHT)</t>
  </si>
  <si>
    <t>AVG annual % pollutant decrease, 2021-2025</t>
  </si>
  <si>
    <t>No Build</t>
  </si>
  <si>
    <t>Annual O&amp;M and Periodic Rehab Cost (Build - No Build)</t>
  </si>
  <si>
    <t>1st year operation</t>
  </si>
  <si>
    <t xml:space="preserve">Net Present Value </t>
  </si>
  <si>
    <t>Routine Maintenance</t>
  </si>
  <si>
    <t>Periodic Rehab</t>
  </si>
  <si>
    <t>RR Grade Crossing Control Savings</t>
  </si>
  <si>
    <t>Fuel Cost Savings</t>
  </si>
  <si>
    <t>Avg Passenger Vehicle Occupancy</t>
  </si>
  <si>
    <t>Percent Trucks</t>
  </si>
  <si>
    <t>Value per Person Hour</t>
  </si>
  <si>
    <t>Value per Truck Hour</t>
  </si>
  <si>
    <t>Duration of Train (Minutes)</t>
  </si>
  <si>
    <t>Cycle Length between Train Arrivals (seconds)</t>
  </si>
  <si>
    <t>"red" time (seconds)</t>
  </si>
  <si>
    <t>Green Ratio g/C</t>
  </si>
  <si>
    <t>Capacity Per Lane (PCE / HR)</t>
  </si>
  <si>
    <t>Saturation Flow Rate</t>
  </si>
  <si>
    <t>SH-37 Hourly Capacity PCE (w.r.t. crossing)</t>
  </si>
  <si>
    <t>Hour of Day</t>
  </si>
  <si>
    <t>% of DV</t>
  </si>
  <si>
    <t>Hourly Arrivals</t>
  </si>
  <si>
    <t>Expected # of Trains</t>
  </si>
  <si>
    <t>Delay Per Vehicle (seconds)</t>
  </si>
  <si>
    <t>Passenger Delay (Hours)</t>
  </si>
  <si>
    <t>Truck Delay (Hours)</t>
  </si>
  <si>
    <t>Results of Traffic/Queuing Analysis</t>
  </si>
  <si>
    <t>NOx Benefit</t>
  </si>
  <si>
    <t>Daily Traffic (current)</t>
  </si>
  <si>
    <t>Daily Traffic (2040)</t>
  </si>
  <si>
    <t>Annual rate of growth in traffic</t>
  </si>
  <si>
    <t>Salvage Value</t>
  </si>
  <si>
    <t>https://www.energy.gov/eere/vehicles/fact-861-february-23-2015-idle-fuel-consumption-selected-gasoline-and-diesel-vehicles</t>
  </si>
  <si>
    <t>Fuel consumed while idling (passenger vehicles) (gal/hr)</t>
  </si>
  <si>
    <t>Fuel consumed while idling (average of all truck types) (gal/hr)</t>
  </si>
  <si>
    <t>Passengers vehicle hours</t>
  </si>
  <si>
    <t>Fuel Savings</t>
  </si>
  <si>
    <t>Passengers vehicles</t>
  </si>
  <si>
    <t>All commercial vehicle hours</t>
  </si>
  <si>
    <t>average cost of gasoline (2019$s, net of fuel taxes)</t>
  </si>
  <si>
    <t>average cost of diesel fuel (2019$s, net of fuel taxes)</t>
  </si>
  <si>
    <t>https://www.eia.gov/todayinenergy/detail.php?id=42435</t>
  </si>
  <si>
    <r>
      <t>CO</t>
    </r>
    <r>
      <rPr>
        <b/>
        <vertAlign val="subscript"/>
        <sz val="11"/>
        <color theme="1"/>
        <rFont val="Calibri"/>
        <family val="2"/>
        <scheme val="minor"/>
      </rPr>
      <t>2</t>
    </r>
    <r>
      <rPr>
        <b/>
        <sz val="11"/>
        <color theme="1"/>
        <rFont val="Calibri"/>
        <family val="2"/>
        <scheme val="minor"/>
      </rPr>
      <t xml:space="preserve"> Benefit</t>
    </r>
  </si>
  <si>
    <t>At-grade Crossing Protection Elimination (Life Cycle Cost Savings)</t>
  </si>
  <si>
    <t>Total daily auto trips</t>
  </si>
  <si>
    <t>Total daily truck trips</t>
  </si>
  <si>
    <t>Daily auto trips delayed</t>
  </si>
  <si>
    <t>Daily auto trips not delayed</t>
  </si>
  <si>
    <t>Daily value of auto buffer time (not delayed)</t>
  </si>
  <si>
    <t xml:space="preserve">Auto </t>
  </si>
  <si>
    <t>Total annual reliability benefit (undiscounted)</t>
  </si>
  <si>
    <t>Average length of delay at a crossing (minutes)</t>
  </si>
  <si>
    <t>red time (minutes)</t>
  </si>
  <si>
    <t>Delayed vehicles</t>
  </si>
  <si>
    <t>% delayed vehicles</t>
  </si>
  <si>
    <t>Daily auto buffer time not delayed (hours)</t>
  </si>
  <si>
    <t xml:space="preserve">Travel Reliability Benefits </t>
  </si>
  <si>
    <t>Reliability calculated as follows:</t>
  </si>
  <si>
    <t xml:space="preserve">(total trips - trips actually delayed) x average delay when gates down x probability of delay x value of time </t>
  </si>
  <si>
    <t>Daily truck trips delayed</t>
  </si>
  <si>
    <t>Daily truck trips not delayed</t>
  </si>
  <si>
    <t>Daily truck buffer time not delayed (hours)</t>
  </si>
  <si>
    <t>Daily value of truck buffer time (not delayed)</t>
  </si>
  <si>
    <t>Annual value of truck buffer time (undiscounted)</t>
  </si>
  <si>
    <t>Annual value of auto buffer time (undiscounted)</t>
  </si>
  <si>
    <t>Reliability Benefits</t>
  </si>
  <si>
    <t>At-grade Crossing Protection LC Cost Savings</t>
  </si>
  <si>
    <t>PDO</t>
  </si>
  <si>
    <t xml:space="preserve">NOx </t>
  </si>
  <si>
    <t xml:space="preserve">SOx </t>
  </si>
  <si>
    <t xml:space="preserve">PM2.5 </t>
  </si>
  <si>
    <t>Annual Hours of Delay Saved</t>
  </si>
  <si>
    <t>Total (Non-CO2) Benefit</t>
  </si>
  <si>
    <t>Emissions Benefit (annual $ savings, undiscounted)</t>
  </si>
  <si>
    <t>Emissions Reduction (annual metric tons saved)</t>
  </si>
  <si>
    <r>
      <t>CO</t>
    </r>
    <r>
      <rPr>
        <b/>
        <vertAlign val="subscript"/>
        <sz val="11"/>
        <color theme="1"/>
        <rFont val="Calibri"/>
        <family val="2"/>
        <scheme val="minor"/>
      </rPr>
      <t xml:space="preserve">2 </t>
    </r>
  </si>
  <si>
    <t>annual crash rate</t>
  </si>
  <si>
    <t>Fatality</t>
  </si>
  <si>
    <t>Serious infury</t>
  </si>
  <si>
    <t>moderate injury</t>
  </si>
  <si>
    <t>minor injury</t>
  </si>
  <si>
    <t>Bike and Pedestrian</t>
  </si>
  <si>
    <t>bike time differential (build vs. no build</t>
  </si>
  <si>
    <t>walk time differential (build vs. no build)</t>
  </si>
  <si>
    <t>minutes/trip</t>
  </si>
  <si>
    <t>Walk and Bike Travel Time Savings</t>
  </si>
  <si>
    <t>Value of Bike and Ped Time Savings</t>
  </si>
  <si>
    <t>bike</t>
  </si>
  <si>
    <t>walk</t>
  </si>
  <si>
    <t xml:space="preserve">Annual time savings (hours) - walk </t>
  </si>
  <si>
    <t>Annual time savings (hours) -bike</t>
  </si>
  <si>
    <t>total</t>
  </si>
  <si>
    <t>Travel Delay Savings - vehicles</t>
  </si>
  <si>
    <t>Travel Reliability Benefits - vehicles</t>
  </si>
  <si>
    <t>Travel Time Savings - bike and ped</t>
  </si>
  <si>
    <t>estimated daily two-way trips</t>
  </si>
  <si>
    <t>Past motor vehicle (non-train related crashes - 50% rear end collisions)</t>
  </si>
  <si>
    <t>Travel  Delay Savings - vehicles</t>
  </si>
  <si>
    <t>Annual park visitors/passes</t>
  </si>
  <si>
    <t>Daily park visitors/passes</t>
  </si>
  <si>
    <t xml:space="preserve">Emergency Vehicle Response </t>
  </si>
  <si>
    <t>Average Delay Time per Vehicle (minutes)</t>
  </si>
  <si>
    <t>Economic Cost Based on Survival Rate</t>
  </si>
  <si>
    <t>Change in Survival Probability per Delayed Trip</t>
  </si>
  <si>
    <t>Percent of Emergency Vehicles in Life Critical Situation</t>
  </si>
  <si>
    <r>
      <t>Emissions Benefits (CO</t>
    </r>
    <r>
      <rPr>
        <vertAlign val="subscript"/>
        <sz val="11"/>
        <color theme="1"/>
        <rFont val="Calibri"/>
        <family val="2"/>
        <scheme val="minor"/>
      </rPr>
      <t>2</t>
    </r>
    <r>
      <rPr>
        <sz val="11"/>
        <color theme="1"/>
        <rFont val="Calibri"/>
        <family val="2"/>
        <scheme val="minor"/>
      </rPr>
      <t>)</t>
    </r>
  </si>
  <si>
    <t>https://files.hudexchange.info/course-content/ndrc-nofa-benefit-cost-analysis-data-resources-and-expert-tips-webinar/FEMA-BCAR-Resource.pdf</t>
  </si>
  <si>
    <t>Survival Probability without detour</t>
  </si>
  <si>
    <t>Survival Probability with detour</t>
  </si>
  <si>
    <t>Emergency Response Benefits</t>
  </si>
  <si>
    <t>Moore population</t>
  </si>
  <si>
    <t>Estimated residential households</t>
  </si>
  <si>
    <t>Estimated households exposed to train noise</t>
  </si>
  <si>
    <t xml:space="preserve">Noise Reduction Benefits </t>
  </si>
  <si>
    <t>dB level - exposed households</t>
  </si>
  <si>
    <t>db baseline ambient level</t>
  </si>
  <si>
    <t>dB above non-intrusive level</t>
  </si>
  <si>
    <t>estimated average annual GDP deflator change 2019-2021</t>
  </si>
  <si>
    <t>https://citeseerx.ist.psu.edu/viewdoc/download?doi=10.1.1.1090.8905&amp;rep=rep1&amp;type=pdf</t>
  </si>
  <si>
    <t>estimate based on William K. Bellinger, "The economic valuation of train horn noise: A US case study", Transportation Research Part D 11 (2006) 310–314</t>
  </si>
  <si>
    <t>Noise Reduction Benefits</t>
  </si>
  <si>
    <t>Noise Reduction (one time capitalization effect)</t>
  </si>
  <si>
    <t>% reduction in survival probability from detour</t>
  </si>
  <si>
    <t>property value impact for noise levels significantly above 50 dB</t>
  </si>
  <si>
    <t>Emergency Response</t>
  </si>
  <si>
    <t xml:space="preserve">2020 $s </t>
  </si>
  <si>
    <t>Undiscounted  2020 $s</t>
  </si>
  <si>
    <t>Construction (adjusted to 2020 dollars)</t>
  </si>
  <si>
    <t>Prior Construction Spending</t>
  </si>
  <si>
    <t>Discounted Summary Results ($2020)</t>
  </si>
  <si>
    <t>Prior Year Build Capital Costs</t>
  </si>
  <si>
    <t xml:space="preserve">Future Year Build Capital Costs </t>
  </si>
  <si>
    <t>Discount Factor for Carbon Emissions (3% Disc.)</t>
  </si>
  <si>
    <t>`</t>
  </si>
  <si>
    <t>Reference Table - Engineers Revised Cost Estimate</t>
  </si>
  <si>
    <t>Bond Funds</t>
  </si>
  <si>
    <t>State Funds</t>
  </si>
  <si>
    <t>Federal Funds</t>
  </si>
  <si>
    <t>RAISE Funds</t>
  </si>
  <si>
    <t>Total Project Costs</t>
  </si>
  <si>
    <t>Incurred</t>
  </si>
  <si>
    <t>Future</t>
  </si>
  <si>
    <t xml:space="preserve">Incurred </t>
  </si>
  <si>
    <t> Future</t>
  </si>
  <si>
    <t>Environmental &amp; Engineering</t>
  </si>
  <si>
    <t>ROW &amp; Utilities</t>
  </si>
  <si>
    <t> $20.00</t>
  </si>
  <si>
    <t>Total:</t>
  </si>
  <si>
    <t> $5.00</t>
  </si>
  <si>
    <t>$ -</t>
  </si>
  <si>
    <t xml:space="preserve"> $28.12 </t>
  </si>
  <si>
    <t>Total one time 2025 benefit of eliminating at grade train noise</t>
  </si>
  <si>
    <t>USDOT 2022 BCA Guidance</t>
  </si>
  <si>
    <t>Hourly Value of Time ($2020)</t>
  </si>
  <si>
    <t>(Salvage Value)</t>
  </si>
  <si>
    <t>Cost Avoided (Undiscounted $2020)</t>
  </si>
  <si>
    <t>Travel Time - Delay Benefits</t>
  </si>
  <si>
    <t>Emergency trips x % life threatening x change in survival probability</t>
  </si>
  <si>
    <t>Emergency Vehicle Trips Delayed per Year</t>
  </si>
  <si>
    <t>Projected vehicle-on-vehicle crash reductions by year (50% rear end collisions)</t>
  </si>
  <si>
    <t>Projected train related accidents</t>
  </si>
  <si>
    <t>Serious injury</t>
  </si>
  <si>
    <t>Value of crash reductions by year (undiscounted, 2020 $s)</t>
  </si>
  <si>
    <t>Value of Accidents KABCO Values ($2020)</t>
  </si>
  <si>
    <t>**for 2020 BCAs we continue to use the 2019 price (net of average fuel taxes for the US) since 2020 prices were signficantly below trend due to the COVID recession.</t>
  </si>
  <si>
    <t>Cost Avoided (Undiscounted $2020)**</t>
  </si>
  <si>
    <t>Past train related accidents (involving passing trains)</t>
  </si>
  <si>
    <t>**The previously incurred financial issuance costs have not been included in the BCA as they do not represent resource costs such as for ROW, utility relocation and environmental and engineering services.  They are instead financial costs.</t>
  </si>
  <si>
    <t>Financial Issuance &amp; Other Non-Resource Costs **</t>
  </si>
  <si>
    <t>Projected pedestrian/cyclist accidents</t>
  </si>
  <si>
    <t xml:space="preserve">Past pedestrian/cyclist at crossing </t>
  </si>
  <si>
    <t>construction period</t>
  </si>
  <si>
    <t>previously incurred</t>
  </si>
  <si>
    <t>Year of Construction/Operation</t>
  </si>
  <si>
    <t>Crash Reduction Benefits (vehicle on vehicle, train related, ped/bike)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</si>
</sst>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5" formatCode="&quot;$&quot;#,##0_);\(&quot;$&quot;#,##0\)"/>
    <numFmt numFmtId="8" formatCode="&quot;$&quot;#,##0.00_);[Red]\(&quot;$&quot;#,##0.00\)"/>
    <numFmt numFmtId="44" formatCode="_(&quot;$&quot;* #,##0.00_);_(&quot;$&quot;* \(#,##0.00\);_(&quot;$&quot;* &quot;-&quot;??_);_(@_)"/>
    <numFmt numFmtId="43" formatCode="_(* #,##0.00_);_(* \(#,##0.00\);_(* &quot;-&quot;??_);_(@_)"/>
    <numFmt numFmtId="164" formatCode="#,##0.0000_);\(#,##0.0000\);&quot;-  &quot;;&quot; &quot;@"/>
    <numFmt numFmtId="165" formatCode="#,##0.00_);\(#,##0.00\);&quot;-  &quot;;&quot; &quot;@"/>
    <numFmt numFmtId="166" formatCode="0.000"/>
    <numFmt numFmtId="167" formatCode="0.0"/>
    <numFmt numFmtId="168" formatCode="_(* #,##0_);_(* \(#,##0\);_(* &quot;-&quot;??_);_(@_)"/>
    <numFmt numFmtId="169" formatCode="0.0%"/>
    <numFmt numFmtId="170" formatCode="&quot;$&quot;#,##0.0"/>
    <numFmt numFmtId="171" formatCode="&quot;$&quot;#,##0"/>
    <numFmt numFmtId="172" formatCode="#,##0.0000_);\(#,##0.0000\)"/>
    <numFmt numFmtId="173" formatCode="0.0000"/>
    <numFmt numFmtId="174" formatCode="0.000000"/>
    <numFmt numFmtId="175" formatCode="0.000%"/>
    <numFmt numFmtId="176" formatCode="0.0000000"/>
    <numFmt numFmtId="177" formatCode="_(* #,##0.0_);_(* \(#,##0.0\);_(* &quot;-&quot;??_);_(@_)"/>
    <numFmt numFmtId="178" formatCode="_(&quot;$&quot;* #,##0_);_(&quot;$&quot;* \(#,##0\);_(&quot;$&quot;* &quot;-&quot;??_);_(@_)"/>
    <numFmt numFmtId="179" formatCode="0.00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u/>
      <sz val="10"/>
      <color theme="1"/>
      <name val="Calibri"/>
      <family val="2"/>
      <scheme val="minor"/>
    </font>
    <font>
      <b/>
      <u/>
      <sz val="11"/>
      <color theme="1"/>
      <name val="Calibri"/>
      <family val="2"/>
      <scheme val="minor"/>
    </font>
    <font>
      <u/>
      <sz val="11"/>
      <color theme="10"/>
      <name val="Calibri"/>
      <family val="2"/>
      <scheme val="minor"/>
    </font>
    <font>
      <sz val="10"/>
      <name val="Arial"/>
      <family val="2"/>
    </font>
    <font>
      <vertAlign val="subscript"/>
      <sz val="11"/>
      <color theme="1"/>
      <name val="Calibri"/>
      <family val="2"/>
      <scheme val="minor"/>
    </font>
    <font>
      <u/>
      <sz val="10"/>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i/>
      <sz val="11"/>
      <color rgb="FF212121"/>
      <name val="Calibri"/>
      <family val="2"/>
      <scheme val="minor"/>
    </font>
    <font>
      <sz val="8"/>
      <name val="Calibri"/>
      <family val="2"/>
      <scheme val="minor"/>
    </font>
    <font>
      <sz val="11"/>
      <color indexed="8"/>
      <name val="Calibri"/>
      <family val="2"/>
      <scheme val="minor"/>
    </font>
    <font>
      <b/>
      <sz val="10"/>
      <color theme="1"/>
      <name val="Calibri"/>
      <family val="2"/>
      <scheme val="minor"/>
    </font>
    <font>
      <u/>
      <sz val="10"/>
      <color theme="10"/>
      <name val="Calibri"/>
      <family val="2"/>
      <scheme val="minor"/>
    </font>
    <font>
      <b/>
      <vertAlign val="subscript"/>
      <sz val="11"/>
      <color theme="1"/>
      <name val="Calibri"/>
      <family val="2"/>
      <scheme val="minor"/>
    </font>
    <font>
      <b/>
      <sz val="10"/>
      <color rgb="FFFF0000"/>
      <name val="Calibri"/>
      <family val="2"/>
      <scheme val="minor"/>
    </font>
    <font>
      <sz val="10"/>
      <color rgb="FFFF0000"/>
      <name val="Calibri"/>
      <family val="2"/>
      <scheme val="minor"/>
    </font>
    <font>
      <b/>
      <sz val="11"/>
      <color rgb="FF000000"/>
      <name val="Calibri"/>
      <family val="2"/>
    </font>
    <font>
      <sz val="11"/>
      <color rgb="FF000000"/>
      <name val="Calibri"/>
      <family val="2"/>
    </font>
    <font>
      <b/>
      <u/>
      <sz val="11"/>
      <color rgb="FF00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2F2F2"/>
        <bgColor indexed="64"/>
      </patternFill>
    </fill>
    <fill>
      <patternFill patternType="solid">
        <fgColor rgb="FFFBE4D5"/>
        <bgColor indexed="64"/>
      </patternFill>
    </fill>
  </fills>
  <borders count="18">
    <border>
      <left/>
      <right/>
      <top/>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ck">
        <color rgb="FFED7D31"/>
      </bottom>
      <diagonal/>
    </border>
    <border>
      <left/>
      <right/>
      <top/>
      <bottom style="medium">
        <color rgb="FF8496B0"/>
      </bottom>
      <diagonal/>
    </border>
  </borders>
  <cellStyleXfs count="7">
    <xf numFmtId="0" fontId="0" fillId="0" borderId="0"/>
    <xf numFmtId="43" fontId="1" fillId="0" borderId="0" applyFont="0" applyFill="0" applyBorder="0" applyAlignment="0" applyProtection="0"/>
    <xf numFmtId="0" fontId="6" fillId="0" borderId="0" applyNumberFormat="0" applyFill="0" applyBorder="0" applyAlignment="0" applyProtection="0"/>
    <xf numFmtId="164" fontId="7"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267">
    <xf numFmtId="0" fontId="0" fillId="0" borderId="0" xfId="0"/>
    <xf numFmtId="0" fontId="2" fillId="0" borderId="0" xfId="0" applyFont="1"/>
    <xf numFmtId="0" fontId="0" fillId="0" borderId="0" xfId="0" applyAlignment="1">
      <alignment horizontal="right"/>
    </xf>
    <xf numFmtId="2" fontId="0" fillId="0" borderId="0" xfId="0" applyNumberFormat="1"/>
    <xf numFmtId="0" fontId="6" fillId="0" borderId="0" xfId="2"/>
    <xf numFmtId="0" fontId="5" fillId="0" borderId="0" xfId="0" applyFont="1"/>
    <xf numFmtId="166" fontId="0" fillId="0" borderId="0" xfId="0" applyNumberFormat="1"/>
    <xf numFmtId="0" fontId="10" fillId="0" borderId="0" xfId="0" applyFont="1"/>
    <xf numFmtId="44" fontId="0" fillId="0" borderId="0" xfId="4" applyFont="1"/>
    <xf numFmtId="44" fontId="0" fillId="0" borderId="0" xfId="0" applyNumberFormat="1"/>
    <xf numFmtId="0" fontId="0" fillId="0" borderId="0" xfId="0" applyFill="1"/>
    <xf numFmtId="2" fontId="0" fillId="0" borderId="0" xfId="0" applyNumberFormat="1" applyFill="1"/>
    <xf numFmtId="2" fontId="3" fillId="0" borderId="0" xfId="0" applyNumberFormat="1" applyFont="1" applyFill="1" applyAlignment="1">
      <alignment horizontal="right"/>
    </xf>
    <xf numFmtId="0" fontId="3" fillId="0" borderId="0" xfId="0" applyFont="1" applyFill="1" applyAlignment="1">
      <alignment horizontal="right"/>
    </xf>
    <xf numFmtId="0" fontId="2" fillId="0" borderId="0" xfId="0" applyFont="1" applyAlignment="1">
      <alignment horizontal="left"/>
    </xf>
    <xf numFmtId="168" fontId="0" fillId="0" borderId="0" xfId="1" applyNumberFormat="1" applyFont="1"/>
    <xf numFmtId="0" fontId="2" fillId="0" borderId="0" xfId="0" applyFont="1" applyAlignment="1">
      <alignment horizontal="right"/>
    </xf>
    <xf numFmtId="168" fontId="2" fillId="0" borderId="0" xfId="0" applyNumberFormat="1" applyFont="1"/>
    <xf numFmtId="168" fontId="0" fillId="0" borderId="0" xfId="0" applyNumberFormat="1"/>
    <xf numFmtId="0" fontId="12" fillId="0" borderId="0" xfId="0" applyFont="1" applyBorder="1" applyAlignment="1">
      <alignment horizontal="right" vertical="center"/>
    </xf>
    <xf numFmtId="0" fontId="0" fillId="0" borderId="0" xfId="0" applyFill="1" applyBorder="1" applyAlignment="1">
      <alignment horizontal="right"/>
    </xf>
    <xf numFmtId="0" fontId="12" fillId="0" borderId="0" xfId="0" applyFont="1" applyFill="1" applyBorder="1" applyAlignment="1">
      <alignment horizontal="right" vertical="center"/>
    </xf>
    <xf numFmtId="0" fontId="4" fillId="0" borderId="0" xfId="0" applyFont="1" applyFill="1" applyAlignment="1">
      <alignment horizontal="right"/>
    </xf>
    <xf numFmtId="44" fontId="0" fillId="0" borderId="0" xfId="4" applyFont="1" applyFill="1"/>
    <xf numFmtId="44" fontId="0" fillId="0" borderId="0" xfId="0" applyNumberFormat="1" applyFill="1"/>
    <xf numFmtId="0" fontId="9" fillId="0" borderId="0" xfId="0" applyFont="1" applyFill="1" applyAlignment="1">
      <alignment horizontal="right"/>
    </xf>
    <xf numFmtId="166" fontId="0" fillId="0" borderId="0" xfId="0" applyNumberFormat="1" applyFill="1"/>
    <xf numFmtId="44" fontId="0" fillId="0" borderId="0" xfId="4" applyFont="1" applyFill="1" applyBorder="1"/>
    <xf numFmtId="168" fontId="0" fillId="0" borderId="0" xfId="1" applyNumberFormat="1" applyFont="1" applyFill="1"/>
    <xf numFmtId="0" fontId="0" fillId="0" borderId="0" xfId="0" applyBorder="1"/>
    <xf numFmtId="0" fontId="0" fillId="0" borderId="0" xfId="0" applyBorder="1" applyAlignment="1">
      <alignment horizontal="right"/>
    </xf>
    <xf numFmtId="168" fontId="0" fillId="0" borderId="0" xfId="1" applyNumberFormat="1" applyFont="1" applyBorder="1"/>
    <xf numFmtId="0" fontId="5" fillId="0" borderId="0" xfId="0" applyFont="1" applyAlignment="1">
      <alignment horizontal="left" vertical="top"/>
    </xf>
    <xf numFmtId="167" fontId="0" fillId="0" borderId="0" xfId="0" applyNumberFormat="1"/>
    <xf numFmtId="0" fontId="10" fillId="0" borderId="0" xfId="0" applyFont="1" applyBorder="1"/>
    <xf numFmtId="0" fontId="0" fillId="0" borderId="0" xfId="0" applyFont="1" applyBorder="1"/>
    <xf numFmtId="165" fontId="0" fillId="0" borderId="0" xfId="3" applyNumberFormat="1" applyFont="1" applyBorder="1"/>
    <xf numFmtId="44" fontId="0" fillId="0" borderId="0" xfId="0" applyNumberFormat="1" applyBorder="1"/>
    <xf numFmtId="0" fontId="0" fillId="0" borderId="0" xfId="0" quotePrefix="1" applyBorder="1"/>
    <xf numFmtId="0" fontId="0" fillId="0" borderId="0" xfId="0" applyFill="1" applyBorder="1"/>
    <xf numFmtId="0" fontId="5" fillId="0" borderId="0" xfId="0" applyFont="1" applyFill="1" applyBorder="1"/>
    <xf numFmtId="0" fontId="0" fillId="0" borderId="0" xfId="0" applyFill="1" applyBorder="1" applyAlignment="1">
      <alignment horizontal="left" vertical="top"/>
    </xf>
    <xf numFmtId="1" fontId="0" fillId="0" borderId="0" xfId="0" applyNumberFormat="1" applyFill="1" applyBorder="1"/>
    <xf numFmtId="1" fontId="0" fillId="0" borderId="0" xfId="0" applyNumberFormat="1"/>
    <xf numFmtId="167" fontId="0" fillId="0" borderId="0" xfId="0" applyNumberFormat="1" applyFill="1" applyBorder="1"/>
    <xf numFmtId="0" fontId="0" fillId="0" borderId="0" xfId="0" applyFill="1" applyBorder="1" applyAlignment="1">
      <alignment horizontal="left"/>
    </xf>
    <xf numFmtId="0" fontId="0" fillId="0" borderId="0" xfId="0" applyFont="1" applyFill="1" applyBorder="1"/>
    <xf numFmtId="2" fontId="0" fillId="0" borderId="0" xfId="0" applyNumberFormat="1" applyFont="1" applyFill="1" applyBorder="1" applyAlignment="1">
      <alignment horizontal="right"/>
    </xf>
    <xf numFmtId="44" fontId="1" fillId="0" borderId="0" xfId="4" applyNumberFormat="1" applyFont="1" applyFill="1" applyBorder="1" applyAlignment="1">
      <alignment horizontal="right"/>
    </xf>
    <xf numFmtId="170" fontId="0" fillId="0" borderId="0" xfId="0" applyNumberFormat="1" applyFont="1" applyFill="1" applyBorder="1" applyAlignment="1">
      <alignment horizontal="right"/>
    </xf>
    <xf numFmtId="169" fontId="0" fillId="0" borderId="0" xfId="0" applyNumberFormat="1" applyFill="1" applyBorder="1"/>
    <xf numFmtId="170" fontId="0" fillId="0" borderId="0" xfId="4" applyNumberFormat="1" applyFont="1" applyFill="1" applyBorder="1"/>
    <xf numFmtId="170" fontId="0" fillId="0" borderId="0" xfId="0" applyNumberFormat="1" applyFill="1" applyBorder="1"/>
    <xf numFmtId="0" fontId="12" fillId="0" borderId="1" xfId="0" applyFont="1" applyBorder="1" applyAlignment="1">
      <alignment horizontal="left" vertical="top"/>
    </xf>
    <xf numFmtId="0" fontId="11" fillId="0" borderId="0" xfId="0" applyFont="1" applyFill="1" applyBorder="1" applyAlignment="1">
      <alignment horizontal="left" vertical="top"/>
    </xf>
    <xf numFmtId="0" fontId="12" fillId="0" borderId="0" xfId="0" applyFont="1" applyBorder="1" applyAlignment="1">
      <alignment horizontal="left" vertical="top"/>
    </xf>
    <xf numFmtId="5" fontId="0" fillId="0" borderId="0" xfId="0" applyNumberFormat="1" applyBorder="1"/>
    <xf numFmtId="0" fontId="0" fillId="0" borderId="0" xfId="0" applyFont="1"/>
    <xf numFmtId="0" fontId="6" fillId="0" borderId="0" xfId="2" applyFont="1" applyAlignment="1">
      <alignment vertical="center"/>
    </xf>
    <xf numFmtId="0" fontId="6" fillId="0" borderId="0" xfId="2" applyFont="1"/>
    <xf numFmtId="0" fontId="13" fillId="0" borderId="0" xfId="0" applyFont="1" applyAlignment="1">
      <alignment vertical="center"/>
    </xf>
    <xf numFmtId="0" fontId="12" fillId="0" borderId="0" xfId="0" applyFont="1" applyBorder="1" applyAlignment="1">
      <alignment vertical="center"/>
    </xf>
    <xf numFmtId="173" fontId="2" fillId="0" borderId="0" xfId="1" applyNumberFormat="1" applyFont="1" applyFill="1"/>
    <xf numFmtId="173" fontId="0" fillId="0" borderId="0" xfId="1" applyNumberFormat="1" applyFont="1" applyFill="1"/>
    <xf numFmtId="172" fontId="1" fillId="0" borderId="0" xfId="1" applyNumberFormat="1" applyFont="1" applyFill="1"/>
    <xf numFmtId="5" fontId="1" fillId="0" borderId="0" xfId="1" applyNumberFormat="1" applyFont="1" applyFill="1"/>
    <xf numFmtId="5" fontId="2" fillId="0" borderId="0" xfId="1" applyNumberFormat="1" applyFont="1" applyFill="1"/>
    <xf numFmtId="0" fontId="0" fillId="0" borderId="0" xfId="0"/>
    <xf numFmtId="2" fontId="0" fillId="0" borderId="0" xfId="0" applyNumberFormat="1"/>
    <xf numFmtId="0" fontId="2" fillId="0" borderId="0" xfId="0" applyFont="1"/>
    <xf numFmtId="0" fontId="0" fillId="0" borderId="0" xfId="0" applyFill="1" applyBorder="1"/>
    <xf numFmtId="44" fontId="0" fillId="0" borderId="0" xfId="4" applyFont="1"/>
    <xf numFmtId="0" fontId="0" fillId="0" borderId="0" xfId="0" applyAlignment="1">
      <alignment vertical="top"/>
    </xf>
    <xf numFmtId="0" fontId="5" fillId="0" borderId="0" xfId="0" applyFont="1" applyAlignment="1"/>
    <xf numFmtId="0" fontId="10" fillId="0" borderId="0" xfId="0" applyFont="1" applyAlignment="1">
      <alignment vertical="top"/>
    </xf>
    <xf numFmtId="0" fontId="0" fillId="0" borderId="0" xfId="0" applyAlignment="1">
      <alignment wrapText="1"/>
    </xf>
    <xf numFmtId="0" fontId="2" fillId="0" borderId="0" xfId="0" applyFont="1" applyAlignment="1">
      <alignment wrapText="1"/>
    </xf>
    <xf numFmtId="0" fontId="2" fillId="0" borderId="0" xfId="0" applyFont="1" applyBorder="1" applyAlignment="1">
      <alignment wrapText="1"/>
    </xf>
    <xf numFmtId="0" fontId="0" fillId="0" borderId="0" xfId="0" applyBorder="1" applyAlignment="1">
      <alignment wrapText="1"/>
    </xf>
    <xf numFmtId="166" fontId="0" fillId="0" borderId="0" xfId="0" applyNumberFormat="1" applyFill="1" applyBorder="1"/>
    <xf numFmtId="173" fontId="0" fillId="0" borderId="0" xfId="0" applyNumberFormat="1" applyFill="1" applyBorder="1"/>
    <xf numFmtId="174" fontId="0" fillId="0" borderId="0" xfId="0" applyNumberFormat="1"/>
    <xf numFmtId="174" fontId="0" fillId="0" borderId="0" xfId="0" applyNumberFormat="1" applyFill="1" applyBorder="1"/>
    <xf numFmtId="0" fontId="0" fillId="3" borderId="0" xfId="0" applyFill="1" applyBorder="1"/>
    <xf numFmtId="0" fontId="0" fillId="3" borderId="0" xfId="0" applyFill="1" applyBorder="1" applyAlignment="1">
      <alignment horizontal="right"/>
    </xf>
    <xf numFmtId="0" fontId="0" fillId="0" borderId="0" xfId="0" applyFont="1" applyFill="1" applyAlignment="1">
      <alignment horizontal="right" vertical="top"/>
    </xf>
    <xf numFmtId="0" fontId="0" fillId="0" borderId="0" xfId="0" applyFill="1" applyBorder="1" applyAlignment="1">
      <alignment horizontal="right" vertical="top"/>
    </xf>
    <xf numFmtId="0" fontId="0" fillId="0" borderId="0" xfId="0" applyAlignment="1"/>
    <xf numFmtId="2" fontId="0" fillId="0" borderId="0" xfId="0" applyNumberFormat="1" applyAlignment="1"/>
    <xf numFmtId="0" fontId="5" fillId="0" borderId="0" xfId="0" applyFont="1" applyFill="1" applyBorder="1" applyAlignment="1">
      <alignment horizontal="left" vertical="top"/>
    </xf>
    <xf numFmtId="0" fontId="5" fillId="4" borderId="0" xfId="0" applyFont="1" applyFill="1" applyAlignment="1">
      <alignment horizontal="left" vertical="top"/>
    </xf>
    <xf numFmtId="0" fontId="5" fillId="4" borderId="0" xfId="0" applyFont="1" applyFill="1" applyAlignment="1">
      <alignment horizontal="left" wrapText="1"/>
    </xf>
    <xf numFmtId="0" fontId="0" fillId="4" borderId="0" xfId="0" applyFont="1" applyFill="1" applyAlignment="1">
      <alignment horizontal="right"/>
    </xf>
    <xf numFmtId="0" fontId="0" fillId="4" borderId="0" xfId="0" applyFill="1" applyAlignment="1"/>
    <xf numFmtId="0" fontId="2" fillId="4" borderId="0" xfId="0" applyFont="1" applyFill="1" applyAlignment="1"/>
    <xf numFmtId="174" fontId="0" fillId="3" borderId="0" xfId="0" applyNumberFormat="1" applyFill="1"/>
    <xf numFmtId="174" fontId="0" fillId="3" borderId="0" xfId="0" applyNumberFormat="1" applyFill="1" applyBorder="1"/>
    <xf numFmtId="174" fontId="0" fillId="0" borderId="0" xfId="0" applyNumberFormat="1" applyFill="1"/>
    <xf numFmtId="0" fontId="5" fillId="4" borderId="0" xfId="0" applyFont="1" applyFill="1" applyAlignment="1">
      <alignment horizontal="left"/>
    </xf>
    <xf numFmtId="0" fontId="2" fillId="0" borderId="0" xfId="0" applyFont="1" applyFill="1"/>
    <xf numFmtId="173" fontId="1" fillId="0" borderId="0" xfId="1" applyNumberFormat="1" applyFont="1" applyFill="1"/>
    <xf numFmtId="0" fontId="0" fillId="4" borderId="0" xfId="0" applyFont="1" applyFill="1" applyAlignment="1"/>
    <xf numFmtId="0" fontId="0" fillId="0" borderId="0" xfId="0" applyFont="1" applyFill="1"/>
    <xf numFmtId="175" fontId="0" fillId="0" borderId="0" xfId="5" applyNumberFormat="1" applyFont="1" applyFill="1" applyBorder="1"/>
    <xf numFmtId="176" fontId="0" fillId="0" borderId="0" xfId="0" applyNumberFormat="1" applyBorder="1"/>
    <xf numFmtId="176" fontId="0" fillId="0" borderId="0" xfId="3" applyNumberFormat="1" applyFont="1" applyBorder="1"/>
    <xf numFmtId="178" fontId="0" fillId="0" borderId="0" xfId="4" applyNumberFormat="1" applyFont="1"/>
    <xf numFmtId="178" fontId="15" fillId="0" borderId="0" xfId="4" applyNumberFormat="1" applyFont="1" applyBorder="1" applyAlignment="1">
      <alignment horizontal="center" vertical="center"/>
    </xf>
    <xf numFmtId="171" fontId="15" fillId="0" borderId="0" xfId="6" applyNumberFormat="1" applyAlignment="1">
      <alignment horizontal="center" vertical="center"/>
    </xf>
    <xf numFmtId="168" fontId="0" fillId="0" borderId="0" xfId="0" applyNumberFormat="1" applyFont="1"/>
    <xf numFmtId="166" fontId="12" fillId="0" borderId="0" xfId="0" applyNumberFormat="1" applyFont="1" applyBorder="1" applyAlignment="1">
      <alignment horizontal="right" vertical="center"/>
    </xf>
    <xf numFmtId="166" fontId="0" fillId="0" borderId="0" xfId="1" applyNumberFormat="1" applyFont="1"/>
    <xf numFmtId="5" fontId="0" fillId="0" borderId="0" xfId="0" applyNumberFormat="1"/>
    <xf numFmtId="0" fontId="0" fillId="0" borderId="0" xfId="0" applyFont="1" applyAlignment="1">
      <alignment horizontal="right"/>
    </xf>
    <xf numFmtId="171" fontId="1" fillId="0" borderId="0" xfId="4" applyNumberFormat="1" applyFont="1" applyFill="1" applyBorder="1" applyAlignment="1">
      <alignment horizontal="right"/>
    </xf>
    <xf numFmtId="171" fontId="2" fillId="0" borderId="0" xfId="4" applyNumberFormat="1" applyFont="1" applyFill="1" applyBorder="1" applyAlignment="1">
      <alignment horizontal="right"/>
    </xf>
    <xf numFmtId="171" fontId="0" fillId="0" borderId="0" xfId="0" applyNumberFormat="1" applyFill="1" applyBorder="1" applyAlignment="1">
      <alignment horizontal="right"/>
    </xf>
    <xf numFmtId="171" fontId="0" fillId="0" borderId="0" xfId="0" applyNumberFormat="1" applyFont="1" applyFill="1" applyBorder="1" applyAlignment="1">
      <alignment horizontal="right"/>
    </xf>
    <xf numFmtId="0" fontId="0" fillId="0" borderId="0" xfId="0" applyFill="1" applyAlignment="1">
      <alignment horizontal="center" wrapText="1"/>
    </xf>
    <xf numFmtId="0" fontId="0" fillId="3" borderId="0" xfId="0" applyFill="1" applyAlignment="1">
      <alignment horizontal="center" wrapText="1"/>
    </xf>
    <xf numFmtId="2" fontId="3" fillId="0" borderId="0" xfId="0" applyNumberFormat="1" applyFont="1" applyFill="1" applyAlignment="1">
      <alignment horizontal="right" wrapText="1"/>
    </xf>
    <xf numFmtId="0" fontId="16" fillId="0" borderId="0" xfId="0" applyFont="1" applyFill="1" applyAlignment="1">
      <alignment horizontal="right"/>
    </xf>
    <xf numFmtId="0" fontId="3" fillId="0" borderId="0" xfId="0" applyFont="1" applyFill="1" applyBorder="1" applyAlignment="1">
      <alignment horizontal="right"/>
    </xf>
    <xf numFmtId="0" fontId="3" fillId="0" borderId="0" xfId="0" applyFont="1" applyFill="1"/>
    <xf numFmtId="166" fontId="3" fillId="0" borderId="0" xfId="0" applyNumberFormat="1" applyFont="1" applyFill="1"/>
    <xf numFmtId="44" fontId="3" fillId="0" borderId="0" xfId="4" applyFont="1" applyFill="1"/>
    <xf numFmtId="44" fontId="3" fillId="0" borderId="0" xfId="0" applyNumberFormat="1" applyFont="1" applyFill="1"/>
    <xf numFmtId="2" fontId="3" fillId="0" borderId="0" xfId="0" applyNumberFormat="1" applyFont="1" applyFill="1"/>
    <xf numFmtId="0" fontId="3" fillId="0" borderId="0" xfId="0" applyFont="1" applyFill="1" applyAlignment="1">
      <alignment horizontal="right" wrapText="1"/>
    </xf>
    <xf numFmtId="0" fontId="3" fillId="0" borderId="0" xfId="0" applyFont="1" applyFill="1" applyAlignment="1">
      <alignment wrapText="1"/>
    </xf>
    <xf numFmtId="44" fontId="3" fillId="0" borderId="0" xfId="0" applyNumberFormat="1" applyFont="1" applyFill="1" applyAlignment="1">
      <alignment wrapText="1"/>
    </xf>
    <xf numFmtId="166" fontId="3" fillId="0" borderId="0" xfId="4" applyNumberFormat="1" applyFont="1" applyFill="1"/>
    <xf numFmtId="0" fontId="3" fillId="0" borderId="0" xfId="0" applyFont="1"/>
    <xf numFmtId="166" fontId="3" fillId="0" borderId="0" xfId="0" applyNumberFormat="1" applyFont="1"/>
    <xf numFmtId="0" fontId="17" fillId="0" borderId="0" xfId="2" applyFont="1"/>
    <xf numFmtId="11" fontId="0" fillId="0" borderId="0" xfId="1" applyNumberFormat="1" applyFont="1" applyFill="1"/>
    <xf numFmtId="11" fontId="2" fillId="0" borderId="0" xfId="1" applyNumberFormat="1" applyFont="1" applyFill="1"/>
    <xf numFmtId="11" fontId="1" fillId="0" borderId="0" xfId="1" applyNumberFormat="1" applyFont="1" applyFill="1"/>
    <xf numFmtId="0" fontId="0" fillId="3" borderId="2" xfId="0" applyFill="1" applyBorder="1" applyAlignment="1">
      <alignment wrapText="1"/>
    </xf>
    <xf numFmtId="0" fontId="0" fillId="3" borderId="3" xfId="0" applyFill="1" applyBorder="1" applyAlignment="1">
      <alignment wrapText="1"/>
    </xf>
    <xf numFmtId="174" fontId="0" fillId="0" borderId="4" xfId="0" applyNumberFormat="1" applyFill="1" applyBorder="1"/>
    <xf numFmtId="175" fontId="0" fillId="5" borderId="5" xfId="5" applyNumberFormat="1" applyFont="1" applyFill="1" applyBorder="1"/>
    <xf numFmtId="167" fontId="0" fillId="5" borderId="5" xfId="0" applyNumberFormat="1" applyFill="1" applyBorder="1"/>
    <xf numFmtId="174" fontId="0" fillId="0" borderId="6" xfId="0" applyNumberFormat="1" applyFill="1" applyBorder="1"/>
    <xf numFmtId="175" fontId="0" fillId="5" borderId="7" xfId="5" applyNumberFormat="1" applyFont="1" applyFill="1" applyBorder="1"/>
    <xf numFmtId="0" fontId="3" fillId="0" borderId="0" xfId="0" applyFont="1" applyFill="1" applyBorder="1" applyAlignment="1">
      <alignment horizontal="right" wrapText="1"/>
    </xf>
    <xf numFmtId="0" fontId="4" fillId="0" borderId="0" xfId="0" applyFont="1" applyFill="1" applyAlignment="1">
      <alignment horizontal="right" wrapText="1"/>
    </xf>
    <xf numFmtId="173" fontId="3" fillId="0" borderId="0" xfId="5" applyNumberFormat="1" applyFont="1" applyFill="1" applyBorder="1" applyAlignment="1">
      <alignment horizontal="right"/>
    </xf>
    <xf numFmtId="178" fontId="15" fillId="0" borderId="0" xfId="4" applyNumberFormat="1" applyFont="1" applyFill="1" applyBorder="1" applyAlignment="1">
      <alignment horizontal="center" vertical="center"/>
    </xf>
    <xf numFmtId="178" fontId="0" fillId="0" borderId="0" xfId="4" applyNumberFormat="1" applyFont="1" applyFill="1"/>
    <xf numFmtId="171" fontId="15" fillId="0" borderId="0" xfId="6" applyNumberFormat="1" applyFill="1" applyAlignment="1">
      <alignment horizontal="center" vertical="center"/>
    </xf>
    <xf numFmtId="0" fontId="0" fillId="0" borderId="0" xfId="0" applyFill="1" applyBorder="1" applyAlignment="1">
      <alignment wrapText="1"/>
    </xf>
    <xf numFmtId="0" fontId="0" fillId="0" borderId="0" xfId="0" applyFill="1" applyBorder="1" applyAlignment="1"/>
    <xf numFmtId="0" fontId="0" fillId="3" borderId="0" xfId="0" applyFont="1" applyFill="1" applyBorder="1" applyAlignment="1">
      <alignment horizontal="left"/>
    </xf>
    <xf numFmtId="0" fontId="2" fillId="0" borderId="0" xfId="0" applyFont="1" applyFill="1" applyBorder="1"/>
    <xf numFmtId="0" fontId="2" fillId="0" borderId="0" xfId="0" applyFont="1" applyFill="1" applyBorder="1" applyAlignment="1">
      <alignment horizontal="left" vertical="top"/>
    </xf>
    <xf numFmtId="0" fontId="0" fillId="0" borderId="0" xfId="0" applyFill="1" applyBorder="1" applyAlignment="1">
      <alignment horizontal="left" wrapText="1"/>
    </xf>
    <xf numFmtId="0" fontId="19" fillId="0" borderId="0" xfId="0" applyFont="1" applyFill="1"/>
    <xf numFmtId="0" fontId="20" fillId="0" borderId="0" xfId="0" applyFont="1" applyFill="1"/>
    <xf numFmtId="167" fontId="3" fillId="0" borderId="0" xfId="0" applyNumberFormat="1" applyFont="1" applyFill="1"/>
    <xf numFmtId="167" fontId="3" fillId="0" borderId="0" xfId="0" applyNumberFormat="1" applyFont="1"/>
    <xf numFmtId="178" fontId="0" fillId="0" borderId="0" xfId="0" applyNumberFormat="1"/>
    <xf numFmtId="169" fontId="0" fillId="0" borderId="0" xfId="5" applyNumberFormat="1" applyFont="1"/>
    <xf numFmtId="0" fontId="5" fillId="0" borderId="0" xfId="0" applyFont="1" applyFill="1" applyAlignment="1">
      <alignment horizontal="left" vertical="top"/>
    </xf>
    <xf numFmtId="178" fontId="1" fillId="0" borderId="0" xfId="4" applyNumberFormat="1" applyFont="1" applyFill="1"/>
    <xf numFmtId="178" fontId="2" fillId="0" borderId="0" xfId="4" applyNumberFormat="1" applyFont="1" applyFill="1"/>
    <xf numFmtId="2" fontId="0" fillId="0" borderId="0" xfId="4" applyNumberFormat="1" applyFont="1" applyFill="1"/>
    <xf numFmtId="173" fontId="0" fillId="0" borderId="0" xfId="4" applyNumberFormat="1" applyFont="1" applyFill="1"/>
    <xf numFmtId="43" fontId="0" fillId="0" borderId="0" xfId="0" applyNumberFormat="1"/>
    <xf numFmtId="10" fontId="16" fillId="2" borderId="8" xfId="5" applyNumberFormat="1" applyFont="1" applyFill="1" applyBorder="1"/>
    <xf numFmtId="44" fontId="0" fillId="0" borderId="0" xfId="4" applyFont="1" applyBorder="1"/>
    <xf numFmtId="0" fontId="0" fillId="2" borderId="0" xfId="0" applyFill="1"/>
    <xf numFmtId="0" fontId="11" fillId="0" borderId="0" xfId="0" applyFont="1" applyFill="1" applyBorder="1" applyAlignment="1">
      <alignment horizontal="left" vertical="center"/>
    </xf>
    <xf numFmtId="0" fontId="11" fillId="0" borderId="0" xfId="0" applyFont="1" applyBorder="1" applyAlignment="1">
      <alignment horizontal="left" vertical="center" wrapText="1"/>
    </xf>
    <xf numFmtId="167" fontId="0" fillId="0" borderId="0" xfId="1" applyNumberFormat="1" applyFont="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1" fontId="0" fillId="0" borderId="14" xfId="0" applyNumberFormat="1" applyBorder="1"/>
    <xf numFmtId="0" fontId="0" fillId="0" borderId="10" xfId="0" applyBorder="1" applyAlignment="1">
      <alignment wrapText="1"/>
    </xf>
    <xf numFmtId="0" fontId="0" fillId="0" borderId="11" xfId="0" applyBorder="1" applyAlignment="1">
      <alignment wrapText="1"/>
    </xf>
    <xf numFmtId="0" fontId="0" fillId="0" borderId="1" xfId="0" applyBorder="1"/>
    <xf numFmtId="0" fontId="0" fillId="0" borderId="15" xfId="0" applyBorder="1"/>
    <xf numFmtId="0" fontId="0" fillId="0" borderId="14" xfId="0" applyBorder="1"/>
    <xf numFmtId="169" fontId="0" fillId="0" borderId="0" xfId="0" applyNumberFormat="1"/>
    <xf numFmtId="0" fontId="0" fillId="6" borderId="0" xfId="0" applyFill="1"/>
    <xf numFmtId="179" fontId="0" fillId="6" borderId="0" xfId="0" applyNumberFormat="1" applyFill="1"/>
    <xf numFmtId="179" fontId="0" fillId="0" borderId="0" xfId="0" applyNumberFormat="1"/>
    <xf numFmtId="178" fontId="2" fillId="0" borderId="0" xfId="0" applyNumberFormat="1" applyFont="1"/>
    <xf numFmtId="166" fontId="3" fillId="2" borderId="0" xfId="0" applyNumberFormat="1" applyFont="1" applyFill="1"/>
    <xf numFmtId="0" fontId="0" fillId="4" borderId="0" xfId="0" applyFill="1" applyAlignment="1">
      <alignment horizontal="center" wrapText="1"/>
    </xf>
    <xf numFmtId="0" fontId="10" fillId="0" borderId="0" xfId="0" applyFont="1" applyFill="1" applyAlignment="1">
      <alignment vertical="top"/>
    </xf>
    <xf numFmtId="0" fontId="21" fillId="0" borderId="16" xfId="0" applyFont="1" applyBorder="1" applyAlignment="1">
      <alignment vertical="center"/>
    </xf>
    <xf numFmtId="0" fontId="21" fillId="0" borderId="16" xfId="0" applyFont="1" applyBorder="1" applyAlignment="1">
      <alignment horizontal="center" vertical="center"/>
    </xf>
    <xf numFmtId="0" fontId="21" fillId="0" borderId="16" xfId="0" applyFont="1" applyBorder="1" applyAlignment="1">
      <alignment horizontal="center" vertical="center" wrapText="1"/>
    </xf>
    <xf numFmtId="0" fontId="22" fillId="0" borderId="17" xfId="0" applyFont="1" applyBorder="1" applyAlignment="1">
      <alignment vertical="center"/>
    </xf>
    <xf numFmtId="0" fontId="22" fillId="7" borderId="17" xfId="0" applyFont="1" applyFill="1" applyBorder="1" applyAlignment="1">
      <alignment horizontal="center" vertical="center"/>
    </xf>
    <xf numFmtId="0" fontId="22" fillId="0" borderId="17" xfId="0" applyFont="1" applyBorder="1" applyAlignment="1">
      <alignment horizontal="center" vertical="center"/>
    </xf>
    <xf numFmtId="0" fontId="22" fillId="8" borderId="17" xfId="0" applyFont="1" applyFill="1" applyBorder="1" applyAlignment="1">
      <alignment horizontal="right" vertical="center"/>
    </xf>
    <xf numFmtId="0" fontId="22" fillId="0" borderId="17" xfId="0" applyFont="1" applyBorder="1" applyAlignment="1">
      <alignment horizontal="right" vertical="center"/>
    </xf>
    <xf numFmtId="0" fontId="22" fillId="0" borderId="17" xfId="0" applyFont="1" applyBorder="1" applyAlignment="1">
      <alignment vertical="center" wrapText="1"/>
    </xf>
    <xf numFmtId="8" fontId="22" fillId="7" borderId="17" xfId="0" applyNumberFormat="1" applyFont="1" applyFill="1" applyBorder="1" applyAlignment="1">
      <alignment horizontal="right" vertical="center"/>
    </xf>
    <xf numFmtId="0" fontId="22" fillId="7" borderId="17" xfId="0" applyFont="1" applyFill="1" applyBorder="1" applyAlignment="1">
      <alignment horizontal="right" vertical="center"/>
    </xf>
    <xf numFmtId="8" fontId="22" fillId="0" borderId="17" xfId="0" applyNumberFormat="1" applyFont="1" applyBorder="1" applyAlignment="1">
      <alignment horizontal="right" vertical="center"/>
    </xf>
    <xf numFmtId="8" fontId="22" fillId="8" borderId="17" xfId="0" applyNumberFormat="1" applyFont="1" applyFill="1" applyBorder="1" applyAlignment="1">
      <alignment horizontal="right" vertical="center"/>
    </xf>
    <xf numFmtId="0" fontId="22" fillId="0" borderId="0" xfId="0" applyFont="1" applyAlignment="1">
      <alignment vertical="center"/>
    </xf>
    <xf numFmtId="8" fontId="22" fillId="7" borderId="0" xfId="0" applyNumberFormat="1" applyFont="1" applyFill="1" applyAlignment="1">
      <alignment horizontal="right" vertical="center"/>
    </xf>
    <xf numFmtId="0" fontId="22" fillId="0" borderId="0" xfId="0" applyFont="1" applyAlignment="1">
      <alignment horizontal="right" vertical="center"/>
    </xf>
    <xf numFmtId="0" fontId="22" fillId="7" borderId="0" xfId="0" applyFont="1" applyFill="1" applyAlignment="1">
      <alignment horizontal="center" vertical="center"/>
    </xf>
    <xf numFmtId="8" fontId="22" fillId="0" borderId="0" xfId="0" applyNumberFormat="1" applyFont="1" applyAlignment="1">
      <alignment horizontal="right" vertical="center"/>
    </xf>
    <xf numFmtId="0" fontId="22" fillId="0" borderId="0" xfId="0" applyFont="1" applyAlignment="1">
      <alignment horizontal="center" vertical="center"/>
    </xf>
    <xf numFmtId="8" fontId="22" fillId="8" borderId="0" xfId="0" applyNumberFormat="1" applyFont="1" applyFill="1" applyAlignment="1">
      <alignment horizontal="right" vertical="center"/>
    </xf>
    <xf numFmtId="2" fontId="0" fillId="0" borderId="0" xfId="5" applyNumberFormat="1" applyFont="1"/>
    <xf numFmtId="0" fontId="23" fillId="0" borderId="0" xfId="0" applyFont="1" applyBorder="1" applyAlignment="1">
      <alignment horizontal="left" vertical="top"/>
    </xf>
    <xf numFmtId="178" fontId="0" fillId="0" borderId="0" xfId="4" applyNumberFormat="1" applyFont="1" applyFill="1" applyBorder="1"/>
    <xf numFmtId="0" fontId="2" fillId="5" borderId="0" xfId="0" applyFont="1" applyFill="1" applyBorder="1" applyAlignment="1">
      <alignment horizontal="left" vertical="top"/>
    </xf>
    <xf numFmtId="0" fontId="0" fillId="5" borderId="0" xfId="0" applyFill="1" applyBorder="1"/>
    <xf numFmtId="0" fontId="0" fillId="5" borderId="0" xfId="0" applyFill="1" applyBorder="1" applyAlignment="1">
      <alignment horizontal="right"/>
    </xf>
    <xf numFmtId="168" fontId="0" fillId="5" borderId="0" xfId="1" applyNumberFormat="1" applyFont="1" applyFill="1" applyBorder="1"/>
    <xf numFmtId="168" fontId="0" fillId="0" borderId="0" xfId="1" applyNumberFormat="1" applyFont="1" applyFill="1" applyBorder="1"/>
    <xf numFmtId="1" fontId="0" fillId="0" borderId="0" xfId="0" applyNumberFormat="1" applyBorder="1"/>
    <xf numFmtId="167" fontId="0" fillId="0" borderId="0" xfId="0" applyNumberFormat="1" applyBorder="1"/>
    <xf numFmtId="0" fontId="0" fillId="2" borderId="0" xfId="0" applyFill="1" applyBorder="1"/>
    <xf numFmtId="176" fontId="0" fillId="2" borderId="0" xfId="0" applyNumberFormat="1" applyFill="1" applyBorder="1"/>
    <xf numFmtId="176" fontId="0" fillId="0" borderId="0" xfId="0" applyNumberFormat="1" applyFill="1" applyBorder="1"/>
    <xf numFmtId="1" fontId="0" fillId="0" borderId="0" xfId="0" applyNumberFormat="1" applyBorder="1" applyAlignment="1">
      <alignment horizontal="center"/>
    </xf>
    <xf numFmtId="168" fontId="1" fillId="0" borderId="0" xfId="1" applyNumberFormat="1" applyFont="1" applyBorder="1"/>
    <xf numFmtId="43" fontId="0" fillId="0" borderId="0" xfId="0" applyNumberFormat="1" applyBorder="1"/>
    <xf numFmtId="168" fontId="0" fillId="0" borderId="0" xfId="0" applyNumberFormat="1" applyBorder="1"/>
    <xf numFmtId="168" fontId="0" fillId="0" borderId="0" xfId="0" applyNumberFormat="1" applyFont="1" applyBorder="1"/>
    <xf numFmtId="168" fontId="2" fillId="0" borderId="0" xfId="0" applyNumberFormat="1" applyFont="1" applyBorder="1"/>
    <xf numFmtId="0" fontId="5" fillId="0" borderId="9" xfId="0" applyFont="1" applyBorder="1" applyAlignment="1">
      <alignment horizontal="left"/>
    </xf>
    <xf numFmtId="1" fontId="0" fillId="0" borderId="10" xfId="0" applyNumberFormat="1" applyBorder="1"/>
    <xf numFmtId="167" fontId="0" fillId="0" borderId="10" xfId="0" applyNumberFormat="1" applyBorder="1"/>
    <xf numFmtId="0" fontId="0" fillId="2" borderId="10" xfId="0" applyFill="1" applyBorder="1" applyAlignment="1">
      <alignment horizont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 xfId="0" applyBorder="1" applyAlignment="1">
      <alignment horizontal="right"/>
    </xf>
    <xf numFmtId="0" fontId="0" fillId="0" borderId="15" xfId="0" applyFill="1" applyBorder="1"/>
    <xf numFmtId="176" fontId="0" fillId="0" borderId="15" xfId="0" applyNumberFormat="1" applyFill="1" applyBorder="1"/>
    <xf numFmtId="0" fontId="0" fillId="0" borderId="1" xfId="0" applyFont="1" applyBorder="1" applyAlignment="1">
      <alignment horizontal="right"/>
    </xf>
    <xf numFmtId="0" fontId="5" fillId="0" borderId="1" xfId="0" applyFont="1" applyBorder="1" applyAlignment="1">
      <alignment horizontal="left" wrapText="1"/>
    </xf>
    <xf numFmtId="1" fontId="0" fillId="2" borderId="15" xfId="0" applyNumberFormat="1" applyFill="1" applyBorder="1" applyAlignment="1">
      <alignment wrapText="1"/>
    </xf>
    <xf numFmtId="43" fontId="0" fillId="2" borderId="15" xfId="0" applyNumberFormat="1" applyFill="1" applyBorder="1"/>
    <xf numFmtId="0" fontId="0" fillId="2" borderId="15" xfId="0" applyFill="1" applyBorder="1"/>
    <xf numFmtId="177" fontId="0" fillId="2" borderId="15" xfId="0" applyNumberFormat="1" applyFill="1" applyBorder="1"/>
    <xf numFmtId="168" fontId="0" fillId="2" borderId="15" xfId="0" applyNumberFormat="1" applyFill="1" applyBorder="1"/>
    <xf numFmtId="0" fontId="2" fillId="0" borderId="1" xfId="0" applyFont="1" applyBorder="1" applyAlignment="1">
      <alignment horizontal="left"/>
    </xf>
    <xf numFmtId="43" fontId="0" fillId="0" borderId="15" xfId="0" applyNumberFormat="1" applyBorder="1"/>
    <xf numFmtId="0" fontId="0" fillId="0" borderId="12" xfId="0" applyFont="1" applyBorder="1" applyAlignment="1">
      <alignment horizontal="right"/>
    </xf>
    <xf numFmtId="168" fontId="0" fillId="0" borderId="13" xfId="0" applyNumberFormat="1" applyFont="1" applyBorder="1"/>
    <xf numFmtId="168" fontId="0" fillId="0" borderId="13" xfId="0" applyNumberFormat="1" applyBorder="1"/>
    <xf numFmtId="43" fontId="0" fillId="0" borderId="13" xfId="0" applyNumberFormat="1" applyBorder="1"/>
    <xf numFmtId="0" fontId="0" fillId="0" borderId="0" xfId="0" applyAlignment="1">
      <alignment vertical="center"/>
    </xf>
    <xf numFmtId="0" fontId="0" fillId="0" borderId="0" xfId="0" applyFill="1" applyAlignment="1">
      <alignment vertical="center" wrapText="1"/>
    </xf>
    <xf numFmtId="171" fontId="0" fillId="0" borderId="0" xfId="4" applyNumberFormat="1" applyFont="1" applyFill="1" applyBorder="1" applyAlignment="1">
      <alignment horizontal="right"/>
    </xf>
    <xf numFmtId="171" fontId="0" fillId="0" borderId="0" xfId="4" applyNumberFormat="1" applyFont="1" applyFill="1" applyBorder="1"/>
    <xf numFmtId="43" fontId="0" fillId="2" borderId="14" xfId="0" applyNumberFormat="1" applyFill="1" applyBorder="1"/>
    <xf numFmtId="8" fontId="0" fillId="0" borderId="0" xfId="0" applyNumberFormat="1"/>
    <xf numFmtId="171" fontId="0" fillId="0" borderId="0" xfId="0" applyNumberFormat="1"/>
    <xf numFmtId="0" fontId="0" fillId="0" borderId="0" xfId="0" applyAlignment="1">
      <alignment horizontal="center" vertical="center"/>
    </xf>
    <xf numFmtId="0" fontId="0" fillId="3" borderId="0" xfId="0" applyFill="1" applyAlignment="1">
      <alignment horizontal="center"/>
    </xf>
    <xf numFmtId="0" fontId="21" fillId="0" borderId="16" xfId="0" applyFont="1" applyBorder="1" applyAlignment="1">
      <alignment horizontal="center" vertical="center"/>
    </xf>
    <xf numFmtId="178" fontId="0" fillId="0" borderId="0" xfId="4" applyNumberFormat="1" applyFont="1" applyAlignment="1">
      <alignment horizontal="center" vertical="center"/>
    </xf>
    <xf numFmtId="0" fontId="0" fillId="0" borderId="0" xfId="0" applyAlignment="1">
      <alignment horizontal="left" vertical="center" wrapText="1"/>
    </xf>
  </cellXfs>
  <cellStyles count="7">
    <cellStyle name="Comma" xfId="1" builtinId="3"/>
    <cellStyle name="Currency" xfId="4" builtinId="4"/>
    <cellStyle name="Factor" xfId="3" xr:uid="{70969E6C-ACDC-4A9A-A5DD-C81E6403A5F5}"/>
    <cellStyle name="Hyperlink" xfId="2" builtinId="8"/>
    <cellStyle name="Normal" xfId="0" builtinId="0"/>
    <cellStyle name="Normal 2" xfId="6" xr:uid="{732C88EE-8C1E-47E3-A5E8-5145DDCB468E}"/>
    <cellStyle name="Percent" xfId="5" builtinId="5"/>
  </cellStyles>
  <dxfs count="14">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2" defaultTableStyle="TableStyleMedium2" defaultPivotStyle="PivotStyleLight16">
    <tableStyle name="TableStyleMedium2 2" pivot="0" count="7" xr9:uid="{AEBDF176-0957-B649-B4CF-40121F52F635}">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Medium2 3" pivot="0" count="7" xr9:uid="{3D801C2B-21A4-B74E-9A6C-53B745233E26}">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27</xdr:row>
      <xdr:rowOff>106680</xdr:rowOff>
    </xdr:from>
    <xdr:to>
      <xdr:col>6</xdr:col>
      <xdr:colOff>426720</xdr:colOff>
      <xdr:row>44</xdr:row>
      <xdr:rowOff>16783</xdr:rowOff>
    </xdr:to>
    <xdr:pic>
      <xdr:nvPicPr>
        <xdr:cNvPr id="3" name="Picture 2">
          <a:extLst>
            <a:ext uri="{FF2B5EF4-FFF2-40B4-BE49-F238E27FC236}">
              <a16:creationId xmlns:a16="http://schemas.microsoft.com/office/drawing/2014/main" id="{05F41746-5492-4985-9ED6-E1FCB655FDAF}"/>
            </a:ext>
          </a:extLst>
        </xdr:cNvPr>
        <xdr:cNvPicPr>
          <a:picLocks noChangeAspect="1"/>
        </xdr:cNvPicPr>
      </xdr:nvPicPr>
      <xdr:blipFill>
        <a:blip xmlns:r="http://schemas.openxmlformats.org/officeDocument/2006/relationships" r:embed="rId1"/>
        <a:stretch>
          <a:fillRect/>
        </a:stretch>
      </xdr:blipFill>
      <xdr:spPr>
        <a:xfrm>
          <a:off x="114300" y="5273040"/>
          <a:ext cx="5989320" cy="3019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220980</xdr:colOff>
      <xdr:row>55</xdr:row>
      <xdr:rowOff>137160</xdr:rowOff>
    </xdr:from>
    <xdr:to>
      <xdr:col>3</xdr:col>
      <xdr:colOff>2584</xdr:colOff>
      <xdr:row>79</xdr:row>
      <xdr:rowOff>121920</xdr:rowOff>
    </xdr:to>
    <xdr:pic>
      <xdr:nvPicPr>
        <xdr:cNvPr id="4" name="Picture 3">
          <a:extLst>
            <a:ext uri="{FF2B5EF4-FFF2-40B4-BE49-F238E27FC236}">
              <a16:creationId xmlns:a16="http://schemas.microsoft.com/office/drawing/2014/main" id="{C25D1BD3-7F97-4309-B52E-FEBE8BF2A0E3}"/>
            </a:ext>
          </a:extLst>
        </xdr:cNvPr>
        <xdr:cNvPicPr>
          <a:picLocks noChangeAspect="1"/>
        </xdr:cNvPicPr>
      </xdr:nvPicPr>
      <xdr:blipFill>
        <a:blip xmlns:r="http://schemas.openxmlformats.org/officeDocument/2006/relationships" r:embed="rId1"/>
        <a:stretch>
          <a:fillRect/>
        </a:stretch>
      </xdr:blipFill>
      <xdr:spPr>
        <a:xfrm>
          <a:off x="220980" y="10988040"/>
          <a:ext cx="6014764" cy="43738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uderman, Tess" id="{21DE123E-B354-0D49-BF03-F01266103FA0}" userId="S::tess.ruderman@ebp-us.com::9dd7b339-95b9-4a01-b588-7275e580667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5" dT="2021-05-23T23:35:53.86" personId="{21DE123E-B354-0D49-BF03-F01266103FA0}" id="{64EE20D0-1213-D042-8BF3-FA4893D43D8D}">
    <text>Starts emissions decrease formula</text>
  </threadedComment>
  <threadedComment ref="G15" dT="2021-05-26T17:15:04.27" personId="{21DE123E-B354-0D49-BF03-F01266103FA0}" id="{167FA52E-694D-674A-A88A-4D5BFFC4D24F}" parentId="{64EE20D0-1213-D042-8BF3-FA4893D43D8D}">
    <text>Updated to % decrease</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iles.hudexchange.info/course-content/ndrc-nofa-benefit-cost-analysis-data-resources-and-expert-tips-webinar/FEMA-BCAR-Resource.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pa.gov/moves/latest-version-motor-vehicle-emission-simulator-moves" TargetMode="External"/><Relationship Id="rId1" Type="http://schemas.openxmlformats.org/officeDocument/2006/relationships/hyperlink" Target="https://www.epa.gov/energy/greenhouse-gases-equivalencies-calculator-calculations-and-reference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iteseerx.ist.psu.edu/viewdoc/download?doi=10.1.1.1090.8905&amp;rep=rep1&amp;typ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E7A9-E505-4EE1-AADD-4B68BF081C89}">
  <sheetPr>
    <tabColor rgb="FF0070C0"/>
  </sheetPr>
  <dimension ref="A1:AG43"/>
  <sheetViews>
    <sheetView tabSelected="1" zoomScale="78" zoomScaleNormal="78" workbookViewId="0">
      <selection activeCell="D20" sqref="D20"/>
    </sheetView>
  </sheetViews>
  <sheetFormatPr defaultColWidth="8.5703125" defaultRowHeight="15" x14ac:dyDescent="0.25"/>
  <cols>
    <col min="1" max="1" width="50.5703125" customWidth="1"/>
    <col min="2" max="2" width="15.5703125" customWidth="1"/>
    <col min="3" max="33" width="12.5703125" customWidth="1"/>
  </cols>
  <sheetData>
    <row r="1" spans="1:33" ht="18.75" x14ac:dyDescent="0.25">
      <c r="A1" s="193" t="s">
        <v>206</v>
      </c>
      <c r="B1" s="74"/>
    </row>
    <row r="2" spans="1:33" s="67" customFormat="1" ht="18.75" x14ac:dyDescent="0.25">
      <c r="A2" s="74"/>
      <c r="B2" s="74"/>
    </row>
    <row r="3" spans="1:33" x14ac:dyDescent="0.25">
      <c r="A3" s="73" t="s">
        <v>0</v>
      </c>
      <c r="B3" s="73"/>
      <c r="C3" s="10">
        <v>2019</v>
      </c>
      <c r="D3">
        <f>C3+1</f>
        <v>2020</v>
      </c>
      <c r="E3" s="67">
        <f t="shared" ref="E3:AG4" si="0">D3+1</f>
        <v>2021</v>
      </c>
      <c r="F3" s="67">
        <f t="shared" si="0"/>
        <v>2022</v>
      </c>
      <c r="G3" s="67">
        <f t="shared" si="0"/>
        <v>2023</v>
      </c>
      <c r="H3" s="67">
        <f t="shared" si="0"/>
        <v>2024</v>
      </c>
      <c r="I3" s="67">
        <f t="shared" si="0"/>
        <v>2025</v>
      </c>
      <c r="J3" s="67">
        <f t="shared" si="0"/>
        <v>2026</v>
      </c>
      <c r="K3" s="67">
        <f t="shared" si="0"/>
        <v>2027</v>
      </c>
      <c r="L3" s="67">
        <f t="shared" si="0"/>
        <v>2028</v>
      </c>
      <c r="M3" s="67">
        <f t="shared" si="0"/>
        <v>2029</v>
      </c>
      <c r="N3" s="67">
        <f t="shared" si="0"/>
        <v>2030</v>
      </c>
      <c r="O3" s="67">
        <f t="shared" si="0"/>
        <v>2031</v>
      </c>
      <c r="P3" s="67">
        <f t="shared" si="0"/>
        <v>2032</v>
      </c>
      <c r="Q3" s="67">
        <f t="shared" si="0"/>
        <v>2033</v>
      </c>
      <c r="R3" s="67">
        <f t="shared" si="0"/>
        <v>2034</v>
      </c>
      <c r="S3" s="67">
        <f t="shared" si="0"/>
        <v>2035</v>
      </c>
      <c r="T3" s="67">
        <f t="shared" si="0"/>
        <v>2036</v>
      </c>
      <c r="U3" s="67">
        <f t="shared" si="0"/>
        <v>2037</v>
      </c>
      <c r="V3" s="67">
        <f t="shared" si="0"/>
        <v>2038</v>
      </c>
      <c r="W3" s="67">
        <f t="shared" si="0"/>
        <v>2039</v>
      </c>
      <c r="X3" s="67">
        <f t="shared" si="0"/>
        <v>2040</v>
      </c>
      <c r="Y3" s="67">
        <f t="shared" si="0"/>
        <v>2041</v>
      </c>
      <c r="Z3" s="67">
        <f t="shared" si="0"/>
        <v>2042</v>
      </c>
      <c r="AA3" s="67">
        <f t="shared" si="0"/>
        <v>2043</v>
      </c>
      <c r="AB3" s="67">
        <f t="shared" si="0"/>
        <v>2044</v>
      </c>
      <c r="AC3" s="67">
        <f t="shared" si="0"/>
        <v>2045</v>
      </c>
      <c r="AD3" s="67">
        <f t="shared" si="0"/>
        <v>2046</v>
      </c>
      <c r="AE3" s="67">
        <f t="shared" si="0"/>
        <v>2047</v>
      </c>
      <c r="AF3" s="67">
        <f t="shared" si="0"/>
        <v>2048</v>
      </c>
      <c r="AG3" s="67">
        <f t="shared" si="0"/>
        <v>2049</v>
      </c>
    </row>
    <row r="4" spans="1:33" ht="30" x14ac:dyDescent="0.25">
      <c r="A4" s="255" t="s">
        <v>250</v>
      </c>
      <c r="B4" s="255"/>
      <c r="C4" s="256" t="s">
        <v>249</v>
      </c>
      <c r="D4" s="255" t="s">
        <v>18</v>
      </c>
      <c r="E4" s="255" t="s">
        <v>18</v>
      </c>
      <c r="F4" s="255" t="s">
        <v>18</v>
      </c>
      <c r="G4" s="262" t="s">
        <v>248</v>
      </c>
      <c r="H4" s="262"/>
      <c r="I4" s="67">
        <v>1</v>
      </c>
      <c r="J4" s="67">
        <f t="shared" si="0"/>
        <v>2</v>
      </c>
      <c r="K4">
        <f>J4+1</f>
        <v>3</v>
      </c>
      <c r="L4">
        <f t="shared" ref="L4:AG4" si="1">K4+1</f>
        <v>4</v>
      </c>
      <c r="M4">
        <f t="shared" si="1"/>
        <v>5</v>
      </c>
      <c r="N4">
        <f t="shared" si="1"/>
        <v>6</v>
      </c>
      <c r="O4">
        <f t="shared" si="1"/>
        <v>7</v>
      </c>
      <c r="P4">
        <f t="shared" si="1"/>
        <v>8</v>
      </c>
      <c r="Q4">
        <f t="shared" si="1"/>
        <v>9</v>
      </c>
      <c r="R4">
        <f t="shared" si="1"/>
        <v>10</v>
      </c>
      <c r="S4">
        <f t="shared" si="1"/>
        <v>11</v>
      </c>
      <c r="T4">
        <f t="shared" si="1"/>
        <v>12</v>
      </c>
      <c r="U4">
        <f t="shared" si="1"/>
        <v>13</v>
      </c>
      <c r="V4">
        <f t="shared" si="1"/>
        <v>14</v>
      </c>
      <c r="W4">
        <f t="shared" si="1"/>
        <v>15</v>
      </c>
      <c r="X4">
        <f t="shared" si="1"/>
        <v>16</v>
      </c>
      <c r="Y4">
        <f t="shared" si="1"/>
        <v>17</v>
      </c>
      <c r="Z4">
        <f t="shared" si="1"/>
        <v>18</v>
      </c>
      <c r="AA4">
        <f t="shared" si="1"/>
        <v>19</v>
      </c>
      <c r="AB4">
        <f t="shared" si="1"/>
        <v>20</v>
      </c>
      <c r="AC4">
        <f t="shared" si="1"/>
        <v>21</v>
      </c>
      <c r="AD4">
        <f t="shared" si="1"/>
        <v>22</v>
      </c>
      <c r="AE4">
        <f t="shared" si="1"/>
        <v>23</v>
      </c>
      <c r="AF4">
        <f t="shared" si="1"/>
        <v>24</v>
      </c>
      <c r="AG4" s="67">
        <f t="shared" si="1"/>
        <v>25</v>
      </c>
    </row>
    <row r="5" spans="1:33" x14ac:dyDescent="0.25">
      <c r="A5" s="72" t="s">
        <v>25</v>
      </c>
      <c r="B5" s="72"/>
      <c r="C5" s="10">
        <v>-1</v>
      </c>
      <c r="D5">
        <v>0</v>
      </c>
      <c r="E5">
        <f t="shared" ref="E5:AG5" si="2">D5+1</f>
        <v>1</v>
      </c>
      <c r="F5">
        <f t="shared" si="2"/>
        <v>2</v>
      </c>
      <c r="G5">
        <f t="shared" si="2"/>
        <v>3</v>
      </c>
      <c r="H5" s="10">
        <f t="shared" si="2"/>
        <v>4</v>
      </c>
      <c r="I5">
        <f t="shared" si="2"/>
        <v>5</v>
      </c>
      <c r="J5">
        <f t="shared" si="2"/>
        <v>6</v>
      </c>
      <c r="K5">
        <f t="shared" si="2"/>
        <v>7</v>
      </c>
      <c r="L5">
        <f t="shared" si="2"/>
        <v>8</v>
      </c>
      <c r="M5">
        <f t="shared" si="2"/>
        <v>9</v>
      </c>
      <c r="N5">
        <f t="shared" si="2"/>
        <v>10</v>
      </c>
      <c r="O5">
        <f t="shared" si="2"/>
        <v>11</v>
      </c>
      <c r="P5">
        <f t="shared" si="2"/>
        <v>12</v>
      </c>
      <c r="Q5">
        <f t="shared" si="2"/>
        <v>13</v>
      </c>
      <c r="R5">
        <f t="shared" si="2"/>
        <v>14</v>
      </c>
      <c r="S5">
        <f t="shared" si="2"/>
        <v>15</v>
      </c>
      <c r="T5">
        <f t="shared" si="2"/>
        <v>16</v>
      </c>
      <c r="U5">
        <f t="shared" si="2"/>
        <v>17</v>
      </c>
      <c r="V5">
        <f t="shared" si="2"/>
        <v>18</v>
      </c>
      <c r="W5">
        <f t="shared" si="2"/>
        <v>19</v>
      </c>
      <c r="X5">
        <f t="shared" si="2"/>
        <v>20</v>
      </c>
      <c r="Y5">
        <f t="shared" si="2"/>
        <v>21</v>
      </c>
      <c r="Z5">
        <f t="shared" si="2"/>
        <v>22</v>
      </c>
      <c r="AA5">
        <f t="shared" si="2"/>
        <v>23</v>
      </c>
      <c r="AB5">
        <f t="shared" si="2"/>
        <v>24</v>
      </c>
      <c r="AC5">
        <f t="shared" si="2"/>
        <v>25</v>
      </c>
      <c r="AD5">
        <f t="shared" si="2"/>
        <v>26</v>
      </c>
      <c r="AE5">
        <f t="shared" si="2"/>
        <v>27</v>
      </c>
      <c r="AF5">
        <f t="shared" si="2"/>
        <v>28</v>
      </c>
      <c r="AG5" s="67">
        <f t="shared" si="2"/>
        <v>29</v>
      </c>
    </row>
    <row r="6" spans="1:33" x14ac:dyDescent="0.25">
      <c r="A6" s="72" t="s">
        <v>55</v>
      </c>
      <c r="B6" s="72"/>
      <c r="C6" s="26">
        <f>(1+' Look Up Data'!$B$2)^C5</f>
        <v>0.93457943925233644</v>
      </c>
      <c r="D6" s="6">
        <f>(1+' Look Up Data'!$B$2)^D5</f>
        <v>1</v>
      </c>
      <c r="E6" s="6">
        <f>(1+' Look Up Data'!$B$2)^E5</f>
        <v>1.07</v>
      </c>
      <c r="F6" s="6">
        <f>(1+' Look Up Data'!$B$2)^F5</f>
        <v>1.1449</v>
      </c>
      <c r="G6" s="6">
        <f>(1+' Look Up Data'!$B$2)^G5</f>
        <v>1.2250430000000001</v>
      </c>
      <c r="H6" s="26">
        <f>(1+' Look Up Data'!$B$2)^H5</f>
        <v>1.31079601</v>
      </c>
      <c r="I6" s="6">
        <f>(1+' Look Up Data'!$B$2)^I5</f>
        <v>1.4025517307000002</v>
      </c>
      <c r="J6" s="6">
        <f>(1+' Look Up Data'!$B$2)^J5</f>
        <v>1.5007303518490001</v>
      </c>
      <c r="K6" s="6">
        <f>(1+' Look Up Data'!$B$2)^K5</f>
        <v>1.6057814764784302</v>
      </c>
      <c r="L6" s="6">
        <f>(1+' Look Up Data'!$B$2)^L5</f>
        <v>1.7181861798319202</v>
      </c>
      <c r="M6" s="6">
        <f>(1+' Look Up Data'!$B$2)^M5</f>
        <v>1.8384592124201549</v>
      </c>
      <c r="N6" s="6">
        <f>(1+' Look Up Data'!$B$2)^N5</f>
        <v>1.9671513572895656</v>
      </c>
      <c r="O6" s="6">
        <f>(1+' Look Up Data'!$B$2)^O5</f>
        <v>2.1048519522998355</v>
      </c>
      <c r="P6" s="6">
        <f>(1+' Look Up Data'!$B$2)^P5</f>
        <v>2.2521915889608235</v>
      </c>
      <c r="Q6" s="6">
        <f>(1+' Look Up Data'!$B$2)^Q5</f>
        <v>2.4098450001880813</v>
      </c>
      <c r="R6" s="6">
        <f>(1+' Look Up Data'!$B$2)^R5</f>
        <v>2.5785341502012469</v>
      </c>
      <c r="S6" s="6">
        <f>(1+' Look Up Data'!$B$2)^S5</f>
        <v>2.7590315407153345</v>
      </c>
      <c r="T6" s="6">
        <f>(1+' Look Up Data'!$B$2)^T5</f>
        <v>2.9521637485654075</v>
      </c>
      <c r="U6" s="6">
        <f>(1+' Look Up Data'!$B$2)^U5</f>
        <v>3.1588152109649861</v>
      </c>
      <c r="V6" s="6">
        <f>(1+' Look Up Data'!$B$2)^V5</f>
        <v>3.3799322757325352</v>
      </c>
      <c r="W6" s="6">
        <f>(1+' Look Up Data'!$B$2)^W5</f>
        <v>3.6165275350338129</v>
      </c>
      <c r="X6" s="6">
        <f>(1+' Look Up Data'!$B$2)^X5</f>
        <v>3.8696844624861795</v>
      </c>
      <c r="Y6" s="6">
        <f>(1+' Look Up Data'!$B$2)^Y5</f>
        <v>4.1405623748602123</v>
      </c>
      <c r="Z6" s="6">
        <f>(1+' Look Up Data'!$B$2)^Z5</f>
        <v>4.4304017411004271</v>
      </c>
      <c r="AA6" s="6">
        <f>(1+' Look Up Data'!$B$2)^AA5</f>
        <v>4.740529862977457</v>
      </c>
      <c r="AB6" s="6">
        <f>(1+' Look Up Data'!$B$2)^AB5</f>
        <v>5.0723669533858793</v>
      </c>
      <c r="AC6" s="6">
        <f>(1+' Look Up Data'!$B$2)^AC5</f>
        <v>5.4274326401228912</v>
      </c>
      <c r="AD6" s="6">
        <f>(1+' Look Up Data'!$B$2)^AD5</f>
        <v>5.807352924931493</v>
      </c>
      <c r="AE6" s="6">
        <f>(1+' Look Up Data'!$B$2)^AE5</f>
        <v>6.2138676296766988</v>
      </c>
      <c r="AF6" s="6">
        <f>(1+' Look Up Data'!$B$2)^AF5</f>
        <v>6.6488383637540664</v>
      </c>
      <c r="AG6" s="6">
        <f>(1+' Look Up Data'!$B$2)^AG5</f>
        <v>7.1142570492168513</v>
      </c>
    </row>
    <row r="7" spans="1:33" s="67" customFormat="1" x14ac:dyDescent="0.25">
      <c r="A7" s="72" t="s">
        <v>209</v>
      </c>
      <c r="B7" s="72"/>
      <c r="C7" s="26">
        <f>(1+' Look Up Data'!$B$3)^C5</f>
        <v>0.970873786407767</v>
      </c>
      <c r="D7" s="6">
        <f>(1+' Look Up Data'!$B$3)^D5</f>
        <v>1</v>
      </c>
      <c r="E7" s="6">
        <f>(1+' Look Up Data'!$B$3)^E5</f>
        <v>1.03</v>
      </c>
      <c r="F7" s="6">
        <f>(1+' Look Up Data'!$B$3)^F5</f>
        <v>1.0609</v>
      </c>
      <c r="G7" s="6">
        <f>(1+' Look Up Data'!$B$3)^G5</f>
        <v>1.092727</v>
      </c>
      <c r="H7" s="26">
        <f>(1+' Look Up Data'!$B$3)^H5</f>
        <v>1.1255088099999999</v>
      </c>
      <c r="I7" s="6">
        <f>(1+' Look Up Data'!$B$3)^I5</f>
        <v>1.1592740742999998</v>
      </c>
      <c r="J7" s="6">
        <f>(1+' Look Up Data'!$B$3)^J5</f>
        <v>1.1940522965289999</v>
      </c>
      <c r="K7" s="6">
        <f>(1+' Look Up Data'!$B$3)^K5</f>
        <v>1.22987386542487</v>
      </c>
      <c r="L7" s="6">
        <f>(1+' Look Up Data'!$B$3)^L5</f>
        <v>1.2667700813876159</v>
      </c>
      <c r="M7" s="6">
        <f>(1+' Look Up Data'!$B$3)^M5</f>
        <v>1.3047731838292445</v>
      </c>
      <c r="N7" s="6">
        <f>(1+' Look Up Data'!$B$3)^N5</f>
        <v>1.3439163793441218</v>
      </c>
      <c r="O7" s="6">
        <f>(1+' Look Up Data'!$B$3)^O5</f>
        <v>1.3842338707244455</v>
      </c>
      <c r="P7" s="6">
        <f>(1+' Look Up Data'!$B$3)^P5</f>
        <v>1.4257608868461786</v>
      </c>
      <c r="Q7" s="6">
        <f>(1+' Look Up Data'!$B$3)^Q5</f>
        <v>1.4685337134515639</v>
      </c>
      <c r="R7" s="6">
        <f>(1+' Look Up Data'!$B$3)^R5</f>
        <v>1.512589724855111</v>
      </c>
      <c r="S7" s="6">
        <f>(1+' Look Up Data'!$B$3)^S5</f>
        <v>1.5579674166007644</v>
      </c>
      <c r="T7" s="6">
        <f>(1+' Look Up Data'!$B$3)^T5</f>
        <v>1.6047064390987871</v>
      </c>
      <c r="U7" s="6">
        <f>(1+' Look Up Data'!$B$3)^U5</f>
        <v>1.6528476322717507</v>
      </c>
      <c r="V7" s="6">
        <f>(1+' Look Up Data'!$B$3)^V5</f>
        <v>1.7024330612399032</v>
      </c>
      <c r="W7" s="6">
        <f>(1+' Look Up Data'!$B$3)^W5</f>
        <v>1.7535060530771003</v>
      </c>
      <c r="X7" s="6">
        <f>(1+' Look Up Data'!$B$3)^X5</f>
        <v>1.8061112346694133</v>
      </c>
      <c r="Y7" s="6">
        <f>(1+' Look Up Data'!$B$3)^Y5</f>
        <v>1.8602945717094954</v>
      </c>
      <c r="Z7" s="6">
        <f>(1+' Look Up Data'!$B$3)^Z5</f>
        <v>1.9161034088607805</v>
      </c>
      <c r="AA7" s="6">
        <f>(1+' Look Up Data'!$B$3)^AA5</f>
        <v>1.973586511126604</v>
      </c>
      <c r="AB7" s="6">
        <f>(1+' Look Up Data'!$B$3)^AB5</f>
        <v>2.0327941064604018</v>
      </c>
      <c r="AC7" s="6">
        <f>(1+' Look Up Data'!$B$3)^AC5</f>
        <v>2.0937779296542138</v>
      </c>
      <c r="AD7" s="6">
        <f>(1+' Look Up Data'!$B$3)^AD5</f>
        <v>2.1565912675438406</v>
      </c>
      <c r="AE7" s="6">
        <f>(1+' Look Up Data'!$B$3)^AE5</f>
        <v>2.2212890055701555</v>
      </c>
      <c r="AF7" s="6">
        <f>(1+' Look Up Data'!$B$3)^AF5</f>
        <v>2.2879276757372602</v>
      </c>
      <c r="AG7" s="6">
        <f>(1+' Look Up Data'!$B$3)^AG5</f>
        <v>2.3565655060093778</v>
      </c>
    </row>
    <row r="8" spans="1:33" x14ac:dyDescent="0.25">
      <c r="B8" s="261"/>
      <c r="C8" s="6"/>
      <c r="D8" s="6"/>
      <c r="E8" s="6"/>
      <c r="F8" s="6"/>
      <c r="G8" s="6"/>
      <c r="H8" s="26"/>
      <c r="I8" s="6"/>
      <c r="J8" s="6"/>
      <c r="K8" s="6"/>
      <c r="L8" s="6"/>
      <c r="M8" s="6"/>
      <c r="N8" s="6"/>
      <c r="O8" s="6"/>
      <c r="P8" s="6"/>
      <c r="Q8" s="6"/>
      <c r="R8" s="6"/>
      <c r="S8" s="6"/>
      <c r="T8" s="6"/>
      <c r="U8" s="6"/>
      <c r="V8" s="6"/>
      <c r="W8" s="6"/>
      <c r="X8" s="6"/>
      <c r="Y8" s="6"/>
      <c r="Z8" s="6"/>
      <c r="AA8" s="6"/>
      <c r="AB8" s="6"/>
      <c r="AC8" s="6"/>
      <c r="AD8" s="6"/>
      <c r="AE8" s="6"/>
      <c r="AF8" s="6"/>
      <c r="AG8" s="6"/>
    </row>
    <row r="9" spans="1:33" s="39" customFormat="1" x14ac:dyDescent="0.25">
      <c r="A9" s="40" t="s">
        <v>26</v>
      </c>
      <c r="B9" s="40"/>
      <c r="C9" s="67"/>
      <c r="D9" s="67"/>
      <c r="E9" s="67"/>
      <c r="F9" s="67"/>
      <c r="G9" s="67"/>
      <c r="H9" s="10"/>
      <c r="I9" s="67"/>
      <c r="J9" s="67"/>
      <c r="K9" s="67"/>
      <c r="L9" s="67"/>
      <c r="M9" s="67"/>
      <c r="N9" s="67"/>
      <c r="O9" s="67"/>
      <c r="P9" s="67"/>
      <c r="Q9" s="67"/>
      <c r="R9" s="67"/>
      <c r="S9" s="67"/>
      <c r="T9" s="67"/>
      <c r="U9" s="67"/>
      <c r="V9" s="67"/>
      <c r="W9" s="67"/>
      <c r="X9" s="67"/>
      <c r="Y9" s="67"/>
      <c r="Z9" s="67"/>
      <c r="AA9" s="67"/>
      <c r="AB9" s="67"/>
      <c r="AC9" s="67"/>
      <c r="AD9" s="67"/>
      <c r="AE9" s="67"/>
      <c r="AF9" s="67"/>
      <c r="AG9" s="67"/>
    </row>
    <row r="10" spans="1:33" s="70" customFormat="1" x14ac:dyDescent="0.25">
      <c r="A10" s="46" t="s">
        <v>207</v>
      </c>
      <c r="B10" s="257">
        <f>SUM(C10:AG10)</f>
        <v>6366499.9999999991</v>
      </c>
      <c r="C10" s="258">
        <f>Costs!B7/C6</f>
        <v>6366499.9999999991</v>
      </c>
      <c r="D10" s="67"/>
      <c r="E10" s="67"/>
      <c r="F10" s="67"/>
      <c r="G10" s="67"/>
      <c r="H10" s="10"/>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row>
    <row r="11" spans="1:33" s="39" customFormat="1" x14ac:dyDescent="0.25">
      <c r="A11" s="70" t="s">
        <v>208</v>
      </c>
      <c r="B11" s="257">
        <f>SUM(C11:AG11)</f>
        <v>15791930.889383771</v>
      </c>
      <c r="C11" s="258"/>
      <c r="D11" s="258">
        <f>Costs!C7/D6</f>
        <v>0</v>
      </c>
      <c r="E11" s="258">
        <f>Costs!D7/E6</f>
        <v>0</v>
      </c>
      <c r="F11" s="258">
        <f>Costs!E7/F6</f>
        <v>0</v>
      </c>
      <c r="G11" s="258">
        <f>Costs!F7/G6</f>
        <v>8162978.7689085193</v>
      </c>
      <c r="H11" s="258">
        <f>Costs!G7/H6</f>
        <v>7628952.1204752522</v>
      </c>
      <c r="I11" s="258">
        <f>Costs!H7/I6</f>
        <v>0</v>
      </c>
      <c r="J11" s="258">
        <f>Costs!I7/J6</f>
        <v>0</v>
      </c>
      <c r="K11" s="258">
        <f>Costs!J7/K6</f>
        <v>0</v>
      </c>
      <c r="L11" s="258">
        <f>Costs!K7/L6</f>
        <v>0</v>
      </c>
      <c r="M11" s="258">
        <f>Costs!L7/M6</f>
        <v>0</v>
      </c>
      <c r="N11" s="258">
        <f>Costs!M7/N6</f>
        <v>0</v>
      </c>
      <c r="O11" s="258">
        <f>Costs!N7/O6</f>
        <v>0</v>
      </c>
      <c r="P11" s="258">
        <f>Costs!O7/P6</f>
        <v>0</v>
      </c>
      <c r="Q11" s="258">
        <f>Costs!P7/Q6</f>
        <v>0</v>
      </c>
      <c r="R11" s="258">
        <f>Costs!Q7/R6</f>
        <v>0</v>
      </c>
      <c r="S11" s="258">
        <f>Costs!R7/S6</f>
        <v>0</v>
      </c>
      <c r="T11" s="258">
        <f>Costs!S7/T6</f>
        <v>0</v>
      </c>
      <c r="U11" s="258">
        <f>Costs!T7/U6</f>
        <v>0</v>
      </c>
      <c r="V11" s="258">
        <f>Costs!U7/V6</f>
        <v>0</v>
      </c>
      <c r="W11" s="258">
        <f>Costs!V7/W6</f>
        <v>0</v>
      </c>
      <c r="X11" s="258">
        <f>Costs!W7/X6</f>
        <v>0</v>
      </c>
      <c r="Y11" s="258">
        <f>Costs!X7/Y6</f>
        <v>0</v>
      </c>
      <c r="Z11" s="258">
        <f>Costs!Y7/Z6</f>
        <v>0</v>
      </c>
      <c r="AA11" s="258">
        <f>Costs!Z7/AA6</f>
        <v>0</v>
      </c>
      <c r="AB11" s="258">
        <f>Costs!AA7/AB6</f>
        <v>0</v>
      </c>
      <c r="AC11" s="258">
        <f>Costs!AB7/AC6</f>
        <v>0</v>
      </c>
      <c r="AD11" s="258">
        <f>Costs!AC7/AD6</f>
        <v>0</v>
      </c>
      <c r="AE11" s="258">
        <f>Costs!AD7/AE6</f>
        <v>0</v>
      </c>
      <c r="AF11" s="258">
        <f>Costs!AE7/AF6</f>
        <v>0</v>
      </c>
      <c r="AG11" s="258">
        <f>Costs!AF7/AG6</f>
        <v>0</v>
      </c>
    </row>
    <row r="12" spans="1:33" s="39" customFormat="1" hidden="1" x14ac:dyDescent="0.25">
      <c r="A12" s="70" t="s">
        <v>78</v>
      </c>
      <c r="B12" s="257">
        <f t="shared" ref="B12" si="3">SUM(C12:AG12)</f>
        <v>0</v>
      </c>
      <c r="C12" s="51"/>
      <c r="D12" s="51"/>
      <c r="E12" s="51"/>
      <c r="F12" s="51"/>
      <c r="G12" s="51">
        <f>((Costs!F8+Costs!F9)-(Costs!F14+Costs!F15))/G6</f>
        <v>0</v>
      </c>
      <c r="H12" s="51">
        <f>((Costs!G8+Costs!G9)-(Costs!G14+Costs!G15))/H6</f>
        <v>0</v>
      </c>
      <c r="I12" s="51">
        <f>((Costs!H8+Costs!H9)-(Costs!H14+Costs!H15))/I6</f>
        <v>0</v>
      </c>
      <c r="J12" s="51">
        <f>((Costs!I8+Costs!I9)-(Costs!I14+Costs!I15))/J6</f>
        <v>0</v>
      </c>
      <c r="K12" s="51">
        <f>((Costs!J8+Costs!J9)-(Costs!J14+Costs!J15))/K6</f>
        <v>0</v>
      </c>
      <c r="L12" s="51">
        <f>((Costs!K8+Costs!K9)-(Costs!K14+Costs!K15))/L6</f>
        <v>0</v>
      </c>
      <c r="M12" s="51">
        <f>((Costs!L8+Costs!L9)-(Costs!L14+Costs!L15))/M6</f>
        <v>0</v>
      </c>
      <c r="N12" s="51">
        <f>((Costs!M8+Costs!M9)-(Costs!M14+Costs!M15))/N6</f>
        <v>0</v>
      </c>
      <c r="O12" s="51">
        <f>((Costs!N8+Costs!N9)-(Costs!N14+Costs!N15))/O6</f>
        <v>0</v>
      </c>
      <c r="P12" s="51">
        <f>((Costs!O8+Costs!O9)-(Costs!O14+Costs!O15))/P6</f>
        <v>0</v>
      </c>
      <c r="Q12" s="51">
        <f>((Costs!P8+Costs!P9)-(Costs!P14+Costs!P15))/Q6</f>
        <v>0</v>
      </c>
      <c r="R12" s="51">
        <f>((Costs!Q8+Costs!Q9)-(Costs!Q14+Costs!Q15))/R6</f>
        <v>0</v>
      </c>
      <c r="S12" s="51">
        <f>((Costs!R8+Costs!R9)-(Costs!R14+Costs!R15))/S6</f>
        <v>0</v>
      </c>
      <c r="T12" s="51">
        <f>((Costs!S8+Costs!S9)-(Costs!S14+Costs!S15))/T6</f>
        <v>0</v>
      </c>
      <c r="U12" s="51">
        <f>((Costs!T8+Costs!T9)-(Costs!T14+Costs!T15))/U6</f>
        <v>0</v>
      </c>
      <c r="V12" s="51">
        <f>((Costs!U8+Costs!U9)-(Costs!U14+Costs!U15))/V6</f>
        <v>0</v>
      </c>
      <c r="W12" s="51">
        <f>((Costs!V8+Costs!V9)-(Costs!V14+Costs!V15))/W6</f>
        <v>0</v>
      </c>
      <c r="X12" s="51">
        <f>((Costs!W8+Costs!W9)-(Costs!W14+Costs!W15))/X6</f>
        <v>0</v>
      </c>
      <c r="Y12" s="51">
        <f>((Costs!X8+Costs!X9)-(Costs!X14+Costs!X15))/Y6</f>
        <v>0</v>
      </c>
      <c r="Z12" s="51">
        <f>((Costs!Y8+Costs!Y9)-(Costs!Y14+Costs!Y15))/Z6</f>
        <v>0</v>
      </c>
      <c r="AA12" s="51">
        <f>((Costs!Z8+Costs!Z9)-(Costs!Z14+Costs!Z15))/AA6</f>
        <v>0</v>
      </c>
      <c r="AB12" s="51">
        <f>((Costs!AA8+Costs!AA9)-(Costs!AA14+Costs!AA15))/AB6</f>
        <v>0</v>
      </c>
      <c r="AC12" s="51">
        <f>((Costs!AB8+Costs!AB9)-(Costs!AB14+Costs!AB15))/AC6</f>
        <v>0</v>
      </c>
      <c r="AD12" s="51">
        <f>((Costs!AC8+Costs!AC9)-(Costs!AC14+Costs!AC15))/AD6</f>
        <v>0</v>
      </c>
      <c r="AE12" s="51">
        <f>((Costs!AD8+Costs!AD9)-(Costs!AD14+Costs!AD15))/AE6</f>
        <v>0</v>
      </c>
      <c r="AF12" s="51">
        <f>((Costs!AE8+Costs!AE9)-(Costs!AE14+Costs!AE15))/AF6</f>
        <v>0</v>
      </c>
      <c r="AG12" s="51">
        <f>((Costs!AF8+Costs!AF9)-(Costs!AF14+Costs!AF15))/AG6</f>
        <v>0</v>
      </c>
    </row>
    <row r="13" spans="1:33" s="70" customFormat="1" x14ac:dyDescent="0.25">
      <c r="A13" s="70" t="s">
        <v>231</v>
      </c>
      <c r="B13" s="257">
        <f>-1*SUM(C13:AG13)</f>
        <v>-1367851.8969273441</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258">
        <f>Costs!AE11/AF6</f>
        <v>0</v>
      </c>
      <c r="AG13" s="258">
        <f>Costs!AF11/AG6</f>
        <v>1367851.8969273441</v>
      </c>
    </row>
    <row r="14" spans="1:33" s="39" customFormat="1" x14ac:dyDescent="0.25">
      <c r="A14" s="46" t="s">
        <v>1</v>
      </c>
      <c r="B14" s="114">
        <f>SUM(B10:B13)</f>
        <v>20790578.992456425</v>
      </c>
      <c r="C14" s="51"/>
      <c r="D14" s="51"/>
      <c r="E14" s="51"/>
      <c r="F14" s="51"/>
      <c r="G14" s="258">
        <f>SUM(G11:G12)</f>
        <v>8162978.7689085193</v>
      </c>
      <c r="H14" s="258">
        <f t="shared" ref="H14:AE14" si="4">SUM(H11:H12)</f>
        <v>7628952.1204752522</v>
      </c>
      <c r="I14" s="258">
        <f t="shared" si="4"/>
        <v>0</v>
      </c>
      <c r="J14" s="258">
        <f t="shared" si="4"/>
        <v>0</v>
      </c>
      <c r="K14" s="258">
        <f t="shared" si="4"/>
        <v>0</v>
      </c>
      <c r="L14" s="258">
        <f t="shared" si="4"/>
        <v>0</v>
      </c>
      <c r="M14" s="258">
        <f t="shared" si="4"/>
        <v>0</v>
      </c>
      <c r="N14" s="258">
        <f t="shared" si="4"/>
        <v>0</v>
      </c>
      <c r="O14" s="258">
        <f t="shared" si="4"/>
        <v>0</v>
      </c>
      <c r="P14" s="258">
        <f t="shared" si="4"/>
        <v>0</v>
      </c>
      <c r="Q14" s="258">
        <f t="shared" si="4"/>
        <v>0</v>
      </c>
      <c r="R14" s="258">
        <f t="shared" si="4"/>
        <v>0</v>
      </c>
      <c r="S14" s="258">
        <f t="shared" si="4"/>
        <v>0</v>
      </c>
      <c r="T14" s="258">
        <f t="shared" si="4"/>
        <v>0</v>
      </c>
      <c r="U14" s="258">
        <f t="shared" si="4"/>
        <v>0</v>
      </c>
      <c r="V14" s="258">
        <f t="shared" si="4"/>
        <v>0</v>
      </c>
      <c r="W14" s="258">
        <f t="shared" si="4"/>
        <v>0</v>
      </c>
      <c r="X14" s="258">
        <f t="shared" si="4"/>
        <v>0</v>
      </c>
      <c r="Y14" s="258">
        <f t="shared" si="4"/>
        <v>0</v>
      </c>
      <c r="Z14" s="258">
        <f t="shared" si="4"/>
        <v>0</v>
      </c>
      <c r="AA14" s="258">
        <f t="shared" si="4"/>
        <v>0</v>
      </c>
      <c r="AB14" s="258">
        <f t="shared" si="4"/>
        <v>0</v>
      </c>
      <c r="AC14" s="258">
        <f t="shared" si="4"/>
        <v>0</v>
      </c>
      <c r="AD14" s="258">
        <f t="shared" si="4"/>
        <v>0</v>
      </c>
      <c r="AE14" s="258">
        <f t="shared" si="4"/>
        <v>0</v>
      </c>
      <c r="AF14" s="258">
        <f>SUM(AF11:AF12)</f>
        <v>0</v>
      </c>
      <c r="AG14" s="258">
        <f>SUM(AG11:AG12)</f>
        <v>0</v>
      </c>
    </row>
    <row r="15" spans="1:33" s="39" customFormat="1" x14ac:dyDescent="0.25">
      <c r="A15" s="70"/>
      <c r="B15" s="115"/>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row>
    <row r="16" spans="1:33" s="39" customFormat="1" x14ac:dyDescent="0.25">
      <c r="A16" s="40" t="s">
        <v>27</v>
      </c>
      <c r="B16" s="116"/>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row>
    <row r="17" spans="1:33" s="39" customFormat="1" x14ac:dyDescent="0.25">
      <c r="A17" s="45" t="s">
        <v>169</v>
      </c>
      <c r="B17" s="114">
        <f>SUM(C17:AG17)</f>
        <v>11598312.042476658</v>
      </c>
      <c r="C17" s="51"/>
      <c r="D17" s="51"/>
      <c r="E17" s="51"/>
      <c r="F17" s="51"/>
      <c r="G17" s="51"/>
      <c r="H17" s="51"/>
      <c r="I17" s="51">
        <f>'Travel Time - vehicles'!C15/I6</f>
        <v>870852.64180519967</v>
      </c>
      <c r="J17" s="51">
        <f>'Travel Time - vehicles'!D15/J6</f>
        <v>819988.82981752884</v>
      </c>
      <c r="K17" s="51">
        <f>'Travel Time - vehicles'!E15/K6</f>
        <v>772095.81592556578</v>
      </c>
      <c r="L17" s="51">
        <f>'Travel Time - vehicles'!F15/L6</f>
        <v>727000.08499191597</v>
      </c>
      <c r="M17" s="51">
        <f>'Travel Time - vehicles'!G15/M6</f>
        <v>684538.25636222085</v>
      </c>
      <c r="N17" s="51">
        <f>'Travel Time - vehicles'!H15/N6</f>
        <v>644556.49194131838</v>
      </c>
      <c r="O17" s="51">
        <f>'Travel Time - vehicles'!I15/O6</f>
        <v>606909.93884184514</v>
      </c>
      <c r="P17" s="51">
        <f>'Travel Time - vehicles'!J15/P6</f>
        <v>571462.20458601264</v>
      </c>
      <c r="Q17" s="51">
        <f>'Travel Time - vehicles'!K15/Q6</f>
        <v>538084.86295922473</v>
      </c>
      <c r="R17" s="51">
        <f>'Travel Time - vehicles'!L15/R6</f>
        <v>506656.98872526002</v>
      </c>
      <c r="S17" s="51">
        <f>'Travel Time - vehicles'!M15/S6</f>
        <v>477064.71951730165</v>
      </c>
      <c r="T17" s="51">
        <f>'Travel Time - vehicles'!N15/T6</f>
        <v>449200.84331755899</v>
      </c>
      <c r="U17" s="51">
        <f>'Travel Time - vehicles'!O15/U6</f>
        <v>422964.41003092902</v>
      </c>
      <c r="V17" s="51">
        <f>'Travel Time - vehicles'!P15/V6</f>
        <v>398260.36574544164</v>
      </c>
      <c r="W17" s="51">
        <f>'Travel Time - vehicles'!Q15/W6</f>
        <v>374999.20835442055</v>
      </c>
      <c r="X17" s="51">
        <f>'Travel Time - vehicles'!R15/X6</f>
        <v>353096.66329269094</v>
      </c>
      <c r="Y17" s="51">
        <f>'Travel Time - vehicles'!S15/Y6</f>
        <v>332473.37821203226</v>
      </c>
      <c r="Z17" s="51">
        <f>'Travel Time - vehicles'!T15/Z6</f>
        <v>313054.6354896953</v>
      </c>
      <c r="AA17" s="51">
        <f>'Travel Time - vehicles'!U15/AA6</f>
        <v>294770.0815284081</v>
      </c>
      <c r="AB17" s="51">
        <f>'Travel Time - vehicles'!V15/AB6</f>
        <v>277553.47186713177</v>
      </c>
      <c r="AC17" s="51">
        <f>'Travel Time - vehicles'!W15/AC6</f>
        <v>261342.43117911022</v>
      </c>
      <c r="AD17" s="51">
        <f>'Travel Time - vehicles'!X15/AD6</f>
        <v>246078.22728769164</v>
      </c>
      <c r="AE17" s="51">
        <f>'Travel Time - vehicles'!Y15/AE6</f>
        <v>231705.55838118755</v>
      </c>
      <c r="AF17" s="51">
        <f>'Travel Time - vehicles'!Z15/AF6</f>
        <v>218172.35265585509</v>
      </c>
      <c r="AG17" s="51">
        <f>'Travel Time - vehicles'!AA15/AG6</f>
        <v>205429.57966111283</v>
      </c>
    </row>
    <row r="18" spans="1:33" s="70" customFormat="1" x14ac:dyDescent="0.25">
      <c r="A18" s="45" t="s">
        <v>170</v>
      </c>
      <c r="B18" s="114">
        <f t="shared" ref="B18:B26" si="5">SUM(C18:AG18)</f>
        <v>3924217.9984466098</v>
      </c>
      <c r="C18" s="51"/>
      <c r="D18" s="51"/>
      <c r="E18" s="51"/>
      <c r="F18" s="51"/>
      <c r="G18" s="51"/>
      <c r="H18" s="51"/>
      <c r="I18" s="51">
        <f>'Travel Reliability'!C22/I6</f>
        <v>294647.66928593523</v>
      </c>
      <c r="J18" s="51">
        <f>'Travel Reliability'!D22/J6</f>
        <v>277438.20934550406</v>
      </c>
      <c r="K18" s="51">
        <f>'Travel Reliability'!E22/K6</f>
        <v>261233.90078522475</v>
      </c>
      <c r="L18" s="51">
        <f>'Travel Reliability'!F22/L6</f>
        <v>245976.0358187684</v>
      </c>
      <c r="M18" s="51">
        <f>'Travel Reliability'!G22/M6</f>
        <v>231609.33560020587</v>
      </c>
      <c r="N18" s="51">
        <f>'Travel Reliability'!H22/N6</f>
        <v>218081.74995019488</v>
      </c>
      <c r="O18" s="51">
        <f>'Travel Reliability'!I22/O6</f>
        <v>205344.26877953974</v>
      </c>
      <c r="P18" s="51">
        <f>'Travel Reliability'!J22/P6</f>
        <v>193350.7445269204</v>
      </c>
      <c r="Q18" s="51">
        <f>'Travel Reliability'!K22/Q6</f>
        <v>182057.72496748343</v>
      </c>
      <c r="R18" s="51">
        <f>'Travel Reliability'!L22/R6</f>
        <v>171424.29578656747</v>
      </c>
      <c r="S18" s="51">
        <f>'Travel Reliability'!M22/S6</f>
        <v>161411.93234821063</v>
      </c>
      <c r="T18" s="51">
        <f>'Travel Reliability'!N22/T6</f>
        <v>151984.36012140149</v>
      </c>
      <c r="U18" s="51">
        <f>'Travel Reliability'!O22/U6</f>
        <v>143107.42325840157</v>
      </c>
      <c r="V18" s="51">
        <f>'Travel Reliability'!P22/V6</f>
        <v>134748.96084900163</v>
      </c>
      <c r="W18" s="51">
        <f>'Travel Reliability'!Q22/W6</f>
        <v>126878.69040238479</v>
      </c>
      <c r="X18" s="51">
        <f>'Travel Reliability'!R22/X6</f>
        <v>119468.09813445389</v>
      </c>
      <c r="Y18" s="51">
        <f>'Travel Reliability'!S22/Y6</f>
        <v>112490.33566313701</v>
      </c>
      <c r="Z18" s="51">
        <f>'Travel Reliability'!T22/Z6</f>
        <v>105920.12273740108</v>
      </c>
      <c r="AA18" s="51">
        <f>'Travel Reliability'!U22/AA6</f>
        <v>99733.655647563253</v>
      </c>
      <c r="AB18" s="51">
        <f>'Travel Reliability'!V22/AB6</f>
        <v>93908.520985072901</v>
      </c>
      <c r="AC18" s="51">
        <f>'Travel Reliability'!W22/AC6</f>
        <v>88423.61443931832</v>
      </c>
      <c r="AD18" s="51">
        <f>'Travel Reliability'!X22/AD6</f>
        <v>83259.064337261181</v>
      </c>
      <c r="AE18" s="51">
        <f>'Travel Reliability'!Y22/AE6</f>
        <v>78396.159648884321</v>
      </c>
      <c r="AF18" s="51">
        <f>'Travel Reliability'!Z22/AF6</f>
        <v>73817.282197619468</v>
      </c>
      <c r="AG18" s="51">
        <f>'Travel Reliability'!AA22/AG6</f>
        <v>69505.84283015359</v>
      </c>
    </row>
    <row r="19" spans="1:33" s="70" customFormat="1" x14ac:dyDescent="0.25">
      <c r="A19" s="45" t="s">
        <v>171</v>
      </c>
      <c r="B19" s="114">
        <f t="shared" si="5"/>
        <v>1796117.9753245153</v>
      </c>
      <c r="C19" s="51"/>
      <c r="D19" s="51"/>
      <c r="E19" s="51"/>
      <c r="F19" s="51"/>
      <c r="G19" s="51"/>
      <c r="H19" s="51"/>
      <c r="I19" s="51">
        <f>('Travel Time - bike and ped'!E19)/I6</f>
        <v>144042.8153756368</v>
      </c>
      <c r="J19" s="51">
        <f>('Travel Time - bike and ped'!F19)/J6</f>
        <v>134619.45362209048</v>
      </c>
      <c r="K19" s="51">
        <f>('Travel Time - bike and ped'!G19)/K6</f>
        <v>125812.57347858923</v>
      </c>
      <c r="L19" s="51">
        <f>('Travel Time - bike and ped'!H19)/L6</f>
        <v>117581.8443725133</v>
      </c>
      <c r="M19" s="51">
        <f>('Travel Time - bike and ped'!I19)/M6</f>
        <v>109889.57417991896</v>
      </c>
      <c r="N19" s="51">
        <f>('Travel Time - bike and ped'!J19)/N6</f>
        <v>102700.5366167467</v>
      </c>
      <c r="O19" s="51">
        <f>('Travel Time - bike and ped'!K19)/O6</f>
        <v>95981.809922193162</v>
      </c>
      <c r="P19" s="51">
        <f>('Travel Time - bike and ped'!L19)/P6</f>
        <v>89702.626095507643</v>
      </c>
      <c r="Q19" s="51">
        <f>('Travel Time - bike and ped'!M19)/Q6</f>
        <v>83834.229995801536</v>
      </c>
      <c r="R19" s="51">
        <f>('Travel Time - bike and ped'!N19)/R6</f>
        <v>78349.74765962761</v>
      </c>
      <c r="S19" s="51">
        <f>('Travel Time - bike and ped'!O19)/S6</f>
        <v>73224.063233296823</v>
      </c>
      <c r="T19" s="51">
        <f>('Travel Time - bike and ped'!P19)/T6</f>
        <v>68433.703956352183</v>
      </c>
      <c r="U19" s="51">
        <f>('Travel Time - bike and ped'!Q19)/U6</f>
        <v>63956.732669488018</v>
      </c>
      <c r="V19" s="51">
        <f>('Travel Time - bike and ped'!R19)/V6</f>
        <v>59772.647354661698</v>
      </c>
      <c r="W19" s="51">
        <f>('Travel Time - bike and ped'!S19)/W6</f>
        <v>55862.287247347376</v>
      </c>
      <c r="X19" s="51">
        <f>('Travel Time - bike and ped'!T19)/X6</f>
        <v>52207.74509097886</v>
      </c>
      <c r="Y19" s="51">
        <f>('Travel Time - bike and ped'!U19)/Y6</f>
        <v>48792.28513175594</v>
      </c>
      <c r="Z19" s="51">
        <f>('Travel Time - bike and ped'!V19)/Z6</f>
        <v>45600.266478276579</v>
      </c>
      <c r="AA19" s="51">
        <f>('Travel Time - bike and ped'!W19)/AA6</f>
        <v>42617.071475024837</v>
      </c>
      <c r="AB19" s="51">
        <f>('Travel Time - bike and ped'!X19)/AB6</f>
        <v>39829.038761705458</v>
      </c>
      <c r="AC19" s="51">
        <f>('Travel Time - bike and ped'!Y19)/AC6</f>
        <v>37223.400711874259</v>
      </c>
      <c r="AD19" s="51">
        <f>('Travel Time - bike and ped'!Z19)/AD6</f>
        <v>34788.22496436847</v>
      </c>
      <c r="AE19" s="51">
        <f>('Travel Time - bike and ped'!AA19)/AE6</f>
        <v>32512.359779783608</v>
      </c>
      <c r="AF19" s="51">
        <f>('Travel Time - bike and ped'!AB19)/AF6</f>
        <v>30385.382971760388</v>
      </c>
      <c r="AG19" s="51">
        <f>('Travel Time - bike and ped'!AC19)/AG6</f>
        <v>28397.554179215313</v>
      </c>
    </row>
    <row r="20" spans="1:33" s="70" customFormat="1" ht="18" x14ac:dyDescent="0.35">
      <c r="A20" s="45" t="s">
        <v>182</v>
      </c>
      <c r="B20" s="114">
        <f t="shared" si="5"/>
        <v>473828.69541232148</v>
      </c>
      <c r="C20" s="51"/>
      <c r="D20" s="51"/>
      <c r="E20" s="51"/>
      <c r="F20" s="51"/>
      <c r="G20" s="51"/>
      <c r="H20" s="51"/>
      <c r="I20" s="51">
        <f>Emissions!F11/I7</f>
        <v>25735.833556942853</v>
      </c>
      <c r="J20" s="51">
        <f>Emissions!G11/J7</f>
        <v>25067.831712936571</v>
      </c>
      <c r="K20" s="51">
        <f>Emissions!H11/K7</f>
        <v>24409.774825330533</v>
      </c>
      <c r="L20" s="51">
        <f>Emissions!I11/L7</f>
        <v>23762.045699581613</v>
      </c>
      <c r="M20" s="51">
        <f>Emissions!J11/M7</f>
        <v>23124.975459446818</v>
      </c>
      <c r="N20" s="51">
        <f>Emissions!K11/N7</f>
        <v>22498.847309218643</v>
      </c>
      <c r="O20" s="51">
        <f>Emissions!L11/O7</f>
        <v>21883.900066511462</v>
      </c>
      <c r="P20" s="51">
        <f>Emissions!M11/P7</f>
        <v>21280.331478452081</v>
      </c>
      <c r="Q20" s="51">
        <f>Emissions!N11/Q7</f>
        <v>20688.301333442378</v>
      </c>
      <c r="R20" s="51">
        <f>Emissions!O11/R7</f>
        <v>20417.287216628058</v>
      </c>
      <c r="S20" s="51">
        <f>Emissions!P11/S7</f>
        <v>19835.373413116282</v>
      </c>
      <c r="T20" s="51">
        <f>Emissions!Q11/T7</f>
        <v>19265.851436698125</v>
      </c>
      <c r="U20" s="51">
        <f>Emissions!R11/U7</f>
        <v>18708.73187987036</v>
      </c>
      <c r="V20" s="51">
        <f>Emissions!S11/V7</f>
        <v>18164.001324051806</v>
      </c>
      <c r="W20" s="51">
        <f>Emissions!T11/W7</f>
        <v>17631.624399634264</v>
      </c>
      <c r="X20" s="51">
        <f>Emissions!U11/X7</f>
        <v>17111.545712379677</v>
      </c>
      <c r="Y20" s="51">
        <f>Emissions!V11/Y7</f>
        <v>16603.691643896655</v>
      </c>
      <c r="Z20" s="51">
        <f>Emissions!W11/Z7</f>
        <v>16325.64733125933</v>
      </c>
      <c r="AA20" s="51">
        <f>Emissions!X11/AA7</f>
        <v>15832.60550507778</v>
      </c>
      <c r="AB20" s="51">
        <f>Emissions!Y11/AB7</f>
        <v>15351.877177062652</v>
      </c>
      <c r="AC20" s="51">
        <f>Emissions!Z11/AC7</f>
        <v>14883.31417383233</v>
      </c>
      <c r="AD20" s="51">
        <f>Emissions!AA11/AD7</f>
        <v>14426.758206445022</v>
      </c>
      <c r="AE20" s="51">
        <f>Emissions!AB11/AE7</f>
        <v>13982.04202305573</v>
      </c>
      <c r="AF20" s="51">
        <f>Emissions!AC11/AF7</f>
        <v>13548.990480586521</v>
      </c>
      <c r="AG20" s="51">
        <f>Emissions!AD11/AG7</f>
        <v>13287.512046863902</v>
      </c>
    </row>
    <row r="21" spans="1:33" s="39" customFormat="1" x14ac:dyDescent="0.25">
      <c r="A21" s="45" t="s">
        <v>54</v>
      </c>
      <c r="B21" s="114">
        <f t="shared" si="5"/>
        <v>126794.02886180615</v>
      </c>
      <c r="C21" s="51"/>
      <c r="D21" s="51"/>
      <c r="E21" s="51"/>
      <c r="F21" s="51"/>
      <c r="G21" s="51"/>
      <c r="H21" s="51"/>
      <c r="I21" s="51">
        <f>Emissions!F13/Results!I6</f>
        <v>13819.657655837447</v>
      </c>
      <c r="J21" s="51">
        <f>Emissions!G13/Results!J6</f>
        <v>12367.476600929027</v>
      </c>
      <c r="K21" s="51">
        <f>Emissions!H13/Results!K6</f>
        <v>11112.066884846909</v>
      </c>
      <c r="L21" s="51">
        <f>Emissions!I13/Results!L6</f>
        <v>9982.7895771797939</v>
      </c>
      <c r="M21" s="51">
        <f>Emissions!J13/Results!M6</f>
        <v>8985.853313056874</v>
      </c>
      <c r="N21" s="51">
        <f>Emissions!K13/Results!N6</f>
        <v>8075.8518681815258</v>
      </c>
      <c r="O21" s="51">
        <f>Emissions!L13/Results!O6</f>
        <v>7239.0099556335581</v>
      </c>
      <c r="P21" s="51">
        <f>Emissions!M13/Results!P6</f>
        <v>6467.5211424339468</v>
      </c>
      <c r="Q21" s="51">
        <f>Emissions!N13/Results!Q6</f>
        <v>5788.1817202710627</v>
      </c>
      <c r="R21" s="51">
        <f>Emissions!O13/Results!R6</f>
        <v>5188.7979364302491</v>
      </c>
      <c r="S21" s="51">
        <f>Emissions!P13/Results!S6</f>
        <v>4658.9208225110942</v>
      </c>
      <c r="T21" s="51">
        <f>Emissions!Q13/Results!T6</f>
        <v>4189.5828603848395</v>
      </c>
      <c r="U21" s="51">
        <f>Emissions!R13/Results!U6</f>
        <v>3773.0757816657219</v>
      </c>
      <c r="V21" s="51">
        <f>Emissions!S13/Results!V6</f>
        <v>3402.7629331011199</v>
      </c>
      <c r="W21" s="51">
        <f>Emissions!T13/Results!W6</f>
        <v>3072.9207040075898</v>
      </c>
      <c r="X21" s="51">
        <f>Emissions!U13/Results!X6</f>
        <v>2778.6044016365568</v>
      </c>
      <c r="Y21" s="51">
        <f>Emissions!V13/Results!Y6</f>
        <v>2515.5347047917776</v>
      </c>
      <c r="Z21" s="51">
        <f>Emissions!W13/Results!Z6</f>
        <v>2280.0014490468939</v>
      </c>
      <c r="AA21" s="51">
        <f>Emissions!X13/Results!AA6</f>
        <v>2068.7820184774355</v>
      </c>
      <c r="AB21" s="51">
        <f>Emissions!Y13/Results!AB6</f>
        <v>1879.0720555829739</v>
      </c>
      <c r="AC21" s="51">
        <f>Emissions!Z13/Results!AC6</f>
        <v>1708.4265669366064</v>
      </c>
      <c r="AD21" s="51">
        <f>Emissions!AA13/Results!AD6</f>
        <v>1554.709808672138</v>
      </c>
      <c r="AE21" s="51">
        <f>Emissions!AB13/Results!AE6</f>
        <v>1416.0525929014991</v>
      </c>
      <c r="AF21" s="51">
        <f>Emissions!AC13/Results!AF6</f>
        <v>1290.8158716469554</v>
      </c>
      <c r="AG21" s="51">
        <f>Emissions!AD13/Results!AG6</f>
        <v>1177.5596356425585</v>
      </c>
    </row>
    <row r="22" spans="1:33" s="70" customFormat="1" x14ac:dyDescent="0.25">
      <c r="A22" s="45" t="s">
        <v>198</v>
      </c>
      <c r="B22" s="114">
        <f t="shared" si="5"/>
        <v>1425972.3589673366</v>
      </c>
      <c r="C22" s="51"/>
      <c r="D22" s="51"/>
      <c r="E22" s="51"/>
      <c r="F22" s="51"/>
      <c r="G22" s="51"/>
      <c r="H22" s="51"/>
      <c r="I22" s="258">
        <f>Noise!B14/I6</f>
        <v>1425972.3589673366</v>
      </c>
      <c r="J22" s="51"/>
      <c r="K22" s="51"/>
      <c r="L22" s="51"/>
      <c r="M22" s="51"/>
      <c r="N22" s="51"/>
      <c r="O22" s="51"/>
      <c r="P22" s="51"/>
      <c r="Q22" s="51"/>
      <c r="R22" s="51"/>
      <c r="S22" s="51"/>
      <c r="T22" s="51"/>
      <c r="U22" s="51"/>
      <c r="V22" s="51"/>
      <c r="W22" s="51"/>
      <c r="X22" s="51"/>
      <c r="Y22" s="51"/>
      <c r="Z22" s="51"/>
      <c r="AA22" s="51"/>
      <c r="AB22" s="51"/>
      <c r="AC22" s="51"/>
      <c r="AD22" s="51"/>
      <c r="AE22" s="51"/>
      <c r="AF22" s="51"/>
      <c r="AG22" s="51"/>
    </row>
    <row r="23" spans="1:33" s="70" customFormat="1" x14ac:dyDescent="0.25">
      <c r="A23" s="45" t="s">
        <v>84</v>
      </c>
      <c r="B23" s="114">
        <f t="shared" si="5"/>
        <v>214331.21539188095</v>
      </c>
      <c r="C23" s="51"/>
      <c r="D23" s="51"/>
      <c r="E23" s="51"/>
      <c r="F23" s="51"/>
      <c r="G23" s="51"/>
      <c r="H23" s="51"/>
      <c r="I23" s="51">
        <f>'Fuel Consumption'!B14/I6</f>
        <v>16092.937012020766</v>
      </c>
      <c r="J23" s="51">
        <f>'Fuel Consumption'!C14/J6</f>
        <v>15152.99828620824</v>
      </c>
      <c r="K23" s="51">
        <f>'Fuel Consumption'!D14/K6</f>
        <v>14267.958477083328</v>
      </c>
      <c r="L23" s="51">
        <f>'Fuel Consumption'!E14/L6</f>
        <v>13434.611108552755</v>
      </c>
      <c r="M23" s="51">
        <f>'Fuel Consumption'!F14/M6</f>
        <v>12649.936984884242</v>
      </c>
      <c r="N23" s="51">
        <f>'Fuel Consumption'!G14/N6</f>
        <v>11911.093252239329</v>
      </c>
      <c r="O23" s="51">
        <f>'Fuel Consumption'!H14/O6</f>
        <v>11215.403099088207</v>
      </c>
      <c r="P23" s="51">
        <f>'Fuel Consumption'!I14/P6</f>
        <v>10560.346058191535</v>
      </c>
      <c r="Q23" s="51">
        <f>'Fuel Consumption'!J14/Q6</f>
        <v>9943.5488750135009</v>
      </c>
      <c r="R23" s="51">
        <f>'Fuel Consumption'!K14/R6</f>
        <v>9362.7769094826908</v>
      </c>
      <c r="S23" s="51">
        <f>'Fuel Consumption'!L14/S6</f>
        <v>8815.9260399495179</v>
      </c>
      <c r="T23" s="51">
        <f>'Fuel Consumption'!M14/T6</f>
        <v>8301.0150400084876</v>
      </c>
      <c r="U23" s="51">
        <f>'Fuel Consumption'!N14/U6</f>
        <v>7816.1784005667178</v>
      </c>
      <c r="V23" s="51">
        <f>'Fuel Consumption'!O14/V6</f>
        <v>7359.6595711532682</v>
      </c>
      <c r="W23" s="51">
        <f>'Fuel Consumption'!P14/W6</f>
        <v>6929.8045959826923</v>
      </c>
      <c r="X23" s="51">
        <f>'Fuel Consumption'!Q14/X6</f>
        <v>6525.0561217164723</v>
      </c>
      <c r="Y23" s="51">
        <f>'Fuel Consumption'!R14/Y6</f>
        <v>6143.94775521257</v>
      </c>
      <c r="Z23" s="51">
        <f>'Fuel Consumption'!S14/Z6</f>
        <v>5785.098750821413</v>
      </c>
      <c r="AA23" s="51">
        <f>'Fuel Consumption'!T14/AA6</f>
        <v>5447.2090079804975</v>
      </c>
      <c r="AB23" s="51">
        <f>'Fuel Consumption'!U14/AB6</f>
        <v>5129.0543609840379</v>
      </c>
      <c r="AC23" s="51">
        <f>'Fuel Consumption'!V14/AC6</f>
        <v>4829.4821438626095</v>
      </c>
      <c r="AD23" s="51">
        <f>'Fuel Consumption'!W14/AD6</f>
        <v>4547.4070143044801</v>
      </c>
      <c r="AE23" s="51">
        <f>'Fuel Consumption'!X14/AE6</f>
        <v>4281.8070214887739</v>
      </c>
      <c r="AF23" s="51">
        <f>'Fuel Consumption'!Y14/AF6</f>
        <v>4031.7199035843755</v>
      </c>
      <c r="AG23" s="51">
        <f>'Fuel Consumption'!Z14/AG6</f>
        <v>3796.2396015004565</v>
      </c>
    </row>
    <row r="24" spans="1:33" s="39" customFormat="1" ht="30" x14ac:dyDescent="0.25">
      <c r="A24" s="156" t="s">
        <v>251</v>
      </c>
      <c r="B24" s="114">
        <f t="shared" si="5"/>
        <v>7118458.0325212972</v>
      </c>
      <c r="C24" s="51"/>
      <c r="D24" s="51"/>
      <c r="E24" s="51"/>
      <c r="F24" s="51"/>
      <c r="G24" s="51"/>
      <c r="H24" s="51"/>
      <c r="I24" s="216">
        <f>'Crash Reduction'!M40/I6</f>
        <v>570877.16409743379</v>
      </c>
      <c r="J24" s="216">
        <f>'Crash Reduction'!N40/J6</f>
        <v>533530.0599041438</v>
      </c>
      <c r="K24" s="216">
        <f>'Crash Reduction'!O40/K6</f>
        <v>498626.2242094801</v>
      </c>
      <c r="L24" s="216">
        <f>'Crash Reduction'!P40/L6</f>
        <v>466005.81701820577</v>
      </c>
      <c r="M24" s="216">
        <f>'Crash Reduction'!Q40/M6</f>
        <v>435519.45515720156</v>
      </c>
      <c r="N24" s="216">
        <f>'Crash Reduction'!R40/N6</f>
        <v>407027.52818430058</v>
      </c>
      <c r="O24" s="216">
        <f>'Crash Reduction'!S40/O6</f>
        <v>380399.55905074812</v>
      </c>
      <c r="P24" s="216">
        <f>'Crash Reduction'!T40/P6</f>
        <v>355513.60658948432</v>
      </c>
      <c r="Q24" s="216">
        <f>'Crash Reduction'!U40/Q6</f>
        <v>332255.70709297596</v>
      </c>
      <c r="R24" s="216">
        <f>'Crash Reduction'!V40/R6</f>
        <v>310519.35242334206</v>
      </c>
      <c r="S24" s="216">
        <f>'Crash Reduction'!W40/S6</f>
        <v>290205.0022648056</v>
      </c>
      <c r="T24" s="216">
        <f>'Crash Reduction'!X40/T6</f>
        <v>271219.62828486512</v>
      </c>
      <c r="U24" s="216">
        <f>'Crash Reduction'!Y40/U6</f>
        <v>253476.28811669635</v>
      </c>
      <c r="V24" s="216">
        <f>'Crash Reduction'!Z40/V6</f>
        <v>236893.72721186574</v>
      </c>
      <c r="W24" s="216">
        <f>'Crash Reduction'!AA40/W6</f>
        <v>221396.00674006142</v>
      </c>
      <c r="X24" s="216">
        <f>'Crash Reduction'!AB40/X6</f>
        <v>206912.15583183314</v>
      </c>
      <c r="Y24" s="216">
        <f>'Crash Reduction'!AC40/Y6</f>
        <v>193375.84657180664</v>
      </c>
      <c r="Z24" s="216">
        <f>'Crash Reduction'!AD40/Z6</f>
        <v>180725.09025402489</v>
      </c>
      <c r="AA24" s="216">
        <f>'Crash Reduction'!AE40/AA6</f>
        <v>168901.9535084345</v>
      </c>
      <c r="AB24" s="216">
        <f>'Crash Reduction'!AF40/AB6</f>
        <v>157852.2929985369</v>
      </c>
      <c r="AC24" s="216">
        <f>'Crash Reduction'!AG40/AC6</f>
        <v>147525.50747526812</v>
      </c>
      <c r="AD24" s="216">
        <f>'Crash Reduction'!AH40/AD6</f>
        <v>137874.30605165247</v>
      </c>
      <c r="AE24" s="216">
        <f>'Crash Reduction'!AI40/AE6</f>
        <v>128854.49163705835</v>
      </c>
      <c r="AF24" s="216">
        <f>'Crash Reduction'!AJ40/AF6</f>
        <v>120424.75853930689</v>
      </c>
      <c r="AG24" s="216">
        <f>'Crash Reduction'!AK40/AG6</f>
        <v>112546.50330776344</v>
      </c>
    </row>
    <row r="25" spans="1:33" s="70" customFormat="1" x14ac:dyDescent="0.25">
      <c r="A25" s="45" t="s">
        <v>177</v>
      </c>
      <c r="B25" s="114">
        <f t="shared" si="5"/>
        <v>787733.05613684631</v>
      </c>
      <c r="C25" s="51"/>
      <c r="D25" s="51"/>
      <c r="E25" s="51"/>
      <c r="F25" s="51"/>
      <c r="G25" s="51"/>
      <c r="H25" s="51"/>
      <c r="I25" s="216">
        <f>'Emergency Response'!B10/I6</f>
        <v>63173.627083101295</v>
      </c>
      <c r="J25" s="216">
        <f>'Emergency Response'!C10/J6</f>
        <v>59040.772974861029</v>
      </c>
      <c r="K25" s="216">
        <f>'Emergency Response'!D10/K6</f>
        <v>55178.29249987012</v>
      </c>
      <c r="L25" s="216">
        <f>'Emergency Response'!E10/L6</f>
        <v>51568.497663430018</v>
      </c>
      <c r="M25" s="216">
        <f>'Emergency Response'!F10/M6</f>
        <v>48194.857629373844</v>
      </c>
      <c r="N25" s="216">
        <f>'Emergency Response'!G10/N6</f>
        <v>45041.923018106398</v>
      </c>
      <c r="O25" s="216">
        <f>'Emergency Response'!H10/O6</f>
        <v>42095.255157108775</v>
      </c>
      <c r="P25" s="216">
        <f>'Emergency Response'!I10/P6</f>
        <v>39341.359959914756</v>
      </c>
      <c r="Q25" s="216">
        <f>'Emergency Response'!J10/Q6</f>
        <v>36767.626130761448</v>
      </c>
      <c r="R25" s="216">
        <f>'Emergency Response'!K10/R6</f>
        <v>34362.267411926594</v>
      </c>
      <c r="S25" s="216">
        <f>'Emergency Response'!L10/S6</f>
        <v>32114.268609277184</v>
      </c>
      <c r="T25" s="216">
        <f>'Emergency Response'!M10/T6</f>
        <v>30013.335148857186</v>
      </c>
      <c r="U25" s="216">
        <f>'Emergency Response'!N10/U6</f>
        <v>28049.845933511388</v>
      </c>
      <c r="V25" s="216">
        <f>'Emergency Response'!O10/V6</f>
        <v>26214.809283655501</v>
      </c>
      <c r="W25" s="216">
        <f>'Emergency Response'!P10/W6</f>
        <v>24499.821760425701</v>
      </c>
      <c r="X25" s="216">
        <f>'Emergency Response'!Q10/X6</f>
        <v>22897.029682640845</v>
      </c>
      <c r="Y25" s="216">
        <f>'Emergency Response'!R10/Y6</f>
        <v>21399.09316134658</v>
      </c>
      <c r="Z25" s="216">
        <f>'Emergency Response'!S10/Z6</f>
        <v>19999.152487239797</v>
      </c>
      <c r="AA25" s="216">
        <f>'Emergency Response'!T10/AA6</f>
        <v>18690.796717046538</v>
      </c>
      <c r="AB25" s="216">
        <f>'Emergency Response'!U10/AB6</f>
        <v>17468.034314996763</v>
      </c>
      <c r="AC25" s="216">
        <f>'Emergency Response'!V10/AC6</f>
        <v>16325.265714950245</v>
      </c>
      <c r="AD25" s="216">
        <f>'Emergency Response'!W10/AD6</f>
        <v>15257.257677523596</v>
      </c>
      <c r="AE25" s="216">
        <f>'Emergency Response'!X10/AE6</f>
        <v>14259.119324788404</v>
      </c>
      <c r="AF25" s="216">
        <f>'Emergency Response'!Y10/AF6</f>
        <v>13326.279742792904</v>
      </c>
      <c r="AG25" s="216">
        <f>'Emergency Response'!Z10/AG6</f>
        <v>12454.467049339162</v>
      </c>
    </row>
    <row r="26" spans="1:33" s="70" customFormat="1" ht="30" x14ac:dyDescent="0.25">
      <c r="A26" s="156" t="s">
        <v>120</v>
      </c>
      <c r="B26" s="114">
        <f t="shared" si="5"/>
        <v>222261.57024718355</v>
      </c>
      <c r="C26" s="51"/>
      <c r="D26" s="51"/>
      <c r="E26" s="51"/>
      <c r="F26" s="51"/>
      <c r="G26" s="51"/>
      <c r="H26" s="51"/>
      <c r="I26" s="216">
        <f>(Costs!H10*-1)/I6</f>
        <v>17824.65448709171</v>
      </c>
      <c r="J26" s="216">
        <f>(Costs!I10*-1)/J6</f>
        <v>16658.555595412814</v>
      </c>
      <c r="K26" s="216">
        <f>(Costs!J10*-1)/K6</f>
        <v>15568.743547114778</v>
      </c>
      <c r="L26" s="216">
        <f>(Costs!K10*-1)/L6</f>
        <v>14550.227614125961</v>
      </c>
      <c r="M26" s="216">
        <f>(Costs!L10*-1)/M6</f>
        <v>13598.3435646037</v>
      </c>
      <c r="N26" s="216">
        <f>(Costs!M10*-1)/N6</f>
        <v>12708.732303367944</v>
      </c>
      <c r="O26" s="216">
        <f>(Costs!N10*-1)/O6</f>
        <v>11877.319909689666</v>
      </c>
      <c r="P26" s="216">
        <f>(Costs!O10*-1)/P6</f>
        <v>11100.298981018383</v>
      </c>
      <c r="Q26" s="216">
        <f>(Costs!P10*-1)/Q6</f>
        <v>10374.11119721344</v>
      </c>
      <c r="R26" s="216">
        <f>(Costs!Q10*-1)/R6</f>
        <v>9695.4310254331231</v>
      </c>
      <c r="S26" s="216">
        <f>(Costs!R10*-1)/S6</f>
        <v>9061.150491058992</v>
      </c>
      <c r="T26" s="216">
        <f>(Costs!S10*-1)/T6</f>
        <v>8468.364944914947</v>
      </c>
      <c r="U26" s="216">
        <f>(Costs!T10*-1)/U6</f>
        <v>7914.3597616027537</v>
      </c>
      <c r="V26" s="216">
        <f>(Costs!U10*-1)/V6</f>
        <v>7396.5979080399566</v>
      </c>
      <c r="W26" s="216">
        <f>(Costs!V10*-1)/W6</f>
        <v>6912.7083252709872</v>
      </c>
      <c r="X26" s="216">
        <f>(Costs!W10*-1)/X6</f>
        <v>6460.4750703467171</v>
      </c>
      <c r="Y26" s="216">
        <f>(Costs!X10*-1)/Y6</f>
        <v>6037.8271685483342</v>
      </c>
      <c r="Z26" s="216">
        <f>(Costs!Y10*-1)/Z6</f>
        <v>5642.8291294844239</v>
      </c>
      <c r="AA26" s="216">
        <f>(Costs!Z10*-1)/AA6</f>
        <v>5273.672083630303</v>
      </c>
      <c r="AB26" s="216">
        <f>(Costs!AA10*-1)/AB6</f>
        <v>4928.665498719909</v>
      </c>
      <c r="AC26" s="216">
        <f>(Costs!AB10*-1)/AC6</f>
        <v>4606.2294380559897</v>
      </c>
      <c r="AD26" s="216">
        <f>(Costs!AC10*-1)/AD6</f>
        <v>4304.8873252859721</v>
      </c>
      <c r="AE26" s="216">
        <f>(Costs!AD10*-1)/AE6</f>
        <v>4023.2591825102531</v>
      </c>
      <c r="AF26" s="216">
        <f>(Costs!AE10*-1)/AF6</f>
        <v>3760.0553107572468</v>
      </c>
      <c r="AG26" s="216">
        <f>(Costs!AF10*-1)/AG6</f>
        <v>3514.0703838852774</v>
      </c>
    </row>
    <row r="27" spans="1:33" s="39" customFormat="1" x14ac:dyDescent="0.25">
      <c r="A27" s="154" t="s">
        <v>1</v>
      </c>
      <c r="B27" s="115">
        <f>SUM(B17:B26)</f>
        <v>27688026.973786458</v>
      </c>
      <c r="C27" s="52"/>
      <c r="D27" s="52"/>
      <c r="E27" s="52"/>
      <c r="F27" s="52"/>
      <c r="G27" s="52"/>
      <c r="H27" s="52"/>
      <c r="I27" s="52"/>
      <c r="J27" s="52"/>
      <c r="K27" s="51"/>
      <c r="L27" s="51"/>
      <c r="M27" s="51"/>
      <c r="N27" s="51"/>
      <c r="O27" s="51"/>
      <c r="P27" s="51"/>
      <c r="Q27" s="51"/>
      <c r="R27" s="51"/>
      <c r="S27" s="51"/>
      <c r="T27" s="51"/>
      <c r="U27" s="51"/>
      <c r="V27" s="51"/>
      <c r="W27" s="51"/>
      <c r="X27" s="51"/>
      <c r="Y27" s="51"/>
      <c r="Z27" s="51"/>
      <c r="AA27" s="51"/>
      <c r="AB27" s="51"/>
      <c r="AC27" s="51"/>
      <c r="AD27" s="51"/>
      <c r="AE27" s="51"/>
      <c r="AF27" s="51"/>
    </row>
    <row r="28" spans="1:33" s="39" customFormat="1" x14ac:dyDescent="0.25">
      <c r="A28" s="46"/>
      <c r="B28" s="48"/>
      <c r="K28" s="27"/>
      <c r="L28" s="27"/>
      <c r="M28" s="27"/>
      <c r="N28" s="27"/>
      <c r="O28" s="27"/>
      <c r="P28" s="27"/>
      <c r="Q28" s="27"/>
      <c r="R28" s="27"/>
      <c r="S28" s="27"/>
      <c r="T28" s="27"/>
      <c r="U28" s="27"/>
      <c r="V28" s="27"/>
      <c r="W28" s="27"/>
      <c r="X28" s="27"/>
      <c r="Y28" s="27"/>
      <c r="Z28" s="27"/>
      <c r="AA28" s="27"/>
      <c r="AB28" s="27"/>
      <c r="AC28" s="27"/>
      <c r="AD28" s="27"/>
      <c r="AE28" s="27"/>
      <c r="AF28" s="27"/>
    </row>
    <row r="29" spans="1:33" s="39" customFormat="1" x14ac:dyDescent="0.25">
      <c r="A29" s="40" t="s">
        <v>30</v>
      </c>
      <c r="B29" s="48"/>
      <c r="K29" s="27"/>
      <c r="L29" s="27"/>
      <c r="M29" s="27"/>
      <c r="N29" s="27"/>
      <c r="O29" s="27"/>
      <c r="P29" s="27"/>
      <c r="Q29" s="27"/>
      <c r="R29" s="27"/>
      <c r="S29" s="27"/>
      <c r="T29" s="27"/>
      <c r="U29" s="27"/>
      <c r="V29" s="27"/>
      <c r="W29" s="27"/>
      <c r="X29" s="27"/>
      <c r="Y29" s="27"/>
      <c r="Z29" s="27"/>
      <c r="AA29" s="27"/>
      <c r="AB29" s="27"/>
      <c r="AC29" s="27"/>
      <c r="AD29" s="27"/>
      <c r="AE29" s="27"/>
      <c r="AF29" s="27"/>
    </row>
    <row r="30" spans="1:33" s="39" customFormat="1" x14ac:dyDescent="0.25">
      <c r="A30" s="39" t="s">
        <v>17</v>
      </c>
      <c r="B30" s="47">
        <f>B27/B14</f>
        <v>1.3317583403440894</v>
      </c>
    </row>
    <row r="31" spans="1:33" s="39" customFormat="1" x14ac:dyDescent="0.25">
      <c r="A31" s="39" t="s">
        <v>80</v>
      </c>
      <c r="B31" s="117">
        <f>B27-B14</f>
        <v>6897447.9813300334</v>
      </c>
    </row>
    <row r="32" spans="1:33" s="39" customFormat="1" x14ac:dyDescent="0.25">
      <c r="B32" s="49"/>
      <c r="D32" s="70"/>
    </row>
    <row r="33" spans="1:17" s="39" customFormat="1" x14ac:dyDescent="0.25">
      <c r="A33" s="40" t="s">
        <v>31</v>
      </c>
    </row>
    <row r="34" spans="1:17" s="39" customFormat="1" x14ac:dyDescent="0.25">
      <c r="A34" s="45" t="s">
        <v>174</v>
      </c>
      <c r="B34" s="50">
        <f>B17/$B$27</f>
        <v>0.41889268792815459</v>
      </c>
    </row>
    <row r="35" spans="1:17" s="70" customFormat="1" x14ac:dyDescent="0.25">
      <c r="A35" s="45" t="s">
        <v>171</v>
      </c>
      <c r="B35" s="50">
        <f>B19/$B$27</f>
        <v>6.4869843453453133E-2</v>
      </c>
    </row>
    <row r="36" spans="1:17" s="39" customFormat="1" x14ac:dyDescent="0.25">
      <c r="A36" s="45" t="s">
        <v>28</v>
      </c>
      <c r="B36" s="50">
        <f>(B21+B20)/$B$27</f>
        <v>2.169250719246861E-2</v>
      </c>
    </row>
    <row r="37" spans="1:17" s="70" customFormat="1" x14ac:dyDescent="0.25">
      <c r="A37" s="45" t="s">
        <v>197</v>
      </c>
      <c r="B37" s="50">
        <f>B22/B27</f>
        <v>5.1501407460971156E-2</v>
      </c>
    </row>
    <row r="38" spans="1:17" s="70" customFormat="1" x14ac:dyDescent="0.25">
      <c r="A38" s="45" t="s">
        <v>142</v>
      </c>
      <c r="B38" s="50">
        <f>B18/B27</f>
        <v>0.14172978096856989</v>
      </c>
    </row>
    <row r="39" spans="1:17" s="70" customFormat="1" x14ac:dyDescent="0.25">
      <c r="A39" s="45" t="s">
        <v>186</v>
      </c>
      <c r="B39" s="50">
        <f>B25/B27</f>
        <v>2.8450313808298069E-2</v>
      </c>
    </row>
    <row r="40" spans="1:17" s="39" customFormat="1" x14ac:dyDescent="0.25">
      <c r="A40" s="45" t="s">
        <v>29</v>
      </c>
      <c r="B40" s="50">
        <f>B24/$B$27</f>
        <v>0.2570951711099051</v>
      </c>
      <c r="Q40" s="27"/>
    </row>
    <row r="41" spans="1:17" x14ac:dyDescent="0.25">
      <c r="A41" s="45" t="s">
        <v>84</v>
      </c>
      <c r="B41" s="162">
        <f>B23/B27</f>
        <v>7.7409349389466527E-3</v>
      </c>
      <c r="D41" s="9"/>
    </row>
    <row r="42" spans="1:17" x14ac:dyDescent="0.25">
      <c r="A42" s="45" t="s">
        <v>143</v>
      </c>
      <c r="B42" s="162">
        <f>B26/B27</f>
        <v>8.0273531392326698E-3</v>
      </c>
    </row>
    <row r="43" spans="1:17" x14ac:dyDescent="0.25">
      <c r="B43" s="186">
        <f>SUM(B34:B42)</f>
        <v>1</v>
      </c>
    </row>
  </sheetData>
  <mergeCells count="1">
    <mergeCell ref="G4:H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B6051-F2CD-40C4-8170-27E5BBD05F83}">
  <sheetPr>
    <tabColor rgb="FF92D050"/>
  </sheetPr>
  <dimension ref="A1:AK41"/>
  <sheetViews>
    <sheetView zoomScale="92" zoomScaleNormal="92" workbookViewId="0">
      <selection activeCell="O12" sqref="O12"/>
    </sheetView>
  </sheetViews>
  <sheetFormatPr defaultColWidth="8.5703125" defaultRowHeight="15" x14ac:dyDescent="0.25"/>
  <cols>
    <col min="1" max="1" width="55.5703125" customWidth="1"/>
    <col min="2" max="5" width="10.5703125" customWidth="1"/>
    <col min="6" max="12" width="11.5703125" style="67" customWidth="1"/>
    <col min="13" max="30" width="10.5703125" customWidth="1"/>
    <col min="31" max="35" width="11" bestFit="1" customWidth="1"/>
    <col min="36" max="37" width="11.5703125" customWidth="1"/>
  </cols>
  <sheetData>
    <row r="1" spans="1:13" ht="18.75" x14ac:dyDescent="0.3">
      <c r="A1" s="7" t="s">
        <v>56</v>
      </c>
    </row>
    <row r="2" spans="1:13" ht="15.75" thickBot="1" x14ac:dyDescent="0.3">
      <c r="A2" s="1"/>
      <c r="C2" s="75"/>
    </row>
    <row r="3" spans="1:13" ht="30" x14ac:dyDescent="0.25">
      <c r="A3" s="233" t="s">
        <v>243</v>
      </c>
      <c r="B3" s="234">
        <v>2018</v>
      </c>
      <c r="C3" s="176">
        <v>1991</v>
      </c>
      <c r="D3" s="235">
        <v>1978</v>
      </c>
      <c r="E3" s="236" t="s">
        <v>153</v>
      </c>
      <c r="F3" s="237"/>
      <c r="G3" s="237"/>
      <c r="H3" s="237"/>
      <c r="I3" s="237"/>
      <c r="J3" s="237"/>
      <c r="K3" s="237"/>
      <c r="L3" s="238"/>
    </row>
    <row r="4" spans="1:13" x14ac:dyDescent="0.25">
      <c r="A4" s="239" t="s">
        <v>154</v>
      </c>
      <c r="B4" s="222"/>
      <c r="C4" s="29"/>
      <c r="D4" s="223"/>
      <c r="E4" s="224">
        <v>0</v>
      </c>
      <c r="F4" s="70"/>
      <c r="G4" s="70"/>
      <c r="H4" s="70"/>
      <c r="I4" s="70"/>
      <c r="J4" s="70"/>
      <c r="K4" s="70"/>
      <c r="L4" s="240"/>
    </row>
    <row r="5" spans="1:13" x14ac:dyDescent="0.25">
      <c r="A5" s="239" t="s">
        <v>238</v>
      </c>
      <c r="B5" s="222">
        <v>1</v>
      </c>
      <c r="C5" s="222">
        <v>1</v>
      </c>
      <c r="D5" s="222">
        <v>1</v>
      </c>
      <c r="E5" s="225">
        <f>SUM(B5:D5)/43</f>
        <v>6.9767441860465115E-2</v>
      </c>
      <c r="F5" s="226"/>
      <c r="G5" s="226"/>
      <c r="H5" s="226"/>
      <c r="I5" s="226"/>
      <c r="J5" s="226"/>
      <c r="K5" s="226"/>
      <c r="L5" s="241"/>
    </row>
    <row r="6" spans="1:13" x14ac:dyDescent="0.25">
      <c r="A6" s="239" t="s">
        <v>156</v>
      </c>
      <c r="B6" s="222"/>
      <c r="C6" s="29"/>
      <c r="D6" s="223"/>
      <c r="E6" s="224">
        <v>0</v>
      </c>
      <c r="F6" s="70"/>
      <c r="G6" s="70"/>
      <c r="H6" s="70"/>
      <c r="I6" s="70"/>
      <c r="J6" s="70"/>
      <c r="K6" s="70"/>
      <c r="L6" s="240"/>
    </row>
    <row r="7" spans="1:13" s="67" customFormat="1" x14ac:dyDescent="0.25">
      <c r="A7" s="239" t="s">
        <v>157</v>
      </c>
      <c r="B7" s="222"/>
      <c r="C7" s="29"/>
      <c r="D7" s="223"/>
      <c r="E7" s="224">
        <v>0</v>
      </c>
      <c r="F7" s="70"/>
      <c r="G7" s="70"/>
      <c r="H7" s="70"/>
      <c r="I7" s="70"/>
      <c r="J7" s="70"/>
      <c r="K7" s="70"/>
      <c r="L7" s="240"/>
    </row>
    <row r="8" spans="1:13" s="67" customFormat="1" x14ac:dyDescent="0.25">
      <c r="A8" s="242" t="s">
        <v>144</v>
      </c>
      <c r="B8" s="222"/>
      <c r="C8" s="29"/>
      <c r="D8" s="223"/>
      <c r="E8" s="224">
        <v>0</v>
      </c>
      <c r="F8" s="70"/>
      <c r="G8" s="70"/>
      <c r="H8" s="70"/>
      <c r="I8" s="70"/>
      <c r="J8" s="70"/>
      <c r="K8" s="70"/>
      <c r="L8" s="240"/>
    </row>
    <row r="9" spans="1:13" ht="30" x14ac:dyDescent="0.25">
      <c r="A9" s="243" t="s">
        <v>173</v>
      </c>
      <c r="B9" s="227">
        <v>2010</v>
      </c>
      <c r="C9" s="222">
        <f>B9+1</f>
        <v>2011</v>
      </c>
      <c r="D9" s="222">
        <f t="shared" ref="D9:K9" si="0">C9+1</f>
        <v>2012</v>
      </c>
      <c r="E9" s="222">
        <f t="shared" si="0"/>
        <v>2013</v>
      </c>
      <c r="F9" s="222">
        <f t="shared" si="0"/>
        <v>2014</v>
      </c>
      <c r="G9" s="222">
        <f t="shared" si="0"/>
        <v>2015</v>
      </c>
      <c r="H9" s="222">
        <f t="shared" si="0"/>
        <v>2016</v>
      </c>
      <c r="I9" s="222">
        <f t="shared" si="0"/>
        <v>2017</v>
      </c>
      <c r="J9" s="222">
        <f t="shared" si="0"/>
        <v>2018</v>
      </c>
      <c r="K9" s="222">
        <f t="shared" si="0"/>
        <v>2019</v>
      </c>
      <c r="L9" s="244" t="s">
        <v>153</v>
      </c>
    </row>
    <row r="10" spans="1:13" x14ac:dyDescent="0.25">
      <c r="A10" s="239" t="s">
        <v>154</v>
      </c>
      <c r="B10" s="228"/>
      <c r="C10" s="31"/>
      <c r="D10" s="29"/>
      <c r="E10" s="229"/>
      <c r="F10" s="229"/>
      <c r="G10" s="229"/>
      <c r="H10" s="229"/>
      <c r="I10" s="229"/>
      <c r="J10" s="229"/>
      <c r="K10" s="229"/>
      <c r="L10" s="245"/>
      <c r="M10" s="18"/>
    </row>
    <row r="11" spans="1:13" x14ac:dyDescent="0.25">
      <c r="A11" s="239" t="s">
        <v>238</v>
      </c>
      <c r="B11" s="228"/>
      <c r="C11" s="31"/>
      <c r="D11" s="29"/>
      <c r="E11" s="29"/>
      <c r="F11" s="29"/>
      <c r="G11" s="29"/>
      <c r="H11" s="29"/>
      <c r="I11" s="29"/>
      <c r="J11" s="29"/>
      <c r="K11" s="29"/>
      <c r="L11" s="246"/>
    </row>
    <row r="12" spans="1:13" x14ac:dyDescent="0.25">
      <c r="A12" s="239" t="s">
        <v>156</v>
      </c>
      <c r="B12" s="228">
        <v>3</v>
      </c>
      <c r="C12" s="31">
        <v>4</v>
      </c>
      <c r="D12" s="230">
        <v>4</v>
      </c>
      <c r="E12" s="230">
        <v>2</v>
      </c>
      <c r="F12" s="230">
        <v>5</v>
      </c>
      <c r="G12" s="230">
        <v>3</v>
      </c>
      <c r="H12" s="230">
        <v>4</v>
      </c>
      <c r="I12" s="230">
        <v>3</v>
      </c>
      <c r="J12" s="230">
        <v>2</v>
      </c>
      <c r="K12" s="230">
        <v>4</v>
      </c>
      <c r="L12" s="247">
        <f>SUM(B12:K12)/9</f>
        <v>3.7777777777777777</v>
      </c>
      <c r="M12" s="168"/>
    </row>
    <row r="13" spans="1:13" x14ac:dyDescent="0.25">
      <c r="A13" s="239" t="s">
        <v>157</v>
      </c>
      <c r="B13" s="231"/>
      <c r="C13" s="232"/>
      <c r="D13" s="230"/>
      <c r="E13" s="230"/>
      <c r="F13" s="230"/>
      <c r="G13" s="230"/>
      <c r="H13" s="230"/>
      <c r="I13" s="230"/>
      <c r="J13" s="230"/>
      <c r="K13" s="230"/>
      <c r="L13" s="248"/>
    </row>
    <row r="14" spans="1:13" x14ac:dyDescent="0.25">
      <c r="A14" s="242" t="s">
        <v>144</v>
      </c>
      <c r="B14" s="231">
        <v>7</v>
      </c>
      <c r="C14" s="230">
        <v>5</v>
      </c>
      <c r="D14" s="230">
        <v>3</v>
      </c>
      <c r="E14" s="230">
        <v>5</v>
      </c>
      <c r="F14" s="230">
        <v>7</v>
      </c>
      <c r="G14" s="230">
        <v>9</v>
      </c>
      <c r="H14" s="230">
        <v>9</v>
      </c>
      <c r="I14" s="230">
        <v>4</v>
      </c>
      <c r="J14" s="230">
        <v>1</v>
      </c>
      <c r="K14" s="230">
        <v>8</v>
      </c>
      <c r="L14" s="247">
        <f>SUM(B14:K14)/9</f>
        <v>6.4444444444444446</v>
      </c>
      <c r="M14" s="168"/>
    </row>
    <row r="15" spans="1:13" s="67" customFormat="1" x14ac:dyDescent="0.25">
      <c r="A15" s="249" t="s">
        <v>247</v>
      </c>
      <c r="B15" s="231"/>
      <c r="C15" s="230"/>
      <c r="D15" s="29"/>
      <c r="E15" s="229"/>
      <c r="F15" s="229"/>
      <c r="G15" s="229"/>
      <c r="H15" s="229"/>
      <c r="I15" s="229"/>
      <c r="J15" s="229"/>
      <c r="K15" s="229"/>
      <c r="L15" s="250"/>
      <c r="M15" s="168"/>
    </row>
    <row r="16" spans="1:13" s="67" customFormat="1" ht="15.75" thickBot="1" x14ac:dyDescent="0.3">
      <c r="A16" s="251" t="s">
        <v>154</v>
      </c>
      <c r="B16" s="252"/>
      <c r="C16" s="253"/>
      <c r="D16" s="179"/>
      <c r="E16" s="254"/>
      <c r="F16" s="254"/>
      <c r="G16" s="254"/>
      <c r="H16" s="254"/>
      <c r="I16" s="253">
        <v>1</v>
      </c>
      <c r="J16" s="254"/>
      <c r="K16" s="254"/>
      <c r="L16" s="259">
        <f>I16/25</f>
        <v>0.04</v>
      </c>
      <c r="M16" s="168"/>
    </row>
    <row r="17" spans="1:37" s="67" customFormat="1" x14ac:dyDescent="0.25">
      <c r="A17" s="113"/>
      <c r="B17" s="109"/>
      <c r="C17" s="18"/>
      <c r="E17" s="168"/>
      <c r="F17" s="168"/>
      <c r="G17" s="168"/>
      <c r="H17" s="168"/>
      <c r="I17" s="168"/>
      <c r="J17" s="168"/>
      <c r="K17" s="168"/>
      <c r="L17" s="168"/>
      <c r="M17" s="168"/>
    </row>
    <row r="18" spans="1:37" s="67" customFormat="1" x14ac:dyDescent="0.25">
      <c r="A18" s="113"/>
      <c r="B18" s="109"/>
      <c r="C18" s="18"/>
      <c r="E18" s="168"/>
      <c r="F18" s="168"/>
      <c r="G18" s="168"/>
      <c r="H18" s="168"/>
      <c r="I18" s="168"/>
      <c r="J18" s="168"/>
      <c r="K18" s="168"/>
      <c r="L18" s="168"/>
      <c r="M18" s="168"/>
    </row>
    <row r="19" spans="1:37" s="67" customFormat="1" x14ac:dyDescent="0.25">
      <c r="A19" s="113"/>
      <c r="B19" s="109"/>
      <c r="C19" s="18"/>
      <c r="E19" s="168"/>
      <c r="F19" s="168"/>
      <c r="G19" s="168"/>
      <c r="H19" s="168"/>
      <c r="I19" s="168"/>
      <c r="J19" s="168"/>
      <c r="K19" s="168"/>
      <c r="L19" s="168"/>
      <c r="M19" s="168"/>
    </row>
    <row r="20" spans="1:37" x14ac:dyDescent="0.25">
      <c r="A20" s="172" t="s">
        <v>236</v>
      </c>
      <c r="B20" s="21"/>
      <c r="E20" s="67"/>
      <c r="M20" s="69">
        <v>2025</v>
      </c>
      <c r="N20" s="69">
        <f t="shared" ref="N20:AH20" si="1">M20+1</f>
        <v>2026</v>
      </c>
      <c r="O20" s="69">
        <f t="shared" si="1"/>
        <v>2027</v>
      </c>
      <c r="P20" s="69">
        <f t="shared" si="1"/>
        <v>2028</v>
      </c>
      <c r="Q20" s="69">
        <f t="shared" si="1"/>
        <v>2029</v>
      </c>
      <c r="R20" s="69">
        <f t="shared" si="1"/>
        <v>2030</v>
      </c>
      <c r="S20" s="69">
        <f t="shared" si="1"/>
        <v>2031</v>
      </c>
      <c r="T20" s="69">
        <f t="shared" si="1"/>
        <v>2032</v>
      </c>
      <c r="U20" s="69">
        <f t="shared" si="1"/>
        <v>2033</v>
      </c>
      <c r="V20" s="69">
        <f t="shared" si="1"/>
        <v>2034</v>
      </c>
      <c r="W20" s="69">
        <f t="shared" si="1"/>
        <v>2035</v>
      </c>
      <c r="X20" s="99">
        <f t="shared" si="1"/>
        <v>2036</v>
      </c>
      <c r="Y20" s="69">
        <f t="shared" si="1"/>
        <v>2037</v>
      </c>
      <c r="Z20" s="69">
        <f t="shared" si="1"/>
        <v>2038</v>
      </c>
      <c r="AA20" s="69">
        <f t="shared" si="1"/>
        <v>2039</v>
      </c>
      <c r="AB20" s="69">
        <f t="shared" si="1"/>
        <v>2040</v>
      </c>
      <c r="AC20" s="69">
        <f t="shared" si="1"/>
        <v>2041</v>
      </c>
      <c r="AD20" s="69">
        <f t="shared" si="1"/>
        <v>2042</v>
      </c>
      <c r="AE20" s="69">
        <f t="shared" si="1"/>
        <v>2043</v>
      </c>
      <c r="AF20" s="69">
        <f t="shared" si="1"/>
        <v>2044</v>
      </c>
      <c r="AG20" s="69">
        <f t="shared" si="1"/>
        <v>2045</v>
      </c>
      <c r="AH20" s="69">
        <f t="shared" si="1"/>
        <v>2046</v>
      </c>
      <c r="AI20" s="69">
        <f t="shared" ref="AI20" si="2">AH20+1</f>
        <v>2047</v>
      </c>
      <c r="AJ20" s="69">
        <f t="shared" ref="AJ20" si="3">AI20+1</f>
        <v>2048</v>
      </c>
      <c r="AK20" s="69">
        <f t="shared" ref="AK20" si="4">AJ20+1</f>
        <v>2049</v>
      </c>
    </row>
    <row r="21" spans="1:37" x14ac:dyDescent="0.25">
      <c r="A21" s="2" t="s">
        <v>154</v>
      </c>
      <c r="B21" s="110"/>
      <c r="C21" s="111"/>
      <c r="D21" s="111"/>
      <c r="E21" s="111"/>
      <c r="F21" s="111"/>
      <c r="G21" s="111"/>
      <c r="H21" s="111"/>
      <c r="I21" s="111"/>
      <c r="J21" s="111"/>
      <c r="K21" s="111"/>
      <c r="L21" s="111"/>
      <c r="M21" s="174">
        <f>$L10*0.5</f>
        <v>0</v>
      </c>
      <c r="N21" s="174">
        <f>M21</f>
        <v>0</v>
      </c>
      <c r="O21" s="174">
        <f t="shared" ref="O21:AK25" si="5">N21</f>
        <v>0</v>
      </c>
      <c r="P21" s="174">
        <f t="shared" si="5"/>
        <v>0</v>
      </c>
      <c r="Q21" s="174">
        <f t="shared" si="5"/>
        <v>0</v>
      </c>
      <c r="R21" s="174">
        <f t="shared" si="5"/>
        <v>0</v>
      </c>
      <c r="S21" s="174">
        <f t="shared" si="5"/>
        <v>0</v>
      </c>
      <c r="T21" s="174">
        <f t="shared" si="5"/>
        <v>0</v>
      </c>
      <c r="U21" s="174">
        <f t="shared" si="5"/>
        <v>0</v>
      </c>
      <c r="V21" s="174">
        <f t="shared" si="5"/>
        <v>0</v>
      </c>
      <c r="W21" s="174">
        <f t="shared" si="5"/>
        <v>0</v>
      </c>
      <c r="X21" s="174">
        <f t="shared" si="5"/>
        <v>0</v>
      </c>
      <c r="Y21" s="174">
        <f t="shared" si="5"/>
        <v>0</v>
      </c>
      <c r="Z21" s="174">
        <f t="shared" si="5"/>
        <v>0</v>
      </c>
      <c r="AA21" s="174">
        <f t="shared" si="5"/>
        <v>0</v>
      </c>
      <c r="AB21" s="174">
        <f t="shared" si="5"/>
        <v>0</v>
      </c>
      <c r="AC21" s="174">
        <f t="shared" si="5"/>
        <v>0</v>
      </c>
      <c r="AD21" s="174">
        <f t="shared" si="5"/>
        <v>0</v>
      </c>
      <c r="AE21" s="174">
        <f t="shared" si="5"/>
        <v>0</v>
      </c>
      <c r="AF21" s="174">
        <f t="shared" si="5"/>
        <v>0</v>
      </c>
      <c r="AG21" s="174">
        <f t="shared" si="5"/>
        <v>0</v>
      </c>
      <c r="AH21" s="174">
        <f t="shared" si="5"/>
        <v>0</v>
      </c>
      <c r="AI21" s="174">
        <f t="shared" si="5"/>
        <v>0</v>
      </c>
      <c r="AJ21" s="174">
        <f t="shared" si="5"/>
        <v>0</v>
      </c>
      <c r="AK21" s="174">
        <f t="shared" si="5"/>
        <v>0</v>
      </c>
    </row>
    <row r="22" spans="1:37" s="67" customFormat="1" x14ac:dyDescent="0.25">
      <c r="A22" s="2" t="s">
        <v>238</v>
      </c>
      <c r="B22" s="110"/>
      <c r="C22" s="111"/>
      <c r="D22" s="111"/>
      <c r="E22" s="168">
        <f>B22/10</f>
        <v>0</v>
      </c>
      <c r="F22" s="168"/>
      <c r="G22" s="168"/>
      <c r="H22" s="168"/>
      <c r="I22" s="168"/>
      <c r="J22" s="168"/>
      <c r="K22" s="168"/>
      <c r="L22" s="168"/>
      <c r="M22" s="174">
        <f>$L11*0.5</f>
        <v>0</v>
      </c>
      <c r="N22" s="174">
        <f t="shared" ref="N22:AC25" si="6">M22</f>
        <v>0</v>
      </c>
      <c r="O22" s="174">
        <f t="shared" si="6"/>
        <v>0</v>
      </c>
      <c r="P22" s="174">
        <f t="shared" si="6"/>
        <v>0</v>
      </c>
      <c r="Q22" s="174">
        <f t="shared" si="6"/>
        <v>0</v>
      </c>
      <c r="R22" s="174">
        <f t="shared" si="6"/>
        <v>0</v>
      </c>
      <c r="S22" s="174">
        <f t="shared" si="6"/>
        <v>0</v>
      </c>
      <c r="T22" s="174">
        <f t="shared" si="6"/>
        <v>0</v>
      </c>
      <c r="U22" s="174">
        <f t="shared" si="6"/>
        <v>0</v>
      </c>
      <c r="V22" s="174">
        <f t="shared" si="6"/>
        <v>0</v>
      </c>
      <c r="W22" s="174">
        <f t="shared" si="6"/>
        <v>0</v>
      </c>
      <c r="X22" s="174">
        <f t="shared" si="6"/>
        <v>0</v>
      </c>
      <c r="Y22" s="174">
        <f t="shared" si="6"/>
        <v>0</v>
      </c>
      <c r="Z22" s="174">
        <f t="shared" si="6"/>
        <v>0</v>
      </c>
      <c r="AA22" s="174">
        <f t="shared" si="6"/>
        <v>0</v>
      </c>
      <c r="AB22" s="174">
        <f t="shared" si="6"/>
        <v>0</v>
      </c>
      <c r="AC22" s="174">
        <f t="shared" si="6"/>
        <v>0</v>
      </c>
      <c r="AD22" s="174">
        <f t="shared" si="5"/>
        <v>0</v>
      </c>
      <c r="AE22" s="174">
        <f t="shared" si="5"/>
        <v>0</v>
      </c>
      <c r="AF22" s="174">
        <f t="shared" si="5"/>
        <v>0</v>
      </c>
      <c r="AG22" s="174">
        <f t="shared" si="5"/>
        <v>0</v>
      </c>
      <c r="AH22" s="174">
        <f t="shared" si="5"/>
        <v>0</v>
      </c>
      <c r="AI22" s="174">
        <f t="shared" si="5"/>
        <v>0</v>
      </c>
      <c r="AJ22" s="174">
        <f t="shared" si="5"/>
        <v>0</v>
      </c>
      <c r="AK22" s="174">
        <f t="shared" si="5"/>
        <v>0</v>
      </c>
    </row>
    <row r="23" spans="1:37" x14ac:dyDescent="0.25">
      <c r="A23" s="2" t="s">
        <v>156</v>
      </c>
      <c r="B23" s="110"/>
      <c r="C23" s="111"/>
      <c r="D23" s="111"/>
      <c r="E23" s="111"/>
      <c r="F23" s="111"/>
      <c r="G23" s="111"/>
      <c r="H23" s="111"/>
      <c r="I23" s="111"/>
      <c r="J23" s="111"/>
      <c r="K23" s="111"/>
      <c r="L23" s="111"/>
      <c r="M23" s="174">
        <f>$L12*0.5</f>
        <v>1.8888888888888888</v>
      </c>
      <c r="N23" s="174">
        <f t="shared" si="6"/>
        <v>1.8888888888888888</v>
      </c>
      <c r="O23" s="174">
        <f t="shared" si="5"/>
        <v>1.8888888888888888</v>
      </c>
      <c r="P23" s="174">
        <f t="shared" si="5"/>
        <v>1.8888888888888888</v>
      </c>
      <c r="Q23" s="174">
        <f t="shared" si="5"/>
        <v>1.8888888888888888</v>
      </c>
      <c r="R23" s="174">
        <f t="shared" si="5"/>
        <v>1.8888888888888888</v>
      </c>
      <c r="S23" s="174">
        <f t="shared" si="5"/>
        <v>1.8888888888888888</v>
      </c>
      <c r="T23" s="174">
        <f t="shared" si="5"/>
        <v>1.8888888888888888</v>
      </c>
      <c r="U23" s="174">
        <f t="shared" si="5"/>
        <v>1.8888888888888888</v>
      </c>
      <c r="V23" s="174">
        <f t="shared" si="5"/>
        <v>1.8888888888888888</v>
      </c>
      <c r="W23" s="174">
        <f t="shared" si="5"/>
        <v>1.8888888888888888</v>
      </c>
      <c r="X23" s="174">
        <f t="shared" si="5"/>
        <v>1.8888888888888888</v>
      </c>
      <c r="Y23" s="174">
        <f t="shared" si="5"/>
        <v>1.8888888888888888</v>
      </c>
      <c r="Z23" s="174">
        <f t="shared" si="5"/>
        <v>1.8888888888888888</v>
      </c>
      <c r="AA23" s="174">
        <f t="shared" si="5"/>
        <v>1.8888888888888888</v>
      </c>
      <c r="AB23" s="174">
        <f t="shared" si="5"/>
        <v>1.8888888888888888</v>
      </c>
      <c r="AC23" s="174">
        <f t="shared" si="5"/>
        <v>1.8888888888888888</v>
      </c>
      <c r="AD23" s="174">
        <f t="shared" si="5"/>
        <v>1.8888888888888888</v>
      </c>
      <c r="AE23" s="174">
        <f t="shared" si="5"/>
        <v>1.8888888888888888</v>
      </c>
      <c r="AF23" s="174">
        <f t="shared" si="5"/>
        <v>1.8888888888888888</v>
      </c>
      <c r="AG23" s="174">
        <f t="shared" si="5"/>
        <v>1.8888888888888888</v>
      </c>
      <c r="AH23" s="174">
        <f t="shared" si="5"/>
        <v>1.8888888888888888</v>
      </c>
      <c r="AI23" s="174">
        <f t="shared" si="5"/>
        <v>1.8888888888888888</v>
      </c>
      <c r="AJ23" s="174">
        <f t="shared" si="5"/>
        <v>1.8888888888888888</v>
      </c>
      <c r="AK23" s="174">
        <f t="shared" si="5"/>
        <v>1.8888888888888888</v>
      </c>
    </row>
    <row r="24" spans="1:37" s="67" customFormat="1" x14ac:dyDescent="0.25">
      <c r="A24" s="2" t="s">
        <v>157</v>
      </c>
      <c r="B24" s="110"/>
      <c r="C24" s="111"/>
      <c r="D24" s="111"/>
      <c r="E24" s="111"/>
      <c r="F24" s="111"/>
      <c r="G24" s="111"/>
      <c r="H24" s="111"/>
      <c r="I24" s="111"/>
      <c r="J24" s="111"/>
      <c r="K24" s="111"/>
      <c r="L24" s="111"/>
      <c r="M24" s="174">
        <f>$L13*0.5</f>
        <v>0</v>
      </c>
      <c r="N24" s="174">
        <f t="shared" si="6"/>
        <v>0</v>
      </c>
      <c r="O24" s="174">
        <f t="shared" si="5"/>
        <v>0</v>
      </c>
      <c r="P24" s="174">
        <f t="shared" si="5"/>
        <v>0</v>
      </c>
      <c r="Q24" s="174">
        <f t="shared" si="5"/>
        <v>0</v>
      </c>
      <c r="R24" s="174">
        <f t="shared" si="5"/>
        <v>0</v>
      </c>
      <c r="S24" s="174">
        <f t="shared" si="5"/>
        <v>0</v>
      </c>
      <c r="T24" s="174">
        <f t="shared" si="5"/>
        <v>0</v>
      </c>
      <c r="U24" s="174">
        <f t="shared" si="5"/>
        <v>0</v>
      </c>
      <c r="V24" s="174">
        <f t="shared" si="5"/>
        <v>0</v>
      </c>
      <c r="W24" s="174">
        <f t="shared" si="5"/>
        <v>0</v>
      </c>
      <c r="X24" s="174">
        <f t="shared" si="5"/>
        <v>0</v>
      </c>
      <c r="Y24" s="174">
        <f t="shared" si="5"/>
        <v>0</v>
      </c>
      <c r="Z24" s="174">
        <f t="shared" si="5"/>
        <v>0</v>
      </c>
      <c r="AA24" s="174">
        <f t="shared" si="5"/>
        <v>0</v>
      </c>
      <c r="AB24" s="174">
        <f t="shared" si="5"/>
        <v>0</v>
      </c>
      <c r="AC24" s="174">
        <f t="shared" si="5"/>
        <v>0</v>
      </c>
      <c r="AD24" s="174">
        <f t="shared" si="5"/>
        <v>0</v>
      </c>
      <c r="AE24" s="174">
        <f t="shared" si="5"/>
        <v>0</v>
      </c>
      <c r="AF24" s="174">
        <f t="shared" si="5"/>
        <v>0</v>
      </c>
      <c r="AG24" s="174">
        <f t="shared" si="5"/>
        <v>0</v>
      </c>
      <c r="AH24" s="174">
        <f t="shared" si="5"/>
        <v>0</v>
      </c>
      <c r="AI24" s="174">
        <f t="shared" si="5"/>
        <v>0</v>
      </c>
      <c r="AJ24" s="174">
        <f t="shared" si="5"/>
        <v>0</v>
      </c>
      <c r="AK24" s="174">
        <f t="shared" si="5"/>
        <v>0</v>
      </c>
    </row>
    <row r="25" spans="1:37" x14ac:dyDescent="0.25">
      <c r="A25" s="113" t="s">
        <v>144</v>
      </c>
      <c r="B25" s="110"/>
      <c r="C25" s="111"/>
      <c r="D25" s="111"/>
      <c r="E25" s="111"/>
      <c r="F25" s="111"/>
      <c r="G25" s="111"/>
      <c r="H25" s="111"/>
      <c r="I25" s="111"/>
      <c r="J25" s="111"/>
      <c r="K25" s="111"/>
      <c r="L25" s="111"/>
      <c r="M25" s="174">
        <f>$L14*0.5</f>
        <v>3.2222222222222223</v>
      </c>
      <c r="N25" s="174">
        <f t="shared" si="6"/>
        <v>3.2222222222222223</v>
      </c>
      <c r="O25" s="174">
        <f t="shared" si="5"/>
        <v>3.2222222222222223</v>
      </c>
      <c r="P25" s="174">
        <f t="shared" si="5"/>
        <v>3.2222222222222223</v>
      </c>
      <c r="Q25" s="174">
        <f t="shared" si="5"/>
        <v>3.2222222222222223</v>
      </c>
      <c r="R25" s="174">
        <f t="shared" si="5"/>
        <v>3.2222222222222223</v>
      </c>
      <c r="S25" s="174">
        <f t="shared" si="5"/>
        <v>3.2222222222222223</v>
      </c>
      <c r="T25" s="174">
        <f t="shared" si="5"/>
        <v>3.2222222222222223</v>
      </c>
      <c r="U25" s="174">
        <f t="shared" si="5"/>
        <v>3.2222222222222223</v>
      </c>
      <c r="V25" s="174">
        <f t="shared" si="5"/>
        <v>3.2222222222222223</v>
      </c>
      <c r="W25" s="174">
        <f t="shared" si="5"/>
        <v>3.2222222222222223</v>
      </c>
      <c r="X25" s="174">
        <f t="shared" si="5"/>
        <v>3.2222222222222223</v>
      </c>
      <c r="Y25" s="174">
        <f t="shared" si="5"/>
        <v>3.2222222222222223</v>
      </c>
      <c r="Z25" s="174">
        <f t="shared" si="5"/>
        <v>3.2222222222222223</v>
      </c>
      <c r="AA25" s="174">
        <f t="shared" si="5"/>
        <v>3.2222222222222223</v>
      </c>
      <c r="AB25" s="174">
        <f t="shared" si="5"/>
        <v>3.2222222222222223</v>
      </c>
      <c r="AC25" s="174">
        <f t="shared" si="5"/>
        <v>3.2222222222222223</v>
      </c>
      <c r="AD25" s="174">
        <f t="shared" si="5"/>
        <v>3.2222222222222223</v>
      </c>
      <c r="AE25" s="174">
        <f t="shared" si="5"/>
        <v>3.2222222222222223</v>
      </c>
      <c r="AF25" s="174">
        <f t="shared" si="5"/>
        <v>3.2222222222222223</v>
      </c>
      <c r="AG25" s="174">
        <f t="shared" si="5"/>
        <v>3.2222222222222223</v>
      </c>
      <c r="AH25" s="174">
        <f t="shared" si="5"/>
        <v>3.2222222222222223</v>
      </c>
      <c r="AI25" s="174">
        <f t="shared" si="5"/>
        <v>3.2222222222222223</v>
      </c>
      <c r="AJ25" s="174">
        <f t="shared" si="5"/>
        <v>3.2222222222222223</v>
      </c>
      <c r="AK25" s="174">
        <f t="shared" si="5"/>
        <v>3.2222222222222223</v>
      </c>
    </row>
    <row r="26" spans="1:37" s="67" customFormat="1" x14ac:dyDescent="0.25">
      <c r="A26" s="113"/>
      <c r="B26" s="110"/>
      <c r="C26" s="111"/>
      <c r="D26" s="111"/>
      <c r="E26" s="111"/>
      <c r="F26" s="111"/>
      <c r="G26" s="111"/>
      <c r="H26" s="111"/>
      <c r="I26" s="111"/>
      <c r="J26" s="111"/>
      <c r="K26" s="111"/>
      <c r="L26" s="111"/>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row>
    <row r="27" spans="1:37" s="67" customFormat="1" x14ac:dyDescent="0.25">
      <c r="A27" s="14" t="s">
        <v>237</v>
      </c>
      <c r="B27" s="110"/>
      <c r="C27" s="111"/>
      <c r="D27" s="111"/>
      <c r="E27" s="111"/>
      <c r="F27" s="111"/>
      <c r="G27" s="111"/>
      <c r="H27" s="111"/>
      <c r="I27" s="111"/>
      <c r="J27" s="111"/>
      <c r="K27" s="111"/>
      <c r="L27" s="111"/>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row>
    <row r="28" spans="1:37" s="67" customFormat="1" x14ac:dyDescent="0.25">
      <c r="A28" s="113" t="s">
        <v>238</v>
      </c>
      <c r="B28" s="110"/>
      <c r="C28" s="111"/>
      <c r="D28" s="111"/>
      <c r="E28" s="111"/>
      <c r="F28" s="111"/>
      <c r="G28" s="111"/>
      <c r="H28" s="111"/>
      <c r="I28" s="111"/>
      <c r="J28" s="111"/>
      <c r="K28" s="111"/>
      <c r="L28" s="111"/>
      <c r="M28" s="111">
        <f>E5</f>
        <v>6.9767441860465115E-2</v>
      </c>
      <c r="N28" s="111">
        <f>M28</f>
        <v>6.9767441860465115E-2</v>
      </c>
      <c r="O28" s="111">
        <f t="shared" ref="O28:AK28" si="7">N28</f>
        <v>6.9767441860465115E-2</v>
      </c>
      <c r="P28" s="111">
        <f t="shared" si="7"/>
        <v>6.9767441860465115E-2</v>
      </c>
      <c r="Q28" s="111">
        <f t="shared" si="7"/>
        <v>6.9767441860465115E-2</v>
      </c>
      <c r="R28" s="111">
        <f t="shared" si="7"/>
        <v>6.9767441860465115E-2</v>
      </c>
      <c r="S28" s="111">
        <f t="shared" si="7"/>
        <v>6.9767441860465115E-2</v>
      </c>
      <c r="T28" s="111">
        <f t="shared" si="7"/>
        <v>6.9767441860465115E-2</v>
      </c>
      <c r="U28" s="111">
        <f t="shared" si="7"/>
        <v>6.9767441860465115E-2</v>
      </c>
      <c r="V28" s="111">
        <f t="shared" si="7"/>
        <v>6.9767441860465115E-2</v>
      </c>
      <c r="W28" s="111">
        <f t="shared" si="7"/>
        <v>6.9767441860465115E-2</v>
      </c>
      <c r="X28" s="111">
        <f t="shared" si="7"/>
        <v>6.9767441860465115E-2</v>
      </c>
      <c r="Y28" s="111">
        <f t="shared" si="7"/>
        <v>6.9767441860465115E-2</v>
      </c>
      <c r="Z28" s="111">
        <f t="shared" si="7"/>
        <v>6.9767441860465115E-2</v>
      </c>
      <c r="AA28" s="111">
        <f t="shared" si="7"/>
        <v>6.9767441860465115E-2</v>
      </c>
      <c r="AB28" s="111">
        <f t="shared" si="7"/>
        <v>6.9767441860465115E-2</v>
      </c>
      <c r="AC28" s="111">
        <f t="shared" si="7"/>
        <v>6.9767441860465115E-2</v>
      </c>
      <c r="AD28" s="111">
        <f t="shared" si="7"/>
        <v>6.9767441860465115E-2</v>
      </c>
      <c r="AE28" s="111">
        <f t="shared" si="7"/>
        <v>6.9767441860465115E-2</v>
      </c>
      <c r="AF28" s="111">
        <f t="shared" si="7"/>
        <v>6.9767441860465115E-2</v>
      </c>
      <c r="AG28" s="111">
        <f t="shared" si="7"/>
        <v>6.9767441860465115E-2</v>
      </c>
      <c r="AH28" s="111">
        <f t="shared" si="7"/>
        <v>6.9767441860465115E-2</v>
      </c>
      <c r="AI28" s="111">
        <f t="shared" si="7"/>
        <v>6.9767441860465115E-2</v>
      </c>
      <c r="AJ28" s="111">
        <f t="shared" si="7"/>
        <v>6.9767441860465115E-2</v>
      </c>
      <c r="AK28" s="111">
        <f t="shared" si="7"/>
        <v>6.9767441860465115E-2</v>
      </c>
    </row>
    <row r="29" spans="1:37" s="67" customFormat="1" x14ac:dyDescent="0.25">
      <c r="B29" s="110"/>
      <c r="C29" s="111"/>
      <c r="D29" s="111"/>
      <c r="E29" s="111"/>
      <c r="F29" s="111"/>
      <c r="G29" s="111"/>
      <c r="H29" s="111"/>
      <c r="I29" s="111"/>
      <c r="J29" s="111"/>
      <c r="K29" s="111"/>
      <c r="L29" s="111"/>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row>
    <row r="30" spans="1:37" s="67" customFormat="1" x14ac:dyDescent="0.25">
      <c r="A30" s="14" t="s">
        <v>246</v>
      </c>
      <c r="B30" s="110"/>
      <c r="C30" s="111"/>
      <c r="D30" s="111"/>
      <c r="E30" s="111"/>
      <c r="F30" s="111"/>
      <c r="G30" s="111"/>
      <c r="H30" s="111"/>
      <c r="I30" s="111"/>
      <c r="J30" s="111"/>
      <c r="K30" s="111"/>
      <c r="L30" s="111"/>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row>
    <row r="31" spans="1:37" s="67" customFormat="1" x14ac:dyDescent="0.25">
      <c r="A31" s="2" t="s">
        <v>154</v>
      </c>
      <c r="B31" s="110"/>
      <c r="C31" s="111"/>
      <c r="D31" s="111"/>
      <c r="E31" s="111"/>
      <c r="F31" s="111"/>
      <c r="G31" s="111"/>
      <c r="H31" s="111"/>
      <c r="I31" s="111"/>
      <c r="J31" s="111"/>
      <c r="K31" s="111"/>
      <c r="L31" s="111"/>
      <c r="M31" s="111">
        <f>I16/25</f>
        <v>0.04</v>
      </c>
      <c r="N31" s="111">
        <f>M31</f>
        <v>0.04</v>
      </c>
      <c r="O31" s="111">
        <f t="shared" ref="O31:AK31" si="8">N31</f>
        <v>0.04</v>
      </c>
      <c r="P31" s="111">
        <f t="shared" si="8"/>
        <v>0.04</v>
      </c>
      <c r="Q31" s="111">
        <f t="shared" si="8"/>
        <v>0.04</v>
      </c>
      <c r="R31" s="111">
        <f t="shared" si="8"/>
        <v>0.04</v>
      </c>
      <c r="S31" s="111">
        <f t="shared" si="8"/>
        <v>0.04</v>
      </c>
      <c r="T31" s="111">
        <f t="shared" si="8"/>
        <v>0.04</v>
      </c>
      <c r="U31" s="111">
        <f t="shared" si="8"/>
        <v>0.04</v>
      </c>
      <c r="V31" s="111">
        <f t="shared" si="8"/>
        <v>0.04</v>
      </c>
      <c r="W31" s="111">
        <f t="shared" si="8"/>
        <v>0.04</v>
      </c>
      <c r="X31" s="111">
        <f t="shared" si="8"/>
        <v>0.04</v>
      </c>
      <c r="Y31" s="111">
        <f t="shared" si="8"/>
        <v>0.04</v>
      </c>
      <c r="Z31" s="111">
        <f t="shared" si="8"/>
        <v>0.04</v>
      </c>
      <c r="AA31" s="111">
        <f t="shared" si="8"/>
        <v>0.04</v>
      </c>
      <c r="AB31" s="111">
        <f t="shared" si="8"/>
        <v>0.04</v>
      </c>
      <c r="AC31" s="111">
        <f t="shared" si="8"/>
        <v>0.04</v>
      </c>
      <c r="AD31" s="111">
        <f t="shared" si="8"/>
        <v>0.04</v>
      </c>
      <c r="AE31" s="111">
        <f t="shared" si="8"/>
        <v>0.04</v>
      </c>
      <c r="AF31" s="111">
        <f t="shared" si="8"/>
        <v>0.04</v>
      </c>
      <c r="AG31" s="111">
        <f t="shared" si="8"/>
        <v>0.04</v>
      </c>
      <c r="AH31" s="111">
        <f t="shared" si="8"/>
        <v>0.04</v>
      </c>
      <c r="AI31" s="111">
        <f t="shared" si="8"/>
        <v>0.04</v>
      </c>
      <c r="AJ31" s="111">
        <f t="shared" si="8"/>
        <v>0.04</v>
      </c>
      <c r="AK31" s="111">
        <f t="shared" si="8"/>
        <v>0.04</v>
      </c>
    </row>
    <row r="32" spans="1:37" s="67" customFormat="1" x14ac:dyDescent="0.25">
      <c r="A32" s="2"/>
      <c r="B32" s="110"/>
      <c r="C32" s="111"/>
      <c r="D32" s="111"/>
      <c r="E32" s="111"/>
      <c r="F32" s="111"/>
      <c r="G32" s="111"/>
      <c r="H32" s="111"/>
      <c r="I32" s="111"/>
      <c r="J32" s="111"/>
      <c r="K32" s="111"/>
      <c r="L32" s="111"/>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row>
    <row r="33" spans="1:37" s="67" customFormat="1" x14ac:dyDescent="0.25">
      <c r="A33" s="113"/>
      <c r="B33" s="110"/>
      <c r="C33" s="111"/>
      <c r="D33" s="111"/>
      <c r="E33" s="111"/>
      <c r="F33" s="111"/>
      <c r="G33" s="111"/>
      <c r="H33" s="111"/>
      <c r="I33" s="111"/>
      <c r="J33" s="111"/>
      <c r="K33" s="111"/>
      <c r="L33" s="111"/>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row>
    <row r="34" spans="1:37" x14ac:dyDescent="0.25">
      <c r="A34" s="173" t="s">
        <v>239</v>
      </c>
      <c r="B34" s="19"/>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row>
    <row r="35" spans="1:37" x14ac:dyDescent="0.25">
      <c r="A35" s="2" t="s">
        <v>154</v>
      </c>
      <c r="B35" s="19"/>
      <c r="C35" s="18"/>
      <c r="D35" s="18"/>
      <c r="E35" s="18"/>
      <c r="F35" s="18"/>
      <c r="G35" s="18"/>
      <c r="H35" s="18"/>
      <c r="I35" s="18"/>
      <c r="J35" s="18"/>
      <c r="K35" s="18"/>
      <c r="L35" s="18"/>
      <c r="M35" s="18">
        <f>M31*' Look Up Data'!I45</f>
        <v>464000</v>
      </c>
      <c r="N35" s="18">
        <f>N31*' Look Up Data'!J45</f>
        <v>464000</v>
      </c>
      <c r="O35" s="18">
        <f>O31*' Look Up Data'!K45</f>
        <v>464000</v>
      </c>
      <c r="P35" s="18">
        <f>P31*' Look Up Data'!L45</f>
        <v>464000</v>
      </c>
      <c r="Q35" s="18">
        <f>Q31*' Look Up Data'!M45</f>
        <v>464000</v>
      </c>
      <c r="R35" s="18">
        <f>R31*' Look Up Data'!N45</f>
        <v>464000</v>
      </c>
      <c r="S35" s="18">
        <f>S31*' Look Up Data'!O45</f>
        <v>464000</v>
      </c>
      <c r="T35" s="18">
        <f>T31*' Look Up Data'!P45</f>
        <v>464000</v>
      </c>
      <c r="U35" s="18">
        <f>U31*' Look Up Data'!Q45</f>
        <v>464000</v>
      </c>
      <c r="V35" s="18">
        <f>V31*' Look Up Data'!R45</f>
        <v>464000</v>
      </c>
      <c r="W35" s="18">
        <f>W31*' Look Up Data'!S45</f>
        <v>464000</v>
      </c>
      <c r="X35" s="18">
        <f>X31*' Look Up Data'!T45</f>
        <v>464000</v>
      </c>
      <c r="Y35" s="18">
        <f>Y31*' Look Up Data'!U45</f>
        <v>464000</v>
      </c>
      <c r="Z35" s="18">
        <f>Z31*' Look Up Data'!V45</f>
        <v>464000</v>
      </c>
      <c r="AA35" s="18">
        <f>AA31*' Look Up Data'!W45</f>
        <v>464000</v>
      </c>
      <c r="AB35" s="18">
        <f>AB31*' Look Up Data'!X45</f>
        <v>464000</v>
      </c>
      <c r="AC35" s="18">
        <f>AC31*' Look Up Data'!Y45</f>
        <v>464000</v>
      </c>
      <c r="AD35" s="18">
        <f>AD31*' Look Up Data'!Z45</f>
        <v>464000</v>
      </c>
      <c r="AE35" s="18">
        <f>AE31*' Look Up Data'!AA45</f>
        <v>464000</v>
      </c>
      <c r="AF35" s="18">
        <f>AF31*' Look Up Data'!AB45</f>
        <v>464000</v>
      </c>
      <c r="AG35" s="18">
        <f>AG31*' Look Up Data'!AC45</f>
        <v>464000</v>
      </c>
      <c r="AH35" s="18">
        <f>AH31*' Look Up Data'!AD45</f>
        <v>464000</v>
      </c>
      <c r="AI35" s="18">
        <f>AI31*' Look Up Data'!AE45</f>
        <v>464000</v>
      </c>
      <c r="AJ35" s="18">
        <f>AJ31*' Look Up Data'!AF45</f>
        <v>464000</v>
      </c>
      <c r="AK35" s="18">
        <f>AK31*' Look Up Data'!AG45</f>
        <v>464000</v>
      </c>
    </row>
    <row r="36" spans="1:37" x14ac:dyDescent="0.25">
      <c r="A36" s="2" t="s">
        <v>155</v>
      </c>
      <c r="C36" s="112"/>
      <c r="D36" s="112"/>
      <c r="E36" s="112"/>
      <c r="F36" s="112"/>
      <c r="G36" s="112"/>
      <c r="H36" s="112"/>
      <c r="I36" s="112"/>
      <c r="J36" s="112"/>
      <c r="K36" s="112"/>
      <c r="L36" s="112"/>
      <c r="M36" s="18">
        <f>M28*(' Look Up Data'!I44)</f>
        <v>38706.976744186046</v>
      </c>
      <c r="N36" s="18">
        <f>N28*(' Look Up Data'!J44)</f>
        <v>38706.976744186046</v>
      </c>
      <c r="O36" s="18">
        <f>O28*(' Look Up Data'!K44)</f>
        <v>38706.976744186046</v>
      </c>
      <c r="P36" s="18">
        <f>P28*(' Look Up Data'!L44)</f>
        <v>38706.976744186046</v>
      </c>
      <c r="Q36" s="18">
        <f>Q28*(' Look Up Data'!M44)</f>
        <v>38706.976744186046</v>
      </c>
      <c r="R36" s="18">
        <f>R28*(' Look Up Data'!N44)</f>
        <v>38706.976744186046</v>
      </c>
      <c r="S36" s="18">
        <f>S28*(' Look Up Data'!O44)</f>
        <v>38706.976744186046</v>
      </c>
      <c r="T36" s="18">
        <f>T28*(' Look Up Data'!P44)</f>
        <v>38706.976744186046</v>
      </c>
      <c r="U36" s="18">
        <f>U28*(' Look Up Data'!Q44)</f>
        <v>38706.976744186046</v>
      </c>
      <c r="V36" s="18">
        <f>V28*(' Look Up Data'!R44)</f>
        <v>38706.976744186046</v>
      </c>
      <c r="W36" s="18">
        <f>W28*(' Look Up Data'!S44)</f>
        <v>38706.976744186046</v>
      </c>
      <c r="X36" s="18">
        <f>X28*(' Look Up Data'!T44)</f>
        <v>38706.976744186046</v>
      </c>
      <c r="Y36" s="18">
        <f>Y28*(' Look Up Data'!U44)</f>
        <v>38706.976744186046</v>
      </c>
      <c r="Z36" s="18">
        <f>Z28*(' Look Up Data'!V44)</f>
        <v>38706.976744186046</v>
      </c>
      <c r="AA36" s="18">
        <f>AA28*(' Look Up Data'!W44)</f>
        <v>38706.976744186046</v>
      </c>
      <c r="AB36" s="18">
        <f>AB28*(' Look Up Data'!X44)</f>
        <v>38706.976744186046</v>
      </c>
      <c r="AC36" s="18">
        <f>AC28*(' Look Up Data'!Y44)</f>
        <v>38706.976744186046</v>
      </c>
      <c r="AD36" s="18">
        <f>AD28*(' Look Up Data'!Z44)</f>
        <v>38706.976744186046</v>
      </c>
      <c r="AE36" s="18">
        <f>AE28*(' Look Up Data'!AA44)</f>
        <v>38706.976744186046</v>
      </c>
      <c r="AF36" s="18">
        <f>AF28*(' Look Up Data'!AB44)</f>
        <v>38706.976744186046</v>
      </c>
      <c r="AG36" s="18">
        <f>AG28*(' Look Up Data'!AC44)</f>
        <v>38706.976744186046</v>
      </c>
      <c r="AH36" s="18">
        <f>AH28*(' Look Up Data'!AD44)</f>
        <v>38706.976744186046</v>
      </c>
      <c r="AI36" s="18">
        <f>AI28*(' Look Up Data'!AE44)</f>
        <v>38706.976744186046</v>
      </c>
      <c r="AJ36" s="18">
        <f>AJ28*(' Look Up Data'!AF44)</f>
        <v>38706.976744186046</v>
      </c>
      <c r="AK36" s="18">
        <f>AK28*(' Look Up Data'!AG44)</f>
        <v>38706.976744186046</v>
      </c>
    </row>
    <row r="37" spans="1:37" x14ac:dyDescent="0.25">
      <c r="A37" s="2" t="s">
        <v>156</v>
      </c>
      <c r="C37" s="112"/>
      <c r="D37" s="112"/>
      <c r="E37" s="112"/>
      <c r="F37" s="112"/>
      <c r="G37" s="112"/>
      <c r="H37" s="112"/>
      <c r="I37" s="112"/>
      <c r="J37" s="112"/>
      <c r="K37" s="112"/>
      <c r="L37" s="112"/>
      <c r="M37" s="18">
        <f>M23*' Look Up Data'!H43</f>
        <v>285411.11111111112</v>
      </c>
      <c r="N37" s="18">
        <f>N23*' Look Up Data'!I43</f>
        <v>285411.11111111112</v>
      </c>
      <c r="O37" s="18">
        <f>O23*' Look Up Data'!J43</f>
        <v>285411.11111111112</v>
      </c>
      <c r="P37" s="18">
        <f>P23*' Look Up Data'!K43</f>
        <v>285411.11111111112</v>
      </c>
      <c r="Q37" s="18">
        <f>Q23*' Look Up Data'!L43</f>
        <v>285411.11111111112</v>
      </c>
      <c r="R37" s="18">
        <f>R23*' Look Up Data'!M43</f>
        <v>285411.11111111112</v>
      </c>
      <c r="S37" s="18">
        <f>S23*' Look Up Data'!N43</f>
        <v>285411.11111111112</v>
      </c>
      <c r="T37" s="18">
        <f>T23*' Look Up Data'!O43</f>
        <v>285411.11111111112</v>
      </c>
      <c r="U37" s="18">
        <f>U23*' Look Up Data'!P43</f>
        <v>285411.11111111112</v>
      </c>
      <c r="V37" s="18">
        <f>V23*' Look Up Data'!Q43</f>
        <v>285411.11111111112</v>
      </c>
      <c r="W37" s="18">
        <f>W23*' Look Up Data'!R43</f>
        <v>285411.11111111112</v>
      </c>
      <c r="X37" s="18">
        <f>X23*' Look Up Data'!S43</f>
        <v>285411.11111111112</v>
      </c>
      <c r="Y37" s="18">
        <f>Y23*' Look Up Data'!T43</f>
        <v>285411.11111111112</v>
      </c>
      <c r="Z37" s="18">
        <f>Z23*' Look Up Data'!U43</f>
        <v>285411.11111111112</v>
      </c>
      <c r="AA37" s="18">
        <f>AA23*' Look Up Data'!V43</f>
        <v>285411.11111111112</v>
      </c>
      <c r="AB37" s="18">
        <f>AB23*' Look Up Data'!W43</f>
        <v>285411.11111111112</v>
      </c>
      <c r="AC37" s="18">
        <f>AC23*' Look Up Data'!X43</f>
        <v>285411.11111111112</v>
      </c>
      <c r="AD37" s="18">
        <f>AD23*' Look Up Data'!Y43</f>
        <v>285411.11111111112</v>
      </c>
      <c r="AE37" s="18">
        <f>AE23*' Look Up Data'!Z43</f>
        <v>285411.11111111112</v>
      </c>
      <c r="AF37" s="18">
        <f>AF23*' Look Up Data'!AA43</f>
        <v>285411.11111111112</v>
      </c>
      <c r="AG37" s="18">
        <f>AG23*' Look Up Data'!AB43</f>
        <v>285411.11111111112</v>
      </c>
      <c r="AH37" s="18">
        <f>AH23*' Look Up Data'!AC43</f>
        <v>285411.11111111112</v>
      </c>
      <c r="AI37" s="18">
        <f>AI23*' Look Up Data'!AD43</f>
        <v>285411.11111111112</v>
      </c>
      <c r="AJ37" s="18">
        <f>AJ23*' Look Up Data'!AE43</f>
        <v>285411.11111111112</v>
      </c>
      <c r="AK37" s="18">
        <f>AK23*' Look Up Data'!AF43</f>
        <v>285411.11111111112</v>
      </c>
    </row>
    <row r="38" spans="1:37" x14ac:dyDescent="0.25">
      <c r="A38" s="2" t="s">
        <v>157</v>
      </c>
      <c r="C38" s="112"/>
      <c r="D38" s="112"/>
      <c r="E38" s="112"/>
      <c r="F38" s="112"/>
      <c r="G38" s="112"/>
      <c r="H38" s="112"/>
      <c r="I38" s="112"/>
      <c r="J38" s="112"/>
      <c r="K38" s="112"/>
      <c r="L38" s="112"/>
      <c r="M38" s="18">
        <f>M24*' Look Up Data'!H42</f>
        <v>0</v>
      </c>
      <c r="N38" s="18">
        <f>N24*' Look Up Data'!I42</f>
        <v>0</v>
      </c>
      <c r="O38" s="18">
        <f>O24*' Look Up Data'!J42</f>
        <v>0</v>
      </c>
      <c r="P38" s="18">
        <f>P24*' Look Up Data'!K42</f>
        <v>0</v>
      </c>
      <c r="Q38" s="18">
        <f>Q24*' Look Up Data'!L42</f>
        <v>0</v>
      </c>
      <c r="R38" s="18">
        <f>R24*' Look Up Data'!M42</f>
        <v>0</v>
      </c>
      <c r="S38" s="18">
        <f>S24*' Look Up Data'!N42</f>
        <v>0</v>
      </c>
      <c r="T38" s="18">
        <f>T24*' Look Up Data'!O42</f>
        <v>0</v>
      </c>
      <c r="U38" s="18">
        <f>U24*' Look Up Data'!P42</f>
        <v>0</v>
      </c>
      <c r="V38" s="18">
        <f>V24*' Look Up Data'!Q42</f>
        <v>0</v>
      </c>
      <c r="W38" s="18">
        <f>W24*' Look Up Data'!R42</f>
        <v>0</v>
      </c>
      <c r="X38" s="18">
        <f>X24*' Look Up Data'!S42</f>
        <v>0</v>
      </c>
      <c r="Y38" s="18">
        <f>Y24*' Look Up Data'!T42</f>
        <v>0</v>
      </c>
      <c r="Z38" s="18">
        <f>Z24*' Look Up Data'!U42</f>
        <v>0</v>
      </c>
      <c r="AA38" s="18">
        <f>AA24*' Look Up Data'!V42</f>
        <v>0</v>
      </c>
      <c r="AB38" s="18">
        <f>AB24*' Look Up Data'!W42</f>
        <v>0</v>
      </c>
      <c r="AC38" s="18">
        <f>AC24*' Look Up Data'!X42</f>
        <v>0</v>
      </c>
      <c r="AD38" s="18">
        <f>AD24*' Look Up Data'!Y42</f>
        <v>0</v>
      </c>
      <c r="AE38" s="18">
        <f>AE24*' Look Up Data'!Z42</f>
        <v>0</v>
      </c>
      <c r="AF38" s="18">
        <f>AF24*' Look Up Data'!AA42</f>
        <v>0</v>
      </c>
      <c r="AG38" s="18">
        <f>AG24*' Look Up Data'!AB42</f>
        <v>0</v>
      </c>
      <c r="AH38" s="18">
        <f>AH24*' Look Up Data'!AC42</f>
        <v>0</v>
      </c>
      <c r="AI38" s="18">
        <f>AI24*' Look Up Data'!AD42</f>
        <v>0</v>
      </c>
      <c r="AJ38" s="18">
        <f>AJ24*' Look Up Data'!AE42</f>
        <v>0</v>
      </c>
      <c r="AK38" s="18">
        <f>AK24*' Look Up Data'!AF42</f>
        <v>0</v>
      </c>
    </row>
    <row r="39" spans="1:37" x14ac:dyDescent="0.25">
      <c r="A39" s="113" t="s">
        <v>144</v>
      </c>
      <c r="C39" s="112"/>
      <c r="D39" s="112"/>
      <c r="E39" s="112"/>
      <c r="F39" s="112"/>
      <c r="G39" s="112"/>
      <c r="H39" s="112"/>
      <c r="I39" s="112"/>
      <c r="J39" s="112"/>
      <c r="K39" s="112"/>
      <c r="L39" s="112"/>
      <c r="M39" s="18">
        <f>M25*' Look Up Data'!H41</f>
        <v>12566.666666666668</v>
      </c>
      <c r="N39" s="18">
        <f>N25*' Look Up Data'!I41</f>
        <v>12566.666666666668</v>
      </c>
      <c r="O39" s="18">
        <f>O25*' Look Up Data'!J41</f>
        <v>12566.666666666668</v>
      </c>
      <c r="P39" s="18">
        <f>P25*' Look Up Data'!K41</f>
        <v>12566.666666666668</v>
      </c>
      <c r="Q39" s="18">
        <f>Q25*' Look Up Data'!L41</f>
        <v>12566.666666666668</v>
      </c>
      <c r="R39" s="18">
        <f>R25*' Look Up Data'!M41</f>
        <v>12566.666666666668</v>
      </c>
      <c r="S39" s="18">
        <f>S25*' Look Up Data'!N41</f>
        <v>12566.666666666668</v>
      </c>
      <c r="T39" s="18">
        <f>T25*' Look Up Data'!O41</f>
        <v>12566.666666666668</v>
      </c>
      <c r="U39" s="18">
        <f>U25*' Look Up Data'!P41</f>
        <v>12566.666666666668</v>
      </c>
      <c r="V39" s="18">
        <f>V25*' Look Up Data'!Q41</f>
        <v>12566.666666666668</v>
      </c>
      <c r="W39" s="18">
        <f>W25*' Look Up Data'!R41</f>
        <v>12566.666666666668</v>
      </c>
      <c r="X39" s="18">
        <f>X25*' Look Up Data'!S41</f>
        <v>12566.666666666668</v>
      </c>
      <c r="Y39" s="18">
        <f>Y25*' Look Up Data'!T41</f>
        <v>12566.666666666668</v>
      </c>
      <c r="Z39" s="18">
        <f>Z25*' Look Up Data'!U41</f>
        <v>12566.666666666668</v>
      </c>
      <c r="AA39" s="18">
        <f>AA25*' Look Up Data'!V41</f>
        <v>12566.666666666668</v>
      </c>
      <c r="AB39" s="18">
        <f>AB25*' Look Up Data'!W41</f>
        <v>12566.666666666668</v>
      </c>
      <c r="AC39" s="18">
        <f>AC25*' Look Up Data'!X41</f>
        <v>12566.666666666668</v>
      </c>
      <c r="AD39" s="18">
        <f>AD25*' Look Up Data'!Y41</f>
        <v>12566.666666666668</v>
      </c>
      <c r="AE39" s="18">
        <f>AE25*' Look Up Data'!Z41</f>
        <v>12566.666666666668</v>
      </c>
      <c r="AF39" s="18">
        <f>AF25*' Look Up Data'!AA41</f>
        <v>12566.666666666668</v>
      </c>
      <c r="AG39" s="18">
        <f>AG25*' Look Up Data'!AB41</f>
        <v>12566.666666666668</v>
      </c>
      <c r="AH39" s="18">
        <f>AH25*' Look Up Data'!AC41</f>
        <v>12566.666666666668</v>
      </c>
      <c r="AI39" s="18">
        <f>AI25*' Look Up Data'!AD41</f>
        <v>12566.666666666668</v>
      </c>
      <c r="AJ39" s="18">
        <f>AJ25*' Look Up Data'!AE41</f>
        <v>12566.666666666668</v>
      </c>
      <c r="AK39" s="18">
        <f>AK25*' Look Up Data'!AF41</f>
        <v>12566.666666666668</v>
      </c>
    </row>
    <row r="40" spans="1:37" x14ac:dyDescent="0.25">
      <c r="A40" s="16" t="s">
        <v>1</v>
      </c>
      <c r="C40" s="18"/>
      <c r="D40" s="18"/>
      <c r="E40" s="18"/>
      <c r="F40" s="18"/>
      <c r="G40" s="18"/>
      <c r="H40" s="18"/>
      <c r="I40" s="18"/>
      <c r="J40" s="18"/>
      <c r="K40" s="18"/>
      <c r="L40" s="18"/>
      <c r="M40" s="17">
        <f>SUM(M35:M39)</f>
        <v>800684.75452196377</v>
      </c>
      <c r="N40" s="17">
        <f t="shared" ref="N40:AH40" si="9">SUM(N35:N39)</f>
        <v>800684.75452196377</v>
      </c>
      <c r="O40" s="17">
        <f t="shared" si="9"/>
        <v>800684.75452196377</v>
      </c>
      <c r="P40" s="17">
        <f t="shared" si="9"/>
        <v>800684.75452196377</v>
      </c>
      <c r="Q40" s="17">
        <f t="shared" si="9"/>
        <v>800684.75452196377</v>
      </c>
      <c r="R40" s="17">
        <f t="shared" si="9"/>
        <v>800684.75452196377</v>
      </c>
      <c r="S40" s="17">
        <f t="shared" si="9"/>
        <v>800684.75452196377</v>
      </c>
      <c r="T40" s="17">
        <f t="shared" si="9"/>
        <v>800684.75452196377</v>
      </c>
      <c r="U40" s="17">
        <f t="shared" si="9"/>
        <v>800684.75452196377</v>
      </c>
      <c r="V40" s="17">
        <f t="shared" si="9"/>
        <v>800684.75452196377</v>
      </c>
      <c r="W40" s="17">
        <f t="shared" si="9"/>
        <v>800684.75452196377</v>
      </c>
      <c r="X40" s="17">
        <f t="shared" si="9"/>
        <v>800684.75452196377</v>
      </c>
      <c r="Y40" s="17">
        <f t="shared" si="9"/>
        <v>800684.75452196377</v>
      </c>
      <c r="Z40" s="17">
        <f t="shared" si="9"/>
        <v>800684.75452196377</v>
      </c>
      <c r="AA40" s="17">
        <f t="shared" si="9"/>
        <v>800684.75452196377</v>
      </c>
      <c r="AB40" s="17">
        <f t="shared" si="9"/>
        <v>800684.75452196377</v>
      </c>
      <c r="AC40" s="17">
        <f t="shared" si="9"/>
        <v>800684.75452196377</v>
      </c>
      <c r="AD40" s="17">
        <f t="shared" si="9"/>
        <v>800684.75452196377</v>
      </c>
      <c r="AE40" s="17">
        <f t="shared" si="9"/>
        <v>800684.75452196377</v>
      </c>
      <c r="AF40" s="17">
        <f t="shared" si="9"/>
        <v>800684.75452196377</v>
      </c>
      <c r="AG40" s="17">
        <f t="shared" si="9"/>
        <v>800684.75452196377</v>
      </c>
      <c r="AH40" s="17">
        <f t="shared" si="9"/>
        <v>800684.75452196377</v>
      </c>
      <c r="AI40" s="17">
        <f t="shared" ref="AI40:AK40" si="10">SUM(AI35:AI39)</f>
        <v>800684.75452196377</v>
      </c>
      <c r="AJ40" s="17">
        <f t="shared" si="10"/>
        <v>800684.75452196377</v>
      </c>
      <c r="AK40" s="17">
        <f t="shared" si="10"/>
        <v>800684.75452196377</v>
      </c>
    </row>
    <row r="41" spans="1:37" x14ac:dyDescent="0.25">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1929F-4C6D-4D83-B7EC-B0934686FF42}">
  <sheetPr>
    <tabColor rgb="FFFFC000"/>
  </sheetPr>
  <dimension ref="A1:AV84"/>
  <sheetViews>
    <sheetView topLeftCell="A40" zoomScaleNormal="100" workbookViewId="0">
      <pane xSplit="1" topLeftCell="C1" activePane="topRight" state="frozen"/>
      <selection activeCell="A12" sqref="A12"/>
      <selection pane="topRight" activeCell="A38" sqref="A38"/>
    </sheetView>
  </sheetViews>
  <sheetFormatPr defaultColWidth="8.5703125" defaultRowHeight="15" x14ac:dyDescent="0.25"/>
  <cols>
    <col min="1" max="1" width="45.42578125" style="29" customWidth="1"/>
    <col min="2" max="3" width="22.5703125" style="29" bestFit="1" customWidth="1"/>
    <col min="4" max="5" width="18" style="29" bestFit="1" customWidth="1"/>
    <col min="6" max="9" width="13.5703125" style="29" bestFit="1" customWidth="1"/>
    <col min="10" max="47" width="12.140625" style="29" bestFit="1" customWidth="1"/>
    <col min="48" max="48" width="9.140625" style="29" bestFit="1" customWidth="1"/>
    <col min="49" max="51" width="10.5703125" style="29" customWidth="1"/>
    <col min="52" max="16384" width="8.5703125" style="29"/>
  </cols>
  <sheetData>
    <row r="1" spans="1:48" ht="18.75" x14ac:dyDescent="0.3">
      <c r="A1" s="34" t="s">
        <v>3</v>
      </c>
      <c r="C1" s="70" t="s">
        <v>19</v>
      </c>
    </row>
    <row r="2" spans="1:48" x14ac:dyDescent="0.25">
      <c r="A2" s="35" t="s">
        <v>4</v>
      </c>
      <c r="B2" s="29">
        <v>7.0000000000000007E-2</v>
      </c>
      <c r="C2" s="31" t="s">
        <v>229</v>
      </c>
    </row>
    <row r="3" spans="1:48" x14ac:dyDescent="0.25">
      <c r="A3" s="35" t="s">
        <v>53</v>
      </c>
      <c r="B3" s="29">
        <v>0.03</v>
      </c>
      <c r="C3" s="31" t="s">
        <v>229</v>
      </c>
    </row>
    <row r="4" spans="1:48" x14ac:dyDescent="0.25">
      <c r="A4" s="39" t="s">
        <v>24</v>
      </c>
      <c r="B4" s="29">
        <v>1.3599999999999999E-2</v>
      </c>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row>
    <row r="5" spans="1:48" x14ac:dyDescent="0.25">
      <c r="A5" s="39" t="s">
        <v>22</v>
      </c>
      <c r="B5" s="29">
        <v>365</v>
      </c>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row>
    <row r="6" spans="1:48" x14ac:dyDescent="0.25">
      <c r="A6" s="39" t="s">
        <v>23</v>
      </c>
      <c r="B6" s="29">
        <v>1.67</v>
      </c>
      <c r="C6" s="31" t="s">
        <v>229</v>
      </c>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row>
    <row r="7" spans="1:48" x14ac:dyDescent="0.25">
      <c r="A7" s="39" t="s">
        <v>21</v>
      </c>
      <c r="B7" s="42">
        <f>60*60</f>
        <v>3600</v>
      </c>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row>
    <row r="8" spans="1:48" x14ac:dyDescent="0.25">
      <c r="A8" s="39" t="s">
        <v>45</v>
      </c>
      <c r="B8" s="42">
        <v>1000000</v>
      </c>
      <c r="E8" s="104"/>
      <c r="F8" s="105"/>
      <c r="G8" s="105"/>
      <c r="H8" s="105"/>
      <c r="I8" s="105"/>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row>
    <row r="9" spans="1:48" x14ac:dyDescent="0.25">
      <c r="A9" s="70" t="s">
        <v>60</v>
      </c>
      <c r="B9" s="79">
        <f>1/1000</f>
        <v>1E-3</v>
      </c>
      <c r="E9" s="104"/>
      <c r="F9" s="105"/>
      <c r="G9" s="105"/>
      <c r="H9" s="105"/>
      <c r="I9" s="105"/>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row>
    <row r="10" spans="1:48" x14ac:dyDescent="0.25">
      <c r="A10" s="70" t="s">
        <v>64</v>
      </c>
      <c r="B10" s="80">
        <v>0.90718474000000004</v>
      </c>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row>
    <row r="11" spans="1:48" x14ac:dyDescent="0.25">
      <c r="A11" s="152" t="s">
        <v>110</v>
      </c>
      <c r="B11" s="80">
        <v>0.25</v>
      </c>
      <c r="C11" s="29" t="s">
        <v>109</v>
      </c>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row>
    <row r="12" spans="1:48" ht="30" x14ac:dyDescent="0.25">
      <c r="A12" s="151" t="s">
        <v>111</v>
      </c>
      <c r="B12" s="80">
        <v>0.45</v>
      </c>
      <c r="C12" s="29" t="s">
        <v>109</v>
      </c>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row>
    <row r="13" spans="1:48" ht="30" x14ac:dyDescent="0.25">
      <c r="A13" s="151" t="s">
        <v>116</v>
      </c>
      <c r="B13" s="27">
        <f>2.49-0.184-0.2</f>
        <v>2.1059999999999999</v>
      </c>
      <c r="C13" s="29" t="s">
        <v>118</v>
      </c>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row>
    <row r="14" spans="1:48" ht="30" x14ac:dyDescent="0.25">
      <c r="A14" s="151" t="s">
        <v>117</v>
      </c>
      <c r="B14" s="27">
        <v>2</v>
      </c>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row>
    <row r="15" spans="1:48" ht="30" x14ac:dyDescent="0.25">
      <c r="A15" s="151" t="s">
        <v>194</v>
      </c>
      <c r="B15" s="80">
        <f>(108.6/107.3)^2</f>
        <v>1.0243779145665572</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row>
    <row r="16" spans="1:48" x14ac:dyDescent="0.25">
      <c r="A16" s="154" t="s">
        <v>72</v>
      </c>
      <c r="K16" s="70"/>
      <c r="L16" s="70"/>
      <c r="M16" s="70"/>
      <c r="N16" s="70"/>
      <c r="O16" s="70"/>
      <c r="P16" s="70"/>
      <c r="Q16" s="70"/>
      <c r="R16" s="70"/>
      <c r="S16" s="70"/>
      <c r="T16" s="70"/>
      <c r="U16" s="70"/>
      <c r="V16" s="70"/>
      <c r="W16" s="70"/>
      <c r="X16" s="70"/>
      <c r="Y16" s="70"/>
      <c r="Z16" s="70"/>
      <c r="AA16" s="70"/>
      <c r="AB16" s="70"/>
      <c r="AC16" s="70"/>
      <c r="AD16" s="70"/>
      <c r="AE16" s="70"/>
      <c r="AF16" s="70"/>
      <c r="AG16" s="39"/>
      <c r="AH16" s="39"/>
      <c r="AI16" s="39"/>
      <c r="AJ16" s="39"/>
      <c r="AK16" s="39"/>
      <c r="AL16" s="39"/>
      <c r="AM16" s="39"/>
      <c r="AN16" s="39"/>
      <c r="AO16" s="39"/>
      <c r="AP16" s="39"/>
      <c r="AQ16" s="39"/>
      <c r="AR16" s="39"/>
      <c r="AS16" s="39"/>
      <c r="AT16" s="39"/>
      <c r="AU16" s="39"/>
      <c r="AV16" s="39"/>
    </row>
    <row r="17" spans="1:48" ht="60" x14ac:dyDescent="0.25">
      <c r="A17" s="153" t="s">
        <v>35</v>
      </c>
      <c r="B17" s="83" t="s">
        <v>19</v>
      </c>
      <c r="C17" s="83" t="s">
        <v>20</v>
      </c>
      <c r="D17" s="83" t="s">
        <v>70</v>
      </c>
      <c r="E17" s="83">
        <v>2021</v>
      </c>
      <c r="F17" s="83">
        <f t="shared" ref="F17:I17" si="0">E17+1</f>
        <v>2022</v>
      </c>
      <c r="G17" s="83">
        <f t="shared" si="0"/>
        <v>2023</v>
      </c>
      <c r="H17" s="83">
        <f t="shared" si="0"/>
        <v>2024</v>
      </c>
      <c r="I17" s="83">
        <f t="shared" si="0"/>
        <v>2025</v>
      </c>
      <c r="K17" s="138" t="s">
        <v>74</v>
      </c>
      <c r="L17" s="139" t="s">
        <v>76</v>
      </c>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row>
    <row r="18" spans="1:48" x14ac:dyDescent="0.25">
      <c r="A18" s="20" t="s">
        <v>68</v>
      </c>
      <c r="B18" s="70" t="s">
        <v>61</v>
      </c>
      <c r="C18" s="70" t="s">
        <v>62</v>
      </c>
      <c r="D18" s="20" t="s">
        <v>71</v>
      </c>
      <c r="E18" s="81">
        <v>8.5450060466600447E-3</v>
      </c>
      <c r="F18" s="81">
        <v>7.6511092891687008E-3</v>
      </c>
      <c r="G18" s="81">
        <v>6.8653120412397999E-3</v>
      </c>
      <c r="H18" s="82">
        <v>5.8059735779865994E-3</v>
      </c>
      <c r="I18" s="82">
        <v>5.1281335448992351E-3</v>
      </c>
      <c r="K18" s="140">
        <f>(E18-I18)/4</f>
        <v>8.542181254402024E-4</v>
      </c>
      <c r="L18" s="141">
        <f>1-((I18/E18)^0.25)</f>
        <v>0.11983977626253994</v>
      </c>
      <c r="M18" s="44">
        <f>I18/E18</f>
        <v>0.60013223125847293</v>
      </c>
      <c r="N18" s="44"/>
      <c r="O18" s="44"/>
      <c r="P18" s="103"/>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row>
    <row r="19" spans="1:48" x14ac:dyDescent="0.25">
      <c r="A19" s="20" t="s">
        <v>69</v>
      </c>
      <c r="B19" s="70" t="s">
        <v>61</v>
      </c>
      <c r="C19" s="70" t="s">
        <v>62</v>
      </c>
      <c r="D19" s="20" t="s">
        <v>71</v>
      </c>
      <c r="E19" s="81">
        <v>7.2132926660796009E-5</v>
      </c>
      <c r="F19" s="81">
        <v>7.0433727530917151E-5</v>
      </c>
      <c r="G19" s="81">
        <v>6.8766260104465349E-5</v>
      </c>
      <c r="H19" s="82">
        <v>6.7192586141458398E-5</v>
      </c>
      <c r="I19" s="82">
        <v>6.5667366300210453E-5</v>
      </c>
      <c r="K19" s="140">
        <f t="shared" ref="K19:K31" si="1">(E19-I19)/4</f>
        <v>1.616390090146389E-6</v>
      </c>
      <c r="L19" s="141">
        <f t="shared" ref="L19:L21" si="2">1-((I19/E19)^0.25)</f>
        <v>2.3203687761114922E-2</v>
      </c>
      <c r="M19" s="44">
        <f t="shared" ref="M19:M21" si="3">I19/E19</f>
        <v>0.91036603310177955</v>
      </c>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row>
    <row r="20" spans="1:48" x14ac:dyDescent="0.25">
      <c r="A20" s="20" t="s">
        <v>57</v>
      </c>
      <c r="B20" s="70" t="s">
        <v>61</v>
      </c>
      <c r="C20" s="70" t="s">
        <v>62</v>
      </c>
      <c r="D20" s="20" t="s">
        <v>71</v>
      </c>
      <c r="E20" s="81">
        <v>12.037928675379451</v>
      </c>
      <c r="F20" s="81">
        <v>11.759562571592529</v>
      </c>
      <c r="G20" s="81">
        <v>11.486911543557891</v>
      </c>
      <c r="H20" s="82">
        <v>11.228309927087855</v>
      </c>
      <c r="I20" s="82">
        <v>10.978736079207595</v>
      </c>
      <c r="K20" s="140">
        <f t="shared" si="1"/>
        <v>0.26479814904296406</v>
      </c>
      <c r="L20" s="141">
        <f t="shared" si="2"/>
        <v>2.2762453174597019E-2</v>
      </c>
      <c r="M20" s="44">
        <f t="shared" si="3"/>
        <v>0.91201205583331224</v>
      </c>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row>
    <row r="21" spans="1:48" x14ac:dyDescent="0.25">
      <c r="A21" s="20" t="s">
        <v>42</v>
      </c>
      <c r="B21" s="70" t="s">
        <v>61</v>
      </c>
      <c r="C21" s="70" t="s">
        <v>62</v>
      </c>
      <c r="D21" s="20" t="s">
        <v>71</v>
      </c>
      <c r="E21" s="81">
        <v>3.0632565713118853E-4</v>
      </c>
      <c r="F21" s="81">
        <v>2.9959116902102101E-4</v>
      </c>
      <c r="G21" s="81">
        <v>2.9424032121831299E-4</v>
      </c>
      <c r="H21" s="82">
        <v>2.8992620044270603E-4</v>
      </c>
      <c r="I21" s="82">
        <v>2.829435071876085E-4</v>
      </c>
      <c r="K21" s="140">
        <f t="shared" si="1"/>
        <v>5.8455374858950069E-6</v>
      </c>
      <c r="L21" s="141">
        <f t="shared" si="2"/>
        <v>1.9654658045603068E-2</v>
      </c>
      <c r="M21" s="44">
        <f t="shared" si="3"/>
        <v>0.92366897973039763</v>
      </c>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row>
    <row r="22" spans="1:48" x14ac:dyDescent="0.25">
      <c r="A22" s="153" t="s">
        <v>36</v>
      </c>
      <c r="B22" s="83"/>
      <c r="C22" s="83"/>
      <c r="D22" s="84"/>
      <c r="E22" s="95"/>
      <c r="F22" s="95"/>
      <c r="G22" s="95"/>
      <c r="H22" s="96"/>
      <c r="I22" s="96"/>
      <c r="K22" s="140"/>
      <c r="L22" s="142"/>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row>
    <row r="23" spans="1:48" x14ac:dyDescent="0.25">
      <c r="A23" s="20" t="s">
        <v>68</v>
      </c>
      <c r="B23" s="70" t="s">
        <v>61</v>
      </c>
      <c r="C23" s="70" t="s">
        <v>62</v>
      </c>
      <c r="D23" s="20" t="s">
        <v>66</v>
      </c>
      <c r="E23" s="81">
        <v>3.4463585429905769E-2</v>
      </c>
      <c r="F23" s="81">
        <v>3.1572070532242535E-2</v>
      </c>
      <c r="G23" s="81">
        <v>2.9019750254825966E-2</v>
      </c>
      <c r="H23" s="82">
        <v>2.7160774592576754E-2</v>
      </c>
      <c r="I23" s="82">
        <v>2.5496414369442097E-2</v>
      </c>
      <c r="K23" s="140">
        <f t="shared" si="1"/>
        <v>2.2417927651159179E-3</v>
      </c>
      <c r="L23" s="141">
        <f>1-((I23/E23)^0.25)</f>
        <v>7.2573154722788691E-2</v>
      </c>
      <c r="M23" s="44">
        <f>I23/E23</f>
        <v>0.73980736627935373</v>
      </c>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row>
    <row r="24" spans="1:48" x14ac:dyDescent="0.25">
      <c r="A24" s="20" t="s">
        <v>69</v>
      </c>
      <c r="B24" s="70" t="s">
        <v>61</v>
      </c>
      <c r="C24" s="70" t="s">
        <v>62</v>
      </c>
      <c r="D24" s="20" t="s">
        <v>66</v>
      </c>
      <c r="E24" s="81">
        <v>1.0167331237615703E-4</v>
      </c>
      <c r="F24" s="81">
        <v>1.001949873501705E-4</v>
      </c>
      <c r="G24" s="81">
        <v>9.8684556941726128E-5</v>
      </c>
      <c r="H24" s="82">
        <v>9.706183439254594E-5</v>
      </c>
      <c r="I24" s="82">
        <v>9.5575135860508111E-5</v>
      </c>
      <c r="K24" s="140">
        <f t="shared" si="1"/>
        <v>1.5245441289122303E-6</v>
      </c>
      <c r="L24" s="141">
        <f t="shared" ref="L24:L26" si="4">1-((I24/E24)^0.25)</f>
        <v>1.5344099155383262E-2</v>
      </c>
      <c r="M24" s="44">
        <f t="shared" ref="M24:M26" si="5">I24/E24</f>
        <v>0.94002185654099946</v>
      </c>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row>
    <row r="25" spans="1:48" x14ac:dyDescent="0.25">
      <c r="A25" s="20" t="s">
        <v>57</v>
      </c>
      <c r="B25" s="70" t="s">
        <v>61</v>
      </c>
      <c r="C25" s="70" t="s">
        <v>62</v>
      </c>
      <c r="D25" s="20" t="s">
        <v>66</v>
      </c>
      <c r="E25" s="81">
        <v>23.361559574991535</v>
      </c>
      <c r="F25" s="81">
        <v>23.023153573541567</v>
      </c>
      <c r="G25" s="81">
        <v>22.677212438268267</v>
      </c>
      <c r="H25" s="82">
        <v>22.313964601471767</v>
      </c>
      <c r="I25" s="82">
        <v>21.96827626278403</v>
      </c>
      <c r="K25" s="140">
        <f t="shared" si="1"/>
        <v>0.34832082805187614</v>
      </c>
      <c r="L25" s="141">
        <f t="shared" si="4"/>
        <v>1.5255560177574345E-2</v>
      </c>
      <c r="M25" s="44">
        <f t="shared" si="5"/>
        <v>0.9403600043167063</v>
      </c>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row>
    <row r="26" spans="1:48" x14ac:dyDescent="0.25">
      <c r="A26" s="20" t="s">
        <v>42</v>
      </c>
      <c r="B26" s="70" t="s">
        <v>61</v>
      </c>
      <c r="C26" s="70" t="s">
        <v>62</v>
      </c>
      <c r="D26" s="20" t="s">
        <v>66</v>
      </c>
      <c r="E26" s="81">
        <v>1.1573209875234117E-3</v>
      </c>
      <c r="F26" s="81">
        <v>1.019083501418952E-3</v>
      </c>
      <c r="G26" s="81">
        <v>9.1323582477745302E-4</v>
      </c>
      <c r="H26" s="82">
        <v>8.7119567033948234E-4</v>
      </c>
      <c r="I26" s="82">
        <v>7.7832435653827964E-4</v>
      </c>
      <c r="K26" s="140">
        <f t="shared" si="1"/>
        <v>9.4749157746283006E-5</v>
      </c>
      <c r="L26" s="141">
        <f t="shared" si="4"/>
        <v>9.4420259278590657E-2</v>
      </c>
      <c r="M26" s="44">
        <f t="shared" si="5"/>
        <v>0.67252245913542186</v>
      </c>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row>
    <row r="27" spans="1:48" x14ac:dyDescent="0.25">
      <c r="A27" s="153" t="s">
        <v>37</v>
      </c>
      <c r="B27" s="83"/>
      <c r="C27" s="83"/>
      <c r="D27" s="84"/>
      <c r="E27" s="95"/>
      <c r="F27" s="95"/>
      <c r="G27" s="95"/>
      <c r="H27" s="96"/>
      <c r="I27" s="96"/>
      <c r="K27" s="140"/>
      <c r="L27" s="142"/>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row>
    <row r="28" spans="1:48" x14ac:dyDescent="0.25">
      <c r="A28" s="20" t="s">
        <v>68</v>
      </c>
      <c r="B28" s="70" t="s">
        <v>61</v>
      </c>
      <c r="C28" s="70" t="s">
        <v>62</v>
      </c>
      <c r="D28" s="20" t="s">
        <v>67</v>
      </c>
      <c r="E28" s="81">
        <v>0.16987695171033151</v>
      </c>
      <c r="F28" s="81">
        <v>0.15683592590047502</v>
      </c>
      <c r="G28" s="81">
        <v>0.1462970413405105</v>
      </c>
      <c r="H28" s="82">
        <v>0.13760244045116049</v>
      </c>
      <c r="I28" s="82">
        <v>0.13028352121936951</v>
      </c>
      <c r="K28" s="140">
        <f t="shared" si="1"/>
        <v>9.8983576227405015E-3</v>
      </c>
      <c r="L28" s="141">
        <f>1-((I28/E28)^0.25)</f>
        <v>6.4187682725352246E-2</v>
      </c>
      <c r="M28" s="44">
        <f>I28/E28</f>
        <v>0.7669287676030625</v>
      </c>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row>
    <row r="29" spans="1:48" x14ac:dyDescent="0.25">
      <c r="A29" s="20" t="s">
        <v>69</v>
      </c>
      <c r="B29" s="70" t="s">
        <v>61</v>
      </c>
      <c r="C29" s="70" t="s">
        <v>62</v>
      </c>
      <c r="D29" s="20" t="s">
        <v>67</v>
      </c>
      <c r="E29" s="81">
        <v>2.16900499084816E-4</v>
      </c>
      <c r="F29" s="81">
        <v>2.1278563151579051E-4</v>
      </c>
      <c r="G29" s="81">
        <v>2.0902428547408251E-4</v>
      </c>
      <c r="H29" s="82">
        <v>2.0455478043755E-4</v>
      </c>
      <c r="I29" s="82">
        <v>2.00433613181854E-4</v>
      </c>
      <c r="K29" s="140">
        <f t="shared" si="1"/>
        <v>4.1167214757404982E-6</v>
      </c>
      <c r="L29" s="141">
        <f t="shared" ref="L29:L31" si="6">1-((I29/E29)^0.25)</f>
        <v>1.9545371549401613E-2</v>
      </c>
      <c r="M29" s="44">
        <f t="shared" ref="M29:M31" si="7">I29/E29</f>
        <v>0.92408092202442171</v>
      </c>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row>
    <row r="30" spans="1:48" x14ac:dyDescent="0.25">
      <c r="A30" s="20" t="s">
        <v>57</v>
      </c>
      <c r="B30" s="70" t="s">
        <v>61</v>
      </c>
      <c r="C30" s="70" t="s">
        <v>62</v>
      </c>
      <c r="D30" s="20" t="s">
        <v>67</v>
      </c>
      <c r="E30" s="81">
        <v>64.371869643100041</v>
      </c>
      <c r="F30" s="81">
        <v>63.228150536820401</v>
      </c>
      <c r="G30" s="81">
        <v>62.165453853429256</v>
      </c>
      <c r="H30" s="82">
        <v>60.886592066537048</v>
      </c>
      <c r="I30" s="82">
        <v>59.703327654803843</v>
      </c>
      <c r="K30" s="140">
        <f t="shared" si="1"/>
        <v>1.1671354970740495</v>
      </c>
      <c r="L30" s="141">
        <f t="shared" si="6"/>
        <v>1.8646210863304202E-2</v>
      </c>
      <c r="M30" s="44">
        <f t="shared" si="7"/>
        <v>0.92747543275998956</v>
      </c>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row>
    <row r="31" spans="1:48" x14ac:dyDescent="0.25">
      <c r="A31" s="20" t="s">
        <v>42</v>
      </c>
      <c r="B31" s="70" t="s">
        <v>61</v>
      </c>
      <c r="C31" s="70" t="s">
        <v>62</v>
      </c>
      <c r="D31" s="20" t="s">
        <v>67</v>
      </c>
      <c r="E31" s="81">
        <v>4.0229070464997954E-3</v>
      </c>
      <c r="F31" s="81">
        <v>3.5063855597423049E-3</v>
      </c>
      <c r="G31" s="81">
        <v>3.1250962260919151E-3</v>
      </c>
      <c r="H31" s="82">
        <v>2.8001477516435801E-3</v>
      </c>
      <c r="I31" s="82">
        <v>2.5334269742567353E-3</v>
      </c>
      <c r="K31" s="143">
        <f t="shared" si="1"/>
        <v>3.7237001806076503E-4</v>
      </c>
      <c r="L31" s="144">
        <f t="shared" si="6"/>
        <v>0.10917561208385518</v>
      </c>
      <c r="M31" s="44">
        <f t="shared" si="7"/>
        <v>0.62975031363476075</v>
      </c>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row>
    <row r="32" spans="1:48" x14ac:dyDescent="0.25">
      <c r="A32" s="20"/>
      <c r="B32" s="70"/>
      <c r="C32" s="70"/>
      <c r="D32" s="70"/>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row>
    <row r="33" spans="1:48" x14ac:dyDescent="0.25">
      <c r="A33" s="154" t="s">
        <v>38</v>
      </c>
      <c r="B33" s="39" t="s">
        <v>19</v>
      </c>
      <c r="C33" s="39" t="s">
        <v>20</v>
      </c>
      <c r="D33" s="29">
        <v>2020</v>
      </c>
      <c r="E33" s="29">
        <f t="shared" ref="E33" si="8">D33+1</f>
        <v>2021</v>
      </c>
      <c r="F33" s="29">
        <f t="shared" ref="F33" si="9">E33+1</f>
        <v>2022</v>
      </c>
      <c r="G33" s="29">
        <f t="shared" ref="G33" si="10">F33+1</f>
        <v>2023</v>
      </c>
      <c r="H33" s="29">
        <f t="shared" ref="H33" si="11">G33+1</f>
        <v>2024</v>
      </c>
      <c r="I33" s="29">
        <f t="shared" ref="I33" si="12">H33+1</f>
        <v>2025</v>
      </c>
      <c r="J33" s="29">
        <f t="shared" ref="J33" si="13">I33+1</f>
        <v>2026</v>
      </c>
      <c r="K33" s="29">
        <f t="shared" ref="K33" si="14">J33+1</f>
        <v>2027</v>
      </c>
      <c r="L33" s="29">
        <f t="shared" ref="L33" si="15">K33+1</f>
        <v>2028</v>
      </c>
      <c r="M33" s="29">
        <f t="shared" ref="M33" si="16">L33+1</f>
        <v>2029</v>
      </c>
      <c r="N33" s="29">
        <f t="shared" ref="N33" si="17">M33+1</f>
        <v>2030</v>
      </c>
      <c r="O33" s="29">
        <f t="shared" ref="O33" si="18">N33+1</f>
        <v>2031</v>
      </c>
      <c r="P33" s="29">
        <f t="shared" ref="P33" si="19">O33+1</f>
        <v>2032</v>
      </c>
      <c r="Q33" s="29">
        <f t="shared" ref="Q33" si="20">P33+1</f>
        <v>2033</v>
      </c>
      <c r="R33" s="29">
        <f t="shared" ref="R33" si="21">Q33+1</f>
        <v>2034</v>
      </c>
      <c r="S33" s="29">
        <f t="shared" ref="S33" si="22">R33+1</f>
        <v>2035</v>
      </c>
      <c r="T33" s="29">
        <f t="shared" ref="T33" si="23">S33+1</f>
        <v>2036</v>
      </c>
      <c r="U33" s="29">
        <f t="shared" ref="U33" si="24">T33+1</f>
        <v>2037</v>
      </c>
      <c r="V33" s="29">
        <f t="shared" ref="V33" si="25">U33+1</f>
        <v>2038</v>
      </c>
      <c r="W33" s="29">
        <f t="shared" ref="W33" si="26">V33+1</f>
        <v>2039</v>
      </c>
      <c r="X33" s="29">
        <f t="shared" ref="X33" si="27">W33+1</f>
        <v>2040</v>
      </c>
      <c r="Y33" s="29">
        <f t="shared" ref="Y33" si="28">X33+1</f>
        <v>2041</v>
      </c>
      <c r="Z33" s="29">
        <f t="shared" ref="Z33" si="29">Y33+1</f>
        <v>2042</v>
      </c>
      <c r="AA33" s="29">
        <f t="shared" ref="AA33" si="30">Z33+1</f>
        <v>2043</v>
      </c>
      <c r="AB33" s="29">
        <f t="shared" ref="AB33" si="31">AA33+1</f>
        <v>2044</v>
      </c>
      <c r="AC33" s="29">
        <f t="shared" ref="AC33" si="32">AB33+1</f>
        <v>2045</v>
      </c>
      <c r="AD33" s="29">
        <f t="shared" ref="AD33" si="33">AC33+1</f>
        <v>2046</v>
      </c>
      <c r="AE33" s="29">
        <f t="shared" ref="AE33" si="34">AD33+1</f>
        <v>2047</v>
      </c>
      <c r="AF33" s="29">
        <f t="shared" ref="AF33" si="35">AE33+1</f>
        <v>2048</v>
      </c>
      <c r="AG33" s="29">
        <f t="shared" ref="AG33" si="36">AF33+1</f>
        <v>2049</v>
      </c>
      <c r="AH33" s="29">
        <f t="shared" ref="AH33" si="37">AG33+1</f>
        <v>2050</v>
      </c>
      <c r="AK33" s="39"/>
      <c r="AL33" s="39"/>
      <c r="AM33" s="39"/>
      <c r="AN33" s="39"/>
      <c r="AO33" s="39"/>
      <c r="AP33" s="39"/>
      <c r="AQ33" s="39"/>
      <c r="AR33" s="39"/>
      <c r="AS33" s="39"/>
      <c r="AT33" s="39"/>
      <c r="AU33" s="39"/>
      <c r="AV33" s="39"/>
    </row>
    <row r="34" spans="1:48" x14ac:dyDescent="0.25">
      <c r="A34" s="20" t="s">
        <v>7</v>
      </c>
      <c r="B34" s="220" t="s">
        <v>229</v>
      </c>
      <c r="C34" s="70" t="s">
        <v>49</v>
      </c>
      <c r="D34" s="67">
        <v>15700</v>
      </c>
      <c r="E34" s="67">
        <v>15900</v>
      </c>
      <c r="F34" s="67">
        <v>16100</v>
      </c>
      <c r="G34" s="67">
        <v>16400</v>
      </c>
      <c r="H34" s="67">
        <v>16600</v>
      </c>
      <c r="I34" s="67">
        <v>16800</v>
      </c>
      <c r="J34" s="67">
        <v>17000</v>
      </c>
      <c r="K34" s="67">
        <v>17300</v>
      </c>
      <c r="L34" s="67">
        <v>17500</v>
      </c>
      <c r="M34" s="67">
        <v>17700</v>
      </c>
      <c r="N34" s="67">
        <v>17700</v>
      </c>
      <c r="O34" s="67">
        <v>18000</v>
      </c>
      <c r="P34" s="67">
        <v>18000</v>
      </c>
      <c r="Q34" s="67">
        <v>18000</v>
      </c>
      <c r="R34" s="67">
        <v>18000</v>
      </c>
      <c r="S34" s="67">
        <v>18000</v>
      </c>
      <c r="T34" s="67">
        <v>18000</v>
      </c>
      <c r="U34" s="67">
        <v>18000</v>
      </c>
      <c r="V34" s="67">
        <v>18000</v>
      </c>
      <c r="W34" s="67">
        <v>18000</v>
      </c>
      <c r="X34" s="67">
        <v>18000</v>
      </c>
      <c r="Y34" s="67">
        <v>18000</v>
      </c>
      <c r="Z34" s="67">
        <v>18000</v>
      </c>
      <c r="AA34" s="67">
        <v>18000</v>
      </c>
      <c r="AB34" s="67">
        <v>18000</v>
      </c>
      <c r="AC34" s="67">
        <v>18000</v>
      </c>
      <c r="AD34" s="67">
        <v>18000</v>
      </c>
      <c r="AE34" s="67">
        <v>18000</v>
      </c>
      <c r="AF34" s="67">
        <v>18000</v>
      </c>
      <c r="AG34" s="67">
        <v>18000</v>
      </c>
      <c r="AH34" s="67">
        <v>18000</v>
      </c>
      <c r="AI34" s="44"/>
      <c r="AJ34" s="44"/>
      <c r="AK34" s="44"/>
      <c r="AL34" s="44"/>
      <c r="AM34" s="44"/>
      <c r="AN34" s="44"/>
      <c r="AO34" s="44"/>
      <c r="AP34" s="44"/>
      <c r="AQ34" s="44"/>
      <c r="AR34" s="44"/>
      <c r="AS34" s="44"/>
      <c r="AT34" s="44"/>
      <c r="AU34" s="44"/>
      <c r="AV34" s="44"/>
    </row>
    <row r="35" spans="1:48" x14ac:dyDescent="0.25">
      <c r="A35" s="20" t="s">
        <v>5</v>
      </c>
      <c r="B35" s="220" t="s">
        <v>229</v>
      </c>
      <c r="C35" s="70" t="s">
        <v>49</v>
      </c>
      <c r="D35" s="67">
        <v>40400</v>
      </c>
      <c r="E35" s="67">
        <v>41300</v>
      </c>
      <c r="F35" s="67">
        <v>42100</v>
      </c>
      <c r="G35" s="67">
        <v>43000</v>
      </c>
      <c r="H35" s="67">
        <v>43900</v>
      </c>
      <c r="I35" s="67">
        <v>44900</v>
      </c>
      <c r="J35" s="67">
        <v>45500</v>
      </c>
      <c r="K35" s="67">
        <v>46200</v>
      </c>
      <c r="L35" s="67">
        <v>46900</v>
      </c>
      <c r="M35" s="67">
        <v>47600</v>
      </c>
      <c r="N35" s="67">
        <v>48200</v>
      </c>
      <c r="O35" s="67">
        <v>48200</v>
      </c>
      <c r="P35" s="67">
        <v>48200</v>
      </c>
      <c r="Q35" s="67">
        <v>48200</v>
      </c>
      <c r="R35" s="67">
        <v>48200</v>
      </c>
      <c r="S35" s="67">
        <v>48200</v>
      </c>
      <c r="T35" s="67">
        <v>48200</v>
      </c>
      <c r="U35" s="67">
        <v>48200</v>
      </c>
      <c r="V35" s="67">
        <v>48200</v>
      </c>
      <c r="W35" s="67">
        <v>48200</v>
      </c>
      <c r="X35" s="67">
        <v>48200</v>
      </c>
      <c r="Y35" s="67">
        <v>48200</v>
      </c>
      <c r="Z35" s="67">
        <v>48200</v>
      </c>
      <c r="AA35" s="67">
        <v>48200</v>
      </c>
      <c r="AB35" s="67">
        <v>48200</v>
      </c>
      <c r="AC35" s="67">
        <v>48200</v>
      </c>
      <c r="AD35" s="67">
        <v>48200</v>
      </c>
      <c r="AE35" s="67">
        <v>48200</v>
      </c>
      <c r="AF35" s="67">
        <v>48200</v>
      </c>
      <c r="AG35" s="67">
        <v>48200</v>
      </c>
      <c r="AH35" s="67">
        <v>48200</v>
      </c>
      <c r="AI35" s="44"/>
      <c r="AJ35" s="44"/>
      <c r="AK35" s="44"/>
      <c r="AL35" s="44"/>
      <c r="AM35" s="44"/>
      <c r="AN35" s="44"/>
      <c r="AO35" s="44"/>
      <c r="AP35" s="44"/>
      <c r="AQ35" s="44"/>
      <c r="AR35" s="44"/>
      <c r="AS35" s="44"/>
      <c r="AT35" s="44"/>
      <c r="AU35" s="44"/>
      <c r="AV35" s="44"/>
    </row>
    <row r="36" spans="1:48" ht="18" x14ac:dyDescent="0.35">
      <c r="A36" s="20" t="s">
        <v>6</v>
      </c>
      <c r="B36" s="220" t="s">
        <v>229</v>
      </c>
      <c r="C36" s="39" t="s">
        <v>49</v>
      </c>
      <c r="D36" s="67">
        <v>50</v>
      </c>
      <c r="E36" s="67">
        <v>52</v>
      </c>
      <c r="F36" s="67">
        <v>53</v>
      </c>
      <c r="G36" s="33">
        <v>54</v>
      </c>
      <c r="H36" s="33">
        <v>55</v>
      </c>
      <c r="I36" s="33">
        <v>56</v>
      </c>
      <c r="J36" s="33">
        <v>57</v>
      </c>
      <c r="K36" s="33">
        <v>58</v>
      </c>
      <c r="L36" s="33">
        <v>59</v>
      </c>
      <c r="M36" s="33">
        <v>60</v>
      </c>
      <c r="N36" s="33">
        <v>61</v>
      </c>
      <c r="O36" s="33">
        <v>62</v>
      </c>
      <c r="P36" s="33">
        <v>63</v>
      </c>
      <c r="Q36" s="33">
        <v>64</v>
      </c>
      <c r="R36" s="33">
        <v>66</v>
      </c>
      <c r="S36" s="33">
        <v>67</v>
      </c>
      <c r="T36" s="33">
        <v>68</v>
      </c>
      <c r="U36" s="33">
        <v>69</v>
      </c>
      <c r="V36" s="33">
        <v>70</v>
      </c>
      <c r="W36" s="33">
        <v>71</v>
      </c>
      <c r="X36" s="33">
        <v>72</v>
      </c>
      <c r="Y36" s="33">
        <v>73</v>
      </c>
      <c r="Z36" s="33">
        <v>75</v>
      </c>
      <c r="AA36" s="33">
        <v>76</v>
      </c>
      <c r="AB36" s="33">
        <v>77</v>
      </c>
      <c r="AC36" s="33">
        <v>78</v>
      </c>
      <c r="AD36" s="33">
        <v>79</v>
      </c>
      <c r="AE36" s="33">
        <v>80</v>
      </c>
      <c r="AF36" s="33">
        <v>81</v>
      </c>
      <c r="AG36" s="33">
        <v>83</v>
      </c>
      <c r="AH36" s="33">
        <v>84</v>
      </c>
      <c r="AI36" s="44"/>
      <c r="AJ36" s="44"/>
      <c r="AK36" s="44"/>
      <c r="AL36" s="44"/>
      <c r="AM36" s="44"/>
      <c r="AN36" s="44"/>
      <c r="AO36" s="44"/>
      <c r="AP36" s="44"/>
      <c r="AQ36" s="44"/>
      <c r="AR36" s="44"/>
      <c r="AS36" s="44"/>
      <c r="AT36" s="44"/>
      <c r="AU36" s="44"/>
      <c r="AV36" s="44"/>
    </row>
    <row r="37" spans="1:48" x14ac:dyDescent="0.25">
      <c r="A37" s="20" t="s">
        <v>42</v>
      </c>
      <c r="B37" s="220" t="s">
        <v>229</v>
      </c>
      <c r="C37" s="70" t="s">
        <v>49</v>
      </c>
      <c r="D37" s="67">
        <v>729300</v>
      </c>
      <c r="E37" s="67">
        <v>742300</v>
      </c>
      <c r="F37" s="67">
        <v>755500</v>
      </c>
      <c r="G37" s="67">
        <v>769000</v>
      </c>
      <c r="H37" s="67">
        <v>782700</v>
      </c>
      <c r="I37" s="67">
        <v>796600</v>
      </c>
      <c r="J37" s="67">
        <v>807500</v>
      </c>
      <c r="K37" s="67">
        <v>818600</v>
      </c>
      <c r="L37" s="67">
        <v>829800</v>
      </c>
      <c r="M37" s="67">
        <v>841200</v>
      </c>
      <c r="N37" s="67">
        <v>852700</v>
      </c>
      <c r="O37" s="67">
        <v>852700</v>
      </c>
      <c r="P37" s="67">
        <v>852700</v>
      </c>
      <c r="Q37" s="67">
        <v>852700</v>
      </c>
      <c r="R37" s="67">
        <v>852700</v>
      </c>
      <c r="S37" s="67">
        <v>852700</v>
      </c>
      <c r="T37" s="67">
        <v>852700</v>
      </c>
      <c r="U37" s="67">
        <v>852700</v>
      </c>
      <c r="V37" s="67">
        <v>852700</v>
      </c>
      <c r="W37" s="67">
        <v>852700</v>
      </c>
      <c r="X37" s="67">
        <v>852700</v>
      </c>
      <c r="Y37" s="67">
        <v>852700</v>
      </c>
      <c r="Z37" s="67">
        <v>852700</v>
      </c>
      <c r="AA37" s="67">
        <v>852700</v>
      </c>
      <c r="AB37" s="67">
        <v>852700</v>
      </c>
      <c r="AC37" s="67">
        <v>852700</v>
      </c>
      <c r="AD37" s="67">
        <v>852700</v>
      </c>
      <c r="AE37" s="67">
        <v>852700</v>
      </c>
      <c r="AF37" s="67">
        <v>852700</v>
      </c>
      <c r="AG37" s="67">
        <v>852700</v>
      </c>
      <c r="AH37" s="67">
        <v>852700</v>
      </c>
      <c r="AI37" s="44"/>
      <c r="AJ37" s="44"/>
      <c r="AK37" s="44"/>
      <c r="AL37" s="44"/>
      <c r="AM37" s="44"/>
      <c r="AN37" s="44"/>
      <c r="AO37" s="44"/>
      <c r="AP37" s="44"/>
      <c r="AQ37" s="44"/>
      <c r="AR37" s="44"/>
      <c r="AS37" s="44"/>
      <c r="AT37" s="44"/>
      <c r="AU37" s="44"/>
      <c r="AV37" s="44"/>
    </row>
    <row r="38" spans="1:48" x14ac:dyDescent="0.25">
      <c r="A38" s="30"/>
    </row>
    <row r="39" spans="1:48" x14ac:dyDescent="0.25">
      <c r="A39" s="30"/>
    </row>
    <row r="40" spans="1:48" x14ac:dyDescent="0.25">
      <c r="A40" s="217" t="s">
        <v>240</v>
      </c>
      <c r="B40" s="218" t="s">
        <v>19</v>
      </c>
      <c r="C40" s="218" t="s">
        <v>20</v>
      </c>
      <c r="D40" s="29">
        <v>2020</v>
      </c>
      <c r="E40" s="29">
        <f t="shared" ref="E40:AJ40" si="38">D40+1</f>
        <v>2021</v>
      </c>
      <c r="F40" s="29">
        <f t="shared" si="38"/>
        <v>2022</v>
      </c>
      <c r="G40" s="29">
        <f t="shared" si="38"/>
        <v>2023</v>
      </c>
      <c r="H40" s="29">
        <f t="shared" si="38"/>
        <v>2024</v>
      </c>
      <c r="I40" s="29">
        <f t="shared" si="38"/>
        <v>2025</v>
      </c>
      <c r="J40" s="29">
        <f t="shared" si="38"/>
        <v>2026</v>
      </c>
      <c r="K40" s="29">
        <f t="shared" si="38"/>
        <v>2027</v>
      </c>
      <c r="L40" s="29">
        <f t="shared" si="38"/>
        <v>2028</v>
      </c>
      <c r="M40" s="29">
        <f t="shared" si="38"/>
        <v>2029</v>
      </c>
      <c r="N40" s="29">
        <f t="shared" si="38"/>
        <v>2030</v>
      </c>
      <c r="O40" s="29">
        <f t="shared" si="38"/>
        <v>2031</v>
      </c>
      <c r="P40" s="29">
        <f t="shared" si="38"/>
        <v>2032</v>
      </c>
      <c r="Q40" s="29">
        <f t="shared" si="38"/>
        <v>2033</v>
      </c>
      <c r="R40" s="29">
        <f t="shared" si="38"/>
        <v>2034</v>
      </c>
      <c r="S40" s="29">
        <f t="shared" si="38"/>
        <v>2035</v>
      </c>
      <c r="T40" s="29">
        <f t="shared" si="38"/>
        <v>2036</v>
      </c>
      <c r="U40" s="29">
        <f t="shared" si="38"/>
        <v>2037</v>
      </c>
      <c r="V40" s="29">
        <f t="shared" si="38"/>
        <v>2038</v>
      </c>
      <c r="W40" s="29">
        <f t="shared" si="38"/>
        <v>2039</v>
      </c>
      <c r="X40" s="29">
        <f t="shared" si="38"/>
        <v>2040</v>
      </c>
      <c r="Y40" s="29">
        <f t="shared" si="38"/>
        <v>2041</v>
      </c>
      <c r="Z40" s="29">
        <f t="shared" si="38"/>
        <v>2042</v>
      </c>
      <c r="AA40" s="29">
        <f t="shared" si="38"/>
        <v>2043</v>
      </c>
      <c r="AB40" s="29">
        <f t="shared" si="38"/>
        <v>2044</v>
      </c>
      <c r="AC40" s="29">
        <f t="shared" si="38"/>
        <v>2045</v>
      </c>
      <c r="AD40" s="29">
        <f t="shared" si="38"/>
        <v>2046</v>
      </c>
      <c r="AE40" s="29">
        <f t="shared" si="38"/>
        <v>2047</v>
      </c>
      <c r="AF40" s="29">
        <f t="shared" si="38"/>
        <v>2048</v>
      </c>
      <c r="AG40" s="29">
        <f t="shared" si="38"/>
        <v>2049</v>
      </c>
      <c r="AH40" s="29">
        <f t="shared" si="38"/>
        <v>2050</v>
      </c>
      <c r="AI40" s="29">
        <f t="shared" si="38"/>
        <v>2051</v>
      </c>
      <c r="AJ40" s="29">
        <f t="shared" si="38"/>
        <v>2052</v>
      </c>
    </row>
    <row r="41" spans="1:48" x14ac:dyDescent="0.25">
      <c r="A41" s="219" t="s">
        <v>8</v>
      </c>
      <c r="B41" s="220" t="s">
        <v>229</v>
      </c>
      <c r="C41" s="218" t="s">
        <v>39</v>
      </c>
      <c r="D41" s="56">
        <v>3900</v>
      </c>
      <c r="E41" s="56">
        <f t="shared" ref="E41:AJ41" si="39">D41</f>
        <v>3900</v>
      </c>
      <c r="F41" s="56">
        <f t="shared" si="39"/>
        <v>3900</v>
      </c>
      <c r="G41" s="56">
        <f t="shared" si="39"/>
        <v>3900</v>
      </c>
      <c r="H41" s="56">
        <f t="shared" si="39"/>
        <v>3900</v>
      </c>
      <c r="I41" s="56">
        <f t="shared" si="39"/>
        <v>3900</v>
      </c>
      <c r="J41" s="56">
        <f t="shared" si="39"/>
        <v>3900</v>
      </c>
      <c r="K41" s="56">
        <f t="shared" si="39"/>
        <v>3900</v>
      </c>
      <c r="L41" s="56">
        <f t="shared" si="39"/>
        <v>3900</v>
      </c>
      <c r="M41" s="56">
        <f t="shared" si="39"/>
        <v>3900</v>
      </c>
      <c r="N41" s="56">
        <f t="shared" si="39"/>
        <v>3900</v>
      </c>
      <c r="O41" s="56">
        <f t="shared" si="39"/>
        <v>3900</v>
      </c>
      <c r="P41" s="56">
        <f t="shared" si="39"/>
        <v>3900</v>
      </c>
      <c r="Q41" s="56">
        <f t="shared" si="39"/>
        <v>3900</v>
      </c>
      <c r="R41" s="56">
        <f t="shared" si="39"/>
        <v>3900</v>
      </c>
      <c r="S41" s="56">
        <f t="shared" si="39"/>
        <v>3900</v>
      </c>
      <c r="T41" s="56">
        <f t="shared" si="39"/>
        <v>3900</v>
      </c>
      <c r="U41" s="56">
        <f t="shared" si="39"/>
        <v>3900</v>
      </c>
      <c r="V41" s="56">
        <f t="shared" si="39"/>
        <v>3900</v>
      </c>
      <c r="W41" s="56">
        <f t="shared" si="39"/>
        <v>3900</v>
      </c>
      <c r="X41" s="56">
        <f t="shared" si="39"/>
        <v>3900</v>
      </c>
      <c r="Y41" s="56">
        <f t="shared" si="39"/>
        <v>3900</v>
      </c>
      <c r="Z41" s="56">
        <f t="shared" si="39"/>
        <v>3900</v>
      </c>
      <c r="AA41" s="56">
        <f t="shared" si="39"/>
        <v>3900</v>
      </c>
      <c r="AB41" s="56">
        <f t="shared" si="39"/>
        <v>3900</v>
      </c>
      <c r="AC41" s="56">
        <f t="shared" si="39"/>
        <v>3900</v>
      </c>
      <c r="AD41" s="56">
        <f t="shared" si="39"/>
        <v>3900</v>
      </c>
      <c r="AE41" s="56">
        <f t="shared" si="39"/>
        <v>3900</v>
      </c>
      <c r="AF41" s="56">
        <f t="shared" si="39"/>
        <v>3900</v>
      </c>
      <c r="AG41" s="56">
        <f t="shared" si="39"/>
        <v>3900</v>
      </c>
      <c r="AH41" s="56">
        <f t="shared" si="39"/>
        <v>3900</v>
      </c>
      <c r="AI41" s="56">
        <f t="shared" si="39"/>
        <v>3900</v>
      </c>
      <c r="AJ41" s="56">
        <f t="shared" si="39"/>
        <v>3900</v>
      </c>
      <c r="AK41" s="56"/>
      <c r="AL41" s="56"/>
      <c r="AM41" s="56"/>
      <c r="AN41" s="56"/>
      <c r="AO41" s="56"/>
      <c r="AP41" s="56"/>
      <c r="AQ41" s="56"/>
      <c r="AR41" s="56"/>
      <c r="AS41" s="56"/>
      <c r="AT41" s="56"/>
      <c r="AU41" s="56"/>
    </row>
    <row r="42" spans="1:48" x14ac:dyDescent="0.25">
      <c r="A42" s="219" t="s">
        <v>9</v>
      </c>
      <c r="B42" s="220" t="s">
        <v>229</v>
      </c>
      <c r="C42" s="218" t="s">
        <v>39</v>
      </c>
      <c r="D42" s="56">
        <v>77200</v>
      </c>
      <c r="E42" s="56">
        <f t="shared" ref="E42:AJ42" si="40">D42</f>
        <v>77200</v>
      </c>
      <c r="F42" s="56">
        <f t="shared" si="40"/>
        <v>77200</v>
      </c>
      <c r="G42" s="56">
        <f t="shared" si="40"/>
        <v>77200</v>
      </c>
      <c r="H42" s="56">
        <f t="shared" si="40"/>
        <v>77200</v>
      </c>
      <c r="I42" s="56">
        <f t="shared" si="40"/>
        <v>77200</v>
      </c>
      <c r="J42" s="56">
        <f t="shared" si="40"/>
        <v>77200</v>
      </c>
      <c r="K42" s="56">
        <f t="shared" si="40"/>
        <v>77200</v>
      </c>
      <c r="L42" s="56">
        <f t="shared" si="40"/>
        <v>77200</v>
      </c>
      <c r="M42" s="56">
        <f t="shared" si="40"/>
        <v>77200</v>
      </c>
      <c r="N42" s="56">
        <f t="shared" si="40"/>
        <v>77200</v>
      </c>
      <c r="O42" s="56">
        <f t="shared" si="40"/>
        <v>77200</v>
      </c>
      <c r="P42" s="56">
        <f t="shared" si="40"/>
        <v>77200</v>
      </c>
      <c r="Q42" s="56">
        <f t="shared" si="40"/>
        <v>77200</v>
      </c>
      <c r="R42" s="56">
        <f t="shared" si="40"/>
        <v>77200</v>
      </c>
      <c r="S42" s="56">
        <f t="shared" si="40"/>
        <v>77200</v>
      </c>
      <c r="T42" s="56">
        <f t="shared" si="40"/>
        <v>77200</v>
      </c>
      <c r="U42" s="56">
        <f t="shared" si="40"/>
        <v>77200</v>
      </c>
      <c r="V42" s="56">
        <f t="shared" si="40"/>
        <v>77200</v>
      </c>
      <c r="W42" s="56">
        <f t="shared" si="40"/>
        <v>77200</v>
      </c>
      <c r="X42" s="56">
        <f t="shared" si="40"/>
        <v>77200</v>
      </c>
      <c r="Y42" s="56">
        <f t="shared" si="40"/>
        <v>77200</v>
      </c>
      <c r="Z42" s="56">
        <f t="shared" si="40"/>
        <v>77200</v>
      </c>
      <c r="AA42" s="56">
        <f t="shared" si="40"/>
        <v>77200</v>
      </c>
      <c r="AB42" s="56">
        <f t="shared" si="40"/>
        <v>77200</v>
      </c>
      <c r="AC42" s="56">
        <f t="shared" si="40"/>
        <v>77200</v>
      </c>
      <c r="AD42" s="56">
        <f t="shared" si="40"/>
        <v>77200</v>
      </c>
      <c r="AE42" s="56">
        <f t="shared" si="40"/>
        <v>77200</v>
      </c>
      <c r="AF42" s="56">
        <f t="shared" si="40"/>
        <v>77200</v>
      </c>
      <c r="AG42" s="56">
        <f t="shared" si="40"/>
        <v>77200</v>
      </c>
      <c r="AH42" s="56">
        <f t="shared" si="40"/>
        <v>77200</v>
      </c>
      <c r="AI42" s="56">
        <f t="shared" si="40"/>
        <v>77200</v>
      </c>
      <c r="AJ42" s="56">
        <f t="shared" si="40"/>
        <v>77200</v>
      </c>
      <c r="AK42" s="56"/>
      <c r="AL42" s="56"/>
      <c r="AM42" s="56"/>
      <c r="AN42" s="56"/>
      <c r="AO42" s="56"/>
      <c r="AP42" s="56"/>
      <c r="AQ42" s="56"/>
      <c r="AR42" s="56"/>
      <c r="AS42" s="56"/>
      <c r="AT42" s="56"/>
      <c r="AU42" s="56"/>
    </row>
    <row r="43" spans="1:48" x14ac:dyDescent="0.25">
      <c r="A43" s="219" t="s">
        <v>10</v>
      </c>
      <c r="B43" s="220" t="s">
        <v>229</v>
      </c>
      <c r="C43" s="218" t="s">
        <v>39</v>
      </c>
      <c r="D43" s="56">
        <v>151100</v>
      </c>
      <c r="E43" s="56">
        <f t="shared" ref="E43:AJ43" si="41">D43</f>
        <v>151100</v>
      </c>
      <c r="F43" s="56">
        <f t="shared" si="41"/>
        <v>151100</v>
      </c>
      <c r="G43" s="56">
        <f t="shared" si="41"/>
        <v>151100</v>
      </c>
      <c r="H43" s="56">
        <f t="shared" si="41"/>
        <v>151100</v>
      </c>
      <c r="I43" s="56">
        <f t="shared" si="41"/>
        <v>151100</v>
      </c>
      <c r="J43" s="56">
        <f t="shared" si="41"/>
        <v>151100</v>
      </c>
      <c r="K43" s="56">
        <f t="shared" si="41"/>
        <v>151100</v>
      </c>
      <c r="L43" s="56">
        <f t="shared" si="41"/>
        <v>151100</v>
      </c>
      <c r="M43" s="56">
        <f t="shared" si="41"/>
        <v>151100</v>
      </c>
      <c r="N43" s="56">
        <f t="shared" si="41"/>
        <v>151100</v>
      </c>
      <c r="O43" s="56">
        <f t="shared" si="41"/>
        <v>151100</v>
      </c>
      <c r="P43" s="56">
        <f t="shared" si="41"/>
        <v>151100</v>
      </c>
      <c r="Q43" s="56">
        <f t="shared" si="41"/>
        <v>151100</v>
      </c>
      <c r="R43" s="56">
        <f t="shared" si="41"/>
        <v>151100</v>
      </c>
      <c r="S43" s="56">
        <f t="shared" si="41"/>
        <v>151100</v>
      </c>
      <c r="T43" s="56">
        <f t="shared" si="41"/>
        <v>151100</v>
      </c>
      <c r="U43" s="56">
        <f t="shared" si="41"/>
        <v>151100</v>
      </c>
      <c r="V43" s="56">
        <f t="shared" si="41"/>
        <v>151100</v>
      </c>
      <c r="W43" s="56">
        <f t="shared" si="41"/>
        <v>151100</v>
      </c>
      <c r="X43" s="56">
        <f t="shared" si="41"/>
        <v>151100</v>
      </c>
      <c r="Y43" s="56">
        <f t="shared" si="41"/>
        <v>151100</v>
      </c>
      <c r="Z43" s="56">
        <f t="shared" si="41"/>
        <v>151100</v>
      </c>
      <c r="AA43" s="56">
        <f t="shared" si="41"/>
        <v>151100</v>
      </c>
      <c r="AB43" s="56">
        <f t="shared" si="41"/>
        <v>151100</v>
      </c>
      <c r="AC43" s="56">
        <f t="shared" si="41"/>
        <v>151100</v>
      </c>
      <c r="AD43" s="56">
        <f t="shared" si="41"/>
        <v>151100</v>
      </c>
      <c r="AE43" s="56">
        <f t="shared" si="41"/>
        <v>151100</v>
      </c>
      <c r="AF43" s="56">
        <f t="shared" si="41"/>
        <v>151100</v>
      </c>
      <c r="AG43" s="56">
        <f t="shared" si="41"/>
        <v>151100</v>
      </c>
      <c r="AH43" s="56">
        <f t="shared" si="41"/>
        <v>151100</v>
      </c>
      <c r="AI43" s="56">
        <f t="shared" si="41"/>
        <v>151100</v>
      </c>
      <c r="AJ43" s="56">
        <f t="shared" si="41"/>
        <v>151100</v>
      </c>
      <c r="AK43" s="56"/>
      <c r="AL43" s="56"/>
      <c r="AM43" s="56"/>
      <c r="AN43" s="56"/>
      <c r="AO43" s="56"/>
      <c r="AP43" s="56"/>
      <c r="AQ43" s="56"/>
      <c r="AR43" s="56"/>
      <c r="AS43" s="56"/>
      <c r="AT43" s="56"/>
      <c r="AU43" s="56"/>
    </row>
    <row r="44" spans="1:48" x14ac:dyDescent="0.25">
      <c r="A44" s="219" t="s">
        <v>11</v>
      </c>
      <c r="B44" s="220" t="s">
        <v>229</v>
      </c>
      <c r="C44" s="218" t="s">
        <v>39</v>
      </c>
      <c r="D44" s="56">
        <v>554800</v>
      </c>
      <c r="E44" s="56">
        <f t="shared" ref="E44:AJ44" si="42">D44</f>
        <v>554800</v>
      </c>
      <c r="F44" s="56">
        <f t="shared" si="42"/>
        <v>554800</v>
      </c>
      <c r="G44" s="56">
        <f t="shared" si="42"/>
        <v>554800</v>
      </c>
      <c r="H44" s="56">
        <f t="shared" si="42"/>
        <v>554800</v>
      </c>
      <c r="I44" s="56">
        <f t="shared" si="42"/>
        <v>554800</v>
      </c>
      <c r="J44" s="56">
        <f t="shared" si="42"/>
        <v>554800</v>
      </c>
      <c r="K44" s="56">
        <f t="shared" si="42"/>
        <v>554800</v>
      </c>
      <c r="L44" s="56">
        <f t="shared" si="42"/>
        <v>554800</v>
      </c>
      <c r="M44" s="56">
        <f t="shared" si="42"/>
        <v>554800</v>
      </c>
      <c r="N44" s="56">
        <f t="shared" si="42"/>
        <v>554800</v>
      </c>
      <c r="O44" s="56">
        <f t="shared" si="42"/>
        <v>554800</v>
      </c>
      <c r="P44" s="56">
        <f t="shared" si="42"/>
        <v>554800</v>
      </c>
      <c r="Q44" s="56">
        <f t="shared" si="42"/>
        <v>554800</v>
      </c>
      <c r="R44" s="56">
        <f t="shared" si="42"/>
        <v>554800</v>
      </c>
      <c r="S44" s="56">
        <f t="shared" si="42"/>
        <v>554800</v>
      </c>
      <c r="T44" s="56">
        <f t="shared" si="42"/>
        <v>554800</v>
      </c>
      <c r="U44" s="56">
        <f t="shared" si="42"/>
        <v>554800</v>
      </c>
      <c r="V44" s="56">
        <f t="shared" si="42"/>
        <v>554800</v>
      </c>
      <c r="W44" s="56">
        <f t="shared" si="42"/>
        <v>554800</v>
      </c>
      <c r="X44" s="56">
        <f t="shared" si="42"/>
        <v>554800</v>
      </c>
      <c r="Y44" s="56">
        <f t="shared" si="42"/>
        <v>554800</v>
      </c>
      <c r="Z44" s="56">
        <f t="shared" si="42"/>
        <v>554800</v>
      </c>
      <c r="AA44" s="56">
        <f t="shared" si="42"/>
        <v>554800</v>
      </c>
      <c r="AB44" s="56">
        <f t="shared" si="42"/>
        <v>554800</v>
      </c>
      <c r="AC44" s="56">
        <f t="shared" si="42"/>
        <v>554800</v>
      </c>
      <c r="AD44" s="56">
        <f t="shared" si="42"/>
        <v>554800</v>
      </c>
      <c r="AE44" s="56">
        <f t="shared" si="42"/>
        <v>554800</v>
      </c>
      <c r="AF44" s="56">
        <f t="shared" si="42"/>
        <v>554800</v>
      </c>
      <c r="AG44" s="56">
        <f t="shared" si="42"/>
        <v>554800</v>
      </c>
      <c r="AH44" s="56">
        <f t="shared" si="42"/>
        <v>554800</v>
      </c>
      <c r="AI44" s="56">
        <f t="shared" si="42"/>
        <v>554800</v>
      </c>
      <c r="AJ44" s="56">
        <f t="shared" si="42"/>
        <v>554800</v>
      </c>
      <c r="AK44" s="56"/>
      <c r="AL44" s="56"/>
      <c r="AM44" s="56"/>
      <c r="AN44" s="56"/>
      <c r="AO44" s="56"/>
      <c r="AP44" s="56"/>
      <c r="AQ44" s="56"/>
      <c r="AR44" s="56"/>
      <c r="AS44" s="56"/>
      <c r="AT44" s="56"/>
      <c r="AU44" s="56"/>
    </row>
    <row r="45" spans="1:48" x14ac:dyDescent="0.25">
      <c r="A45" s="219" t="s">
        <v>12</v>
      </c>
      <c r="B45" s="220" t="s">
        <v>229</v>
      </c>
      <c r="C45" s="218" t="s">
        <v>39</v>
      </c>
      <c r="D45" s="56">
        <v>11600000</v>
      </c>
      <c r="E45" s="56">
        <f t="shared" ref="E45:AJ45" si="43">D45</f>
        <v>11600000</v>
      </c>
      <c r="F45" s="56">
        <f t="shared" si="43"/>
        <v>11600000</v>
      </c>
      <c r="G45" s="56">
        <f t="shared" si="43"/>
        <v>11600000</v>
      </c>
      <c r="H45" s="56">
        <f t="shared" si="43"/>
        <v>11600000</v>
      </c>
      <c r="I45" s="56">
        <f t="shared" si="43"/>
        <v>11600000</v>
      </c>
      <c r="J45" s="56">
        <f t="shared" si="43"/>
        <v>11600000</v>
      </c>
      <c r="K45" s="56">
        <f t="shared" si="43"/>
        <v>11600000</v>
      </c>
      <c r="L45" s="56">
        <f t="shared" si="43"/>
        <v>11600000</v>
      </c>
      <c r="M45" s="56">
        <f t="shared" si="43"/>
        <v>11600000</v>
      </c>
      <c r="N45" s="56">
        <f t="shared" si="43"/>
        <v>11600000</v>
      </c>
      <c r="O45" s="56">
        <f t="shared" si="43"/>
        <v>11600000</v>
      </c>
      <c r="P45" s="56">
        <f t="shared" si="43"/>
        <v>11600000</v>
      </c>
      <c r="Q45" s="56">
        <f t="shared" si="43"/>
        <v>11600000</v>
      </c>
      <c r="R45" s="56">
        <f t="shared" si="43"/>
        <v>11600000</v>
      </c>
      <c r="S45" s="56">
        <f t="shared" si="43"/>
        <v>11600000</v>
      </c>
      <c r="T45" s="56">
        <f t="shared" si="43"/>
        <v>11600000</v>
      </c>
      <c r="U45" s="56">
        <f t="shared" si="43"/>
        <v>11600000</v>
      </c>
      <c r="V45" s="56">
        <f t="shared" si="43"/>
        <v>11600000</v>
      </c>
      <c r="W45" s="56">
        <f t="shared" si="43"/>
        <v>11600000</v>
      </c>
      <c r="X45" s="56">
        <f t="shared" si="43"/>
        <v>11600000</v>
      </c>
      <c r="Y45" s="56">
        <f t="shared" si="43"/>
        <v>11600000</v>
      </c>
      <c r="Z45" s="56">
        <f t="shared" si="43"/>
        <v>11600000</v>
      </c>
      <c r="AA45" s="56">
        <f t="shared" si="43"/>
        <v>11600000</v>
      </c>
      <c r="AB45" s="56">
        <f t="shared" si="43"/>
        <v>11600000</v>
      </c>
      <c r="AC45" s="56">
        <f t="shared" si="43"/>
        <v>11600000</v>
      </c>
      <c r="AD45" s="56">
        <f t="shared" si="43"/>
        <v>11600000</v>
      </c>
      <c r="AE45" s="56">
        <f t="shared" si="43"/>
        <v>11600000</v>
      </c>
      <c r="AF45" s="56">
        <f t="shared" si="43"/>
        <v>11600000</v>
      </c>
      <c r="AG45" s="56">
        <f t="shared" si="43"/>
        <v>11600000</v>
      </c>
      <c r="AH45" s="56">
        <f t="shared" si="43"/>
        <v>11600000</v>
      </c>
      <c r="AI45" s="56">
        <f t="shared" si="43"/>
        <v>11600000</v>
      </c>
      <c r="AJ45" s="56">
        <f t="shared" si="43"/>
        <v>11600000</v>
      </c>
      <c r="AK45" s="56"/>
      <c r="AL45" s="56"/>
      <c r="AM45" s="56"/>
      <c r="AN45" s="56"/>
      <c r="AO45" s="56"/>
      <c r="AP45" s="56"/>
      <c r="AQ45" s="56"/>
      <c r="AR45" s="56"/>
      <c r="AS45" s="56"/>
      <c r="AT45" s="56"/>
      <c r="AU45" s="56"/>
    </row>
    <row r="46" spans="1:48" x14ac:dyDescent="0.25">
      <c r="A46" s="218"/>
      <c r="B46" s="218"/>
      <c r="C46" s="218"/>
    </row>
    <row r="47" spans="1:48" x14ac:dyDescent="0.25">
      <c r="A47" s="155" t="s">
        <v>230</v>
      </c>
      <c r="B47" s="70"/>
      <c r="C47" s="70"/>
      <c r="D47" s="29">
        <v>2020</v>
      </c>
      <c r="E47" s="29">
        <f t="shared" ref="E47" si="44">D47+1</f>
        <v>2021</v>
      </c>
      <c r="F47" s="29">
        <f t="shared" ref="F47" si="45">E47+1</f>
        <v>2022</v>
      </c>
      <c r="G47" s="29">
        <f t="shared" ref="G47" si="46">F47+1</f>
        <v>2023</v>
      </c>
      <c r="H47" s="29">
        <f t="shared" ref="H47" si="47">G47+1</f>
        <v>2024</v>
      </c>
      <c r="I47" s="29">
        <f t="shared" ref="I47" si="48">H47+1</f>
        <v>2025</v>
      </c>
      <c r="J47" s="29">
        <f t="shared" ref="J47" si="49">I47+1</f>
        <v>2026</v>
      </c>
      <c r="K47" s="29">
        <f t="shared" ref="K47" si="50">J47+1</f>
        <v>2027</v>
      </c>
      <c r="L47" s="29">
        <f t="shared" ref="L47" si="51">K47+1</f>
        <v>2028</v>
      </c>
      <c r="M47" s="29">
        <f t="shared" ref="M47" si="52">L47+1</f>
        <v>2029</v>
      </c>
      <c r="N47" s="29">
        <f t="shared" ref="N47" si="53">M47+1</f>
        <v>2030</v>
      </c>
      <c r="O47" s="29">
        <f t="shared" ref="O47" si="54">N47+1</f>
        <v>2031</v>
      </c>
      <c r="P47" s="29">
        <f t="shared" ref="P47" si="55">O47+1</f>
        <v>2032</v>
      </c>
      <c r="Q47" s="29">
        <f t="shared" ref="Q47" si="56">P47+1</f>
        <v>2033</v>
      </c>
      <c r="R47" s="29">
        <f t="shared" ref="R47" si="57">Q47+1</f>
        <v>2034</v>
      </c>
      <c r="S47" s="29">
        <f t="shared" ref="S47" si="58">R47+1</f>
        <v>2035</v>
      </c>
      <c r="T47" s="29">
        <f t="shared" ref="T47" si="59">S47+1</f>
        <v>2036</v>
      </c>
      <c r="U47" s="29">
        <f t="shared" ref="U47" si="60">T47+1</f>
        <v>2037</v>
      </c>
      <c r="V47" s="29">
        <f t="shared" ref="V47" si="61">U47+1</f>
        <v>2038</v>
      </c>
      <c r="W47" s="29">
        <f t="shared" ref="W47" si="62">V47+1</f>
        <v>2039</v>
      </c>
      <c r="X47" s="29">
        <f t="shared" ref="X47" si="63">W47+1</f>
        <v>2040</v>
      </c>
      <c r="Y47" s="29">
        <f t="shared" ref="Y47" si="64">X47+1</f>
        <v>2041</v>
      </c>
      <c r="Z47" s="29">
        <f t="shared" ref="Z47" si="65">Y47+1</f>
        <v>2042</v>
      </c>
      <c r="AA47" s="29">
        <f t="shared" ref="AA47" si="66">Z47+1</f>
        <v>2043</v>
      </c>
      <c r="AB47" s="29">
        <f t="shared" ref="AB47" si="67">AA47+1</f>
        <v>2044</v>
      </c>
      <c r="AC47" s="29">
        <f t="shared" ref="AC47" si="68">AB47+1</f>
        <v>2045</v>
      </c>
      <c r="AD47" s="29">
        <f t="shared" ref="AD47" si="69">AC47+1</f>
        <v>2046</v>
      </c>
      <c r="AE47" s="29">
        <f t="shared" ref="AE47" si="70">AD47+1</f>
        <v>2047</v>
      </c>
      <c r="AF47" s="29">
        <f t="shared" ref="AF47" si="71">AE47+1</f>
        <v>2048</v>
      </c>
      <c r="AG47" s="29">
        <f t="shared" ref="AG47" si="72">AF47+1</f>
        <v>2049</v>
      </c>
      <c r="AH47" s="29">
        <f t="shared" ref="AH47" si="73">AG47+1</f>
        <v>2050</v>
      </c>
      <c r="AI47" s="29">
        <f t="shared" ref="AI47" si="74">AH47+1</f>
        <v>2051</v>
      </c>
      <c r="AJ47" s="29">
        <f t="shared" ref="AJ47" si="75">AI47+1</f>
        <v>2052</v>
      </c>
    </row>
    <row r="48" spans="1:48" x14ac:dyDescent="0.25">
      <c r="A48" s="20" t="s">
        <v>40</v>
      </c>
      <c r="B48" s="221" t="s">
        <v>229</v>
      </c>
      <c r="C48" s="70"/>
      <c r="D48" s="37">
        <v>17.8</v>
      </c>
      <c r="E48" s="37">
        <f>D48</f>
        <v>17.8</v>
      </c>
      <c r="F48" s="37">
        <f t="shared" ref="F48:AV50" si="76">E48</f>
        <v>17.8</v>
      </c>
      <c r="G48" s="37">
        <f t="shared" si="76"/>
        <v>17.8</v>
      </c>
      <c r="H48" s="37">
        <f t="shared" si="76"/>
        <v>17.8</v>
      </c>
      <c r="I48" s="37">
        <f t="shared" si="76"/>
        <v>17.8</v>
      </c>
      <c r="J48" s="37">
        <f t="shared" si="76"/>
        <v>17.8</v>
      </c>
      <c r="K48" s="37">
        <f t="shared" si="76"/>
        <v>17.8</v>
      </c>
      <c r="L48" s="37">
        <f t="shared" si="76"/>
        <v>17.8</v>
      </c>
      <c r="M48" s="37">
        <f t="shared" si="76"/>
        <v>17.8</v>
      </c>
      <c r="N48" s="37">
        <f t="shared" si="76"/>
        <v>17.8</v>
      </c>
      <c r="O48" s="37">
        <f t="shared" si="76"/>
        <v>17.8</v>
      </c>
      <c r="P48" s="37">
        <f t="shared" si="76"/>
        <v>17.8</v>
      </c>
      <c r="Q48" s="37">
        <f t="shared" si="76"/>
        <v>17.8</v>
      </c>
      <c r="R48" s="37">
        <f t="shared" si="76"/>
        <v>17.8</v>
      </c>
      <c r="S48" s="37">
        <f t="shared" si="76"/>
        <v>17.8</v>
      </c>
      <c r="T48" s="37">
        <f t="shared" si="76"/>
        <v>17.8</v>
      </c>
      <c r="U48" s="37">
        <f t="shared" si="76"/>
        <v>17.8</v>
      </c>
      <c r="V48" s="37">
        <f t="shared" si="76"/>
        <v>17.8</v>
      </c>
      <c r="W48" s="37">
        <f t="shared" si="76"/>
        <v>17.8</v>
      </c>
      <c r="X48" s="37">
        <f t="shared" si="76"/>
        <v>17.8</v>
      </c>
      <c r="Y48" s="37">
        <f t="shared" si="76"/>
        <v>17.8</v>
      </c>
      <c r="Z48" s="37">
        <f t="shared" si="76"/>
        <v>17.8</v>
      </c>
      <c r="AA48" s="37">
        <f t="shared" si="76"/>
        <v>17.8</v>
      </c>
      <c r="AB48" s="37">
        <f t="shared" si="76"/>
        <v>17.8</v>
      </c>
      <c r="AC48" s="37">
        <f t="shared" si="76"/>
        <v>17.8</v>
      </c>
      <c r="AD48" s="37">
        <f t="shared" si="76"/>
        <v>17.8</v>
      </c>
      <c r="AE48" s="37">
        <f t="shared" si="76"/>
        <v>17.8</v>
      </c>
      <c r="AF48" s="37">
        <f t="shared" si="76"/>
        <v>17.8</v>
      </c>
      <c r="AG48" s="37">
        <f t="shared" si="76"/>
        <v>17.8</v>
      </c>
      <c r="AH48" s="37">
        <f t="shared" si="76"/>
        <v>17.8</v>
      </c>
      <c r="AI48" s="37">
        <f t="shared" si="76"/>
        <v>17.8</v>
      </c>
      <c r="AJ48" s="37">
        <f t="shared" si="76"/>
        <v>17.8</v>
      </c>
      <c r="AK48" s="37"/>
      <c r="AL48" s="37"/>
      <c r="AM48" s="37"/>
      <c r="AN48" s="37"/>
      <c r="AO48" s="37"/>
      <c r="AP48" s="37"/>
      <c r="AQ48" s="37"/>
      <c r="AR48" s="37"/>
      <c r="AS48" s="37"/>
      <c r="AT48" s="37"/>
      <c r="AU48" s="37"/>
      <c r="AV48" s="37">
        <f t="shared" si="76"/>
        <v>0</v>
      </c>
    </row>
    <row r="49" spans="1:48" x14ac:dyDescent="0.25">
      <c r="A49" s="20" t="s">
        <v>41</v>
      </c>
      <c r="B49" s="221" t="s">
        <v>229</v>
      </c>
      <c r="C49" s="70"/>
      <c r="D49" s="37">
        <v>32</v>
      </c>
      <c r="E49" s="37">
        <f t="shared" ref="E49:T49" si="77">D49</f>
        <v>32</v>
      </c>
      <c r="F49" s="37">
        <f t="shared" si="77"/>
        <v>32</v>
      </c>
      <c r="G49" s="37">
        <f t="shared" si="77"/>
        <v>32</v>
      </c>
      <c r="H49" s="37">
        <f t="shared" si="77"/>
        <v>32</v>
      </c>
      <c r="I49" s="37">
        <f t="shared" si="77"/>
        <v>32</v>
      </c>
      <c r="J49" s="37">
        <f t="shared" si="77"/>
        <v>32</v>
      </c>
      <c r="K49" s="37">
        <f t="shared" si="77"/>
        <v>32</v>
      </c>
      <c r="L49" s="37">
        <f t="shared" si="77"/>
        <v>32</v>
      </c>
      <c r="M49" s="37">
        <f t="shared" si="77"/>
        <v>32</v>
      </c>
      <c r="N49" s="37">
        <f t="shared" si="77"/>
        <v>32</v>
      </c>
      <c r="O49" s="37">
        <f t="shared" si="77"/>
        <v>32</v>
      </c>
      <c r="P49" s="37">
        <f t="shared" si="77"/>
        <v>32</v>
      </c>
      <c r="Q49" s="37">
        <f t="shared" si="77"/>
        <v>32</v>
      </c>
      <c r="R49" s="37">
        <f t="shared" si="77"/>
        <v>32</v>
      </c>
      <c r="S49" s="37">
        <f t="shared" si="77"/>
        <v>32</v>
      </c>
      <c r="T49" s="37">
        <f t="shared" si="77"/>
        <v>32</v>
      </c>
      <c r="U49" s="37">
        <f t="shared" si="76"/>
        <v>32</v>
      </c>
      <c r="V49" s="37">
        <f t="shared" si="76"/>
        <v>32</v>
      </c>
      <c r="W49" s="37">
        <f t="shared" si="76"/>
        <v>32</v>
      </c>
      <c r="X49" s="37">
        <f t="shared" si="76"/>
        <v>32</v>
      </c>
      <c r="Y49" s="37">
        <f t="shared" si="76"/>
        <v>32</v>
      </c>
      <c r="Z49" s="37">
        <f t="shared" si="76"/>
        <v>32</v>
      </c>
      <c r="AA49" s="37">
        <f t="shared" si="76"/>
        <v>32</v>
      </c>
      <c r="AB49" s="37">
        <f t="shared" si="76"/>
        <v>32</v>
      </c>
      <c r="AC49" s="37">
        <f t="shared" si="76"/>
        <v>32</v>
      </c>
      <c r="AD49" s="37">
        <f t="shared" si="76"/>
        <v>32</v>
      </c>
      <c r="AE49" s="37">
        <f t="shared" si="76"/>
        <v>32</v>
      </c>
      <c r="AF49" s="37">
        <f t="shared" si="76"/>
        <v>32</v>
      </c>
      <c r="AG49" s="37">
        <f t="shared" si="76"/>
        <v>32</v>
      </c>
      <c r="AH49" s="37">
        <f t="shared" si="76"/>
        <v>32</v>
      </c>
      <c r="AI49" s="37">
        <f t="shared" si="76"/>
        <v>32</v>
      </c>
      <c r="AJ49" s="37">
        <f t="shared" si="76"/>
        <v>32</v>
      </c>
      <c r="AK49" s="37"/>
      <c r="AL49" s="37"/>
      <c r="AM49" s="37"/>
      <c r="AN49" s="37"/>
      <c r="AO49" s="37"/>
      <c r="AP49" s="37"/>
      <c r="AQ49" s="37"/>
      <c r="AR49" s="37"/>
      <c r="AS49" s="37"/>
      <c r="AT49" s="37"/>
      <c r="AU49" s="37"/>
      <c r="AV49" s="37">
        <f t="shared" si="76"/>
        <v>0</v>
      </c>
    </row>
    <row r="50" spans="1:48" x14ac:dyDescent="0.25">
      <c r="A50" s="20" t="s">
        <v>158</v>
      </c>
      <c r="B50" s="221" t="s">
        <v>229</v>
      </c>
      <c r="C50" s="70"/>
      <c r="D50" s="170">
        <v>32.4</v>
      </c>
      <c r="E50" s="37">
        <f t="shared" ref="E50" si="78">D50</f>
        <v>32.4</v>
      </c>
      <c r="F50" s="37">
        <f t="shared" ref="F50" si="79">E50</f>
        <v>32.4</v>
      </c>
      <c r="G50" s="37">
        <f t="shared" ref="G50" si="80">F50</f>
        <v>32.4</v>
      </c>
      <c r="H50" s="37">
        <f t="shared" ref="H50" si="81">G50</f>
        <v>32.4</v>
      </c>
      <c r="I50" s="37">
        <f t="shared" ref="I50" si="82">H50</f>
        <v>32.4</v>
      </c>
      <c r="J50" s="37">
        <f t="shared" ref="J50" si="83">I50</f>
        <v>32.4</v>
      </c>
      <c r="K50" s="37">
        <f t="shared" ref="K50" si="84">J50</f>
        <v>32.4</v>
      </c>
      <c r="L50" s="37">
        <f t="shared" ref="L50" si="85">K50</f>
        <v>32.4</v>
      </c>
      <c r="M50" s="37">
        <f t="shared" ref="M50" si="86">L50</f>
        <v>32.4</v>
      </c>
      <c r="N50" s="37">
        <f t="shared" ref="N50" si="87">M50</f>
        <v>32.4</v>
      </c>
      <c r="O50" s="37">
        <f t="shared" ref="O50" si="88">N50</f>
        <v>32.4</v>
      </c>
      <c r="P50" s="37">
        <f t="shared" ref="P50" si="89">O50</f>
        <v>32.4</v>
      </c>
      <c r="Q50" s="37">
        <f t="shared" ref="Q50" si="90">P50</f>
        <v>32.4</v>
      </c>
      <c r="R50" s="37">
        <f t="shared" ref="R50" si="91">Q50</f>
        <v>32.4</v>
      </c>
      <c r="S50" s="37">
        <f t="shared" ref="S50" si="92">R50</f>
        <v>32.4</v>
      </c>
      <c r="T50" s="37">
        <f t="shared" ref="T50" si="93">S50</f>
        <v>32.4</v>
      </c>
      <c r="U50" s="37">
        <f t="shared" si="76"/>
        <v>32.4</v>
      </c>
      <c r="V50" s="37">
        <f t="shared" si="76"/>
        <v>32.4</v>
      </c>
      <c r="W50" s="37">
        <f t="shared" si="76"/>
        <v>32.4</v>
      </c>
      <c r="X50" s="37">
        <f t="shared" si="76"/>
        <v>32.4</v>
      </c>
      <c r="Y50" s="37">
        <f t="shared" si="76"/>
        <v>32.4</v>
      </c>
      <c r="Z50" s="37">
        <f t="shared" si="76"/>
        <v>32.4</v>
      </c>
      <c r="AA50" s="37">
        <f t="shared" si="76"/>
        <v>32.4</v>
      </c>
      <c r="AB50" s="37">
        <f t="shared" si="76"/>
        <v>32.4</v>
      </c>
      <c r="AC50" s="37">
        <f t="shared" si="76"/>
        <v>32.4</v>
      </c>
      <c r="AD50" s="37">
        <f t="shared" si="76"/>
        <v>32.4</v>
      </c>
      <c r="AE50" s="37">
        <f t="shared" si="76"/>
        <v>32.4</v>
      </c>
      <c r="AF50" s="37">
        <f t="shared" si="76"/>
        <v>32.4</v>
      </c>
      <c r="AG50" s="37">
        <f t="shared" si="76"/>
        <v>32.4</v>
      </c>
      <c r="AH50" s="37">
        <f t="shared" si="76"/>
        <v>32.4</v>
      </c>
      <c r="AI50" s="37">
        <f t="shared" si="76"/>
        <v>32.4</v>
      </c>
      <c r="AJ50" s="37">
        <f t="shared" si="76"/>
        <v>32.4</v>
      </c>
    </row>
    <row r="59" spans="1:48" x14ac:dyDescent="0.25">
      <c r="A59" s="38" t="s">
        <v>13</v>
      </c>
    </row>
    <row r="75" spans="1:7" x14ac:dyDescent="0.25">
      <c r="A75" s="69"/>
      <c r="B75" s="67"/>
      <c r="C75" s="67"/>
      <c r="D75" s="67"/>
      <c r="E75" s="67"/>
      <c r="F75" s="67"/>
    </row>
    <row r="76" spans="1:7" x14ac:dyDescent="0.25">
      <c r="A76" s="69"/>
      <c r="B76" s="67"/>
      <c r="C76" s="67"/>
      <c r="D76" s="67"/>
      <c r="E76" s="67"/>
      <c r="F76" s="67"/>
      <c r="G76" s="67"/>
    </row>
    <row r="77" spans="1:7" x14ac:dyDescent="0.25">
      <c r="A77" s="67"/>
      <c r="B77" s="67"/>
      <c r="C77" s="67"/>
      <c r="D77" s="67"/>
      <c r="F77" s="67"/>
    </row>
    <row r="78" spans="1:7" s="78" customFormat="1" x14ac:dyDescent="0.25">
      <c r="A78" s="76"/>
      <c r="B78" s="76"/>
      <c r="C78" s="76"/>
      <c r="D78" s="76"/>
      <c r="E78" s="77"/>
      <c r="F78" s="75"/>
    </row>
    <row r="79" spans="1:7" x14ac:dyDescent="0.25">
      <c r="B79" s="67"/>
      <c r="C79" s="67"/>
      <c r="D79" s="68"/>
      <c r="E79" s="68"/>
      <c r="F79" s="67"/>
    </row>
    <row r="80" spans="1:7" x14ac:dyDescent="0.25">
      <c r="A80" s="70"/>
      <c r="B80" s="67"/>
      <c r="C80" s="67"/>
      <c r="D80" s="68"/>
      <c r="E80" s="68"/>
      <c r="F80" s="67"/>
    </row>
    <row r="81" spans="1:6" x14ac:dyDescent="0.25">
      <c r="A81" s="67"/>
      <c r="B81" s="67"/>
      <c r="C81" s="67"/>
      <c r="D81" s="67"/>
      <c r="F81" s="67"/>
    </row>
    <row r="82" spans="1:6" x14ac:dyDescent="0.25">
      <c r="A82" s="67"/>
      <c r="B82" s="67"/>
      <c r="C82" s="67"/>
      <c r="D82" s="67"/>
      <c r="F82" s="67"/>
    </row>
    <row r="83" spans="1:6" x14ac:dyDescent="0.25">
      <c r="A83" s="67"/>
      <c r="B83" s="67"/>
      <c r="C83" s="67"/>
      <c r="D83" s="67"/>
      <c r="F83" s="67"/>
    </row>
    <row r="84" spans="1:6" x14ac:dyDescent="0.25">
      <c r="A84" s="67"/>
      <c r="B84" s="67"/>
      <c r="C84" s="67"/>
      <c r="D84" s="67"/>
      <c r="F84" s="67"/>
    </row>
  </sheetData>
  <phoneticPr fontId="14" type="noConversion"/>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C0E9-78DD-4D62-A83D-065DF8E269FB}">
  <dimension ref="A1"/>
  <sheetViews>
    <sheetView workbookViewId="0"/>
  </sheetViews>
  <sheetFormatPr defaultColWidth="8.57031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D602-3F95-4B4C-A3CE-801F28389066}">
  <dimension ref="A1"/>
  <sheetViews>
    <sheetView workbookViewId="0"/>
  </sheetViews>
  <sheetFormatPr defaultColWidth="8.57031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6C1F-D5FB-4B32-89EA-66FFF7EED211}">
  <sheetPr>
    <tabColor rgb="FFFF0000"/>
  </sheetPr>
  <dimension ref="A1:AN34"/>
  <sheetViews>
    <sheetView zoomScale="92" zoomScaleNormal="92" workbookViewId="0">
      <pane xSplit="1" topLeftCell="B1" activePane="topRight" state="frozen"/>
      <selection pane="topRight" activeCell="D16" sqref="D16"/>
    </sheetView>
  </sheetViews>
  <sheetFormatPr defaultColWidth="8.5703125" defaultRowHeight="15" x14ac:dyDescent="0.25"/>
  <cols>
    <col min="1" max="1" width="42.5703125" customWidth="1"/>
    <col min="2" max="38" width="13.5703125" customWidth="1"/>
  </cols>
  <sheetData>
    <row r="1" spans="1:40" ht="18.75" x14ac:dyDescent="0.3">
      <c r="A1" s="7" t="s">
        <v>203</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row>
    <row r="2" spans="1:40" ht="45" x14ac:dyDescent="0.25">
      <c r="A2" s="69"/>
      <c r="B2" s="119" t="s">
        <v>205</v>
      </c>
      <c r="C2" s="118"/>
      <c r="D2" s="67"/>
      <c r="E2" s="67"/>
      <c r="F2" s="263" t="s">
        <v>65</v>
      </c>
      <c r="G2" s="263"/>
      <c r="H2" s="192" t="s">
        <v>79</v>
      </c>
      <c r="I2" s="118"/>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row>
    <row r="3" spans="1:40" x14ac:dyDescent="0.25">
      <c r="A3" s="69"/>
      <c r="B3" s="99">
        <v>2019</v>
      </c>
      <c r="C3" s="99">
        <f t="shared" ref="C3:AF3" si="0">B3+1</f>
        <v>2020</v>
      </c>
      <c r="D3" s="69">
        <f t="shared" si="0"/>
        <v>2021</v>
      </c>
      <c r="E3" s="69">
        <f t="shared" si="0"/>
        <v>2022</v>
      </c>
      <c r="F3" s="99">
        <f t="shared" si="0"/>
        <v>2023</v>
      </c>
      <c r="G3" s="99">
        <f t="shared" si="0"/>
        <v>2024</v>
      </c>
      <c r="H3" s="69">
        <f t="shared" si="0"/>
        <v>2025</v>
      </c>
      <c r="I3" s="99">
        <f t="shared" si="0"/>
        <v>2026</v>
      </c>
      <c r="J3" s="69">
        <f t="shared" si="0"/>
        <v>2027</v>
      </c>
      <c r="K3" s="69">
        <f t="shared" si="0"/>
        <v>2028</v>
      </c>
      <c r="L3" s="69">
        <f t="shared" si="0"/>
        <v>2029</v>
      </c>
      <c r="M3" s="69">
        <f t="shared" si="0"/>
        <v>2030</v>
      </c>
      <c r="N3" s="69">
        <f t="shared" si="0"/>
        <v>2031</v>
      </c>
      <c r="O3" s="69">
        <f t="shared" si="0"/>
        <v>2032</v>
      </c>
      <c r="P3" s="69">
        <f t="shared" si="0"/>
        <v>2033</v>
      </c>
      <c r="Q3" s="69">
        <f t="shared" si="0"/>
        <v>2034</v>
      </c>
      <c r="R3" s="69">
        <f t="shared" si="0"/>
        <v>2035</v>
      </c>
      <c r="S3" s="69">
        <f t="shared" si="0"/>
        <v>2036</v>
      </c>
      <c r="T3" s="69">
        <f t="shared" si="0"/>
        <v>2037</v>
      </c>
      <c r="U3" s="69">
        <f t="shared" si="0"/>
        <v>2038</v>
      </c>
      <c r="V3" s="69">
        <f t="shared" si="0"/>
        <v>2039</v>
      </c>
      <c r="W3" s="69">
        <f t="shared" si="0"/>
        <v>2040</v>
      </c>
      <c r="X3" s="69">
        <f t="shared" si="0"/>
        <v>2041</v>
      </c>
      <c r="Y3" s="69">
        <f t="shared" si="0"/>
        <v>2042</v>
      </c>
      <c r="Z3" s="69">
        <f t="shared" si="0"/>
        <v>2043</v>
      </c>
      <c r="AA3" s="69">
        <f t="shared" si="0"/>
        <v>2044</v>
      </c>
      <c r="AB3" s="69">
        <f t="shared" si="0"/>
        <v>2045</v>
      </c>
      <c r="AC3" s="69">
        <f t="shared" si="0"/>
        <v>2046</v>
      </c>
      <c r="AD3" s="69">
        <f t="shared" si="0"/>
        <v>2047</v>
      </c>
      <c r="AE3" s="69">
        <f t="shared" si="0"/>
        <v>2048</v>
      </c>
      <c r="AF3" s="69">
        <f t="shared" si="0"/>
        <v>2049</v>
      </c>
      <c r="AG3" s="69"/>
      <c r="AH3" s="69" t="s">
        <v>210</v>
      </c>
      <c r="AI3" s="69"/>
      <c r="AJ3" s="69"/>
      <c r="AK3" s="69"/>
      <c r="AL3" s="69"/>
      <c r="AM3" s="67"/>
      <c r="AN3" s="67"/>
    </row>
    <row r="4" spans="1:40" x14ac:dyDescent="0.2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row>
    <row r="5" spans="1:40" s="67" customFormat="1" x14ac:dyDescent="0.25">
      <c r="A5" s="5" t="s">
        <v>202</v>
      </c>
    </row>
    <row r="6" spans="1:40" s="67" customFormat="1" x14ac:dyDescent="0.25">
      <c r="A6" s="69" t="s">
        <v>2</v>
      </c>
    </row>
    <row r="7" spans="1:40" x14ac:dyDescent="0.25">
      <c r="A7" s="2" t="s">
        <v>204</v>
      </c>
      <c r="B7" s="106">
        <f>B32*1000000</f>
        <v>5949999.9999999991</v>
      </c>
      <c r="C7" s="67"/>
      <c r="D7" s="67"/>
      <c r="E7" s="106"/>
      <c r="F7" s="106">
        <v>10000000</v>
      </c>
      <c r="G7" s="106">
        <v>10000000</v>
      </c>
      <c r="H7" s="106"/>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row>
    <row r="8" spans="1:40" x14ac:dyDescent="0.25">
      <c r="A8" s="2" t="s">
        <v>81</v>
      </c>
      <c r="B8" s="67"/>
      <c r="C8" s="67"/>
      <c r="D8" s="107"/>
      <c r="E8" s="148"/>
      <c r="F8" s="148"/>
      <c r="G8" s="148">
        <v>0</v>
      </c>
      <c r="H8" s="148">
        <v>0</v>
      </c>
      <c r="I8" s="148">
        <v>0</v>
      </c>
      <c r="J8" s="148">
        <v>0</v>
      </c>
      <c r="K8" s="148">
        <v>0</v>
      </c>
      <c r="L8" s="148">
        <v>0</v>
      </c>
      <c r="M8" s="148">
        <v>0</v>
      </c>
      <c r="N8" s="148">
        <v>0</v>
      </c>
      <c r="O8" s="148">
        <v>0</v>
      </c>
      <c r="P8" s="148">
        <v>0</v>
      </c>
      <c r="Q8" s="148">
        <v>0</v>
      </c>
      <c r="R8" s="148">
        <v>0</v>
      </c>
      <c r="S8" s="148">
        <v>0</v>
      </c>
      <c r="T8" s="148">
        <v>0</v>
      </c>
      <c r="U8" s="148">
        <v>0</v>
      </c>
      <c r="V8" s="148">
        <v>0</v>
      </c>
      <c r="W8" s="148">
        <v>0</v>
      </c>
      <c r="X8" s="148">
        <v>0</v>
      </c>
      <c r="Y8" s="148">
        <v>0</v>
      </c>
      <c r="Z8" s="148">
        <v>0</v>
      </c>
      <c r="AA8" s="148">
        <v>0</v>
      </c>
      <c r="AB8" s="148">
        <v>0</v>
      </c>
      <c r="AC8" s="148">
        <v>0</v>
      </c>
      <c r="AD8" s="148">
        <v>0</v>
      </c>
      <c r="AE8" s="148">
        <v>0</v>
      </c>
      <c r="AF8" s="148">
        <v>0</v>
      </c>
      <c r="AG8" s="148"/>
      <c r="AH8" s="148"/>
      <c r="AI8" s="148"/>
      <c r="AJ8" s="148"/>
      <c r="AK8" s="148"/>
      <c r="AL8" s="148"/>
      <c r="AM8" s="67"/>
      <c r="AN8" s="67"/>
    </row>
    <row r="9" spans="1:40" x14ac:dyDescent="0.25">
      <c r="A9" s="2" t="s">
        <v>82</v>
      </c>
      <c r="B9" s="67"/>
      <c r="C9" s="67"/>
      <c r="D9" s="67"/>
      <c r="F9" s="67"/>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10"/>
      <c r="AH9" s="10"/>
      <c r="AI9" s="10"/>
      <c r="AJ9" s="10"/>
      <c r="AK9" s="10"/>
      <c r="AL9" s="10"/>
      <c r="AM9" s="67"/>
      <c r="AN9" s="67"/>
    </row>
    <row r="10" spans="1:40" x14ac:dyDescent="0.25">
      <c r="A10" s="2" t="s">
        <v>83</v>
      </c>
      <c r="B10" s="67"/>
      <c r="C10" s="67"/>
      <c r="D10" s="67"/>
      <c r="E10" s="106"/>
      <c r="F10" s="106"/>
      <c r="G10" s="149">
        <v>-25000</v>
      </c>
      <c r="H10" s="149">
        <v>-25000</v>
      </c>
      <c r="I10" s="149">
        <v>-25000</v>
      </c>
      <c r="J10" s="149">
        <v>-25000</v>
      </c>
      <c r="K10" s="149">
        <v>-25000</v>
      </c>
      <c r="L10" s="149">
        <v>-25000</v>
      </c>
      <c r="M10" s="149">
        <v>-25000</v>
      </c>
      <c r="N10" s="149">
        <v>-25000</v>
      </c>
      <c r="O10" s="149">
        <v>-25000</v>
      </c>
      <c r="P10" s="149">
        <v>-25000</v>
      </c>
      <c r="Q10" s="149">
        <v>-25000</v>
      </c>
      <c r="R10" s="149">
        <v>-25000</v>
      </c>
      <c r="S10" s="149">
        <v>-25000</v>
      </c>
      <c r="T10" s="149">
        <v>-25000</v>
      </c>
      <c r="U10" s="149">
        <v>-25000</v>
      </c>
      <c r="V10" s="149">
        <v>-25000</v>
      </c>
      <c r="W10" s="149">
        <v>-25000</v>
      </c>
      <c r="X10" s="149">
        <v>-25000</v>
      </c>
      <c r="Y10" s="149">
        <v>-25000</v>
      </c>
      <c r="Z10" s="149">
        <v>-25000</v>
      </c>
      <c r="AA10" s="149">
        <v>-25000</v>
      </c>
      <c r="AB10" s="149">
        <v>-25000</v>
      </c>
      <c r="AC10" s="149">
        <v>-25000</v>
      </c>
      <c r="AD10" s="149">
        <v>-25000</v>
      </c>
      <c r="AE10" s="149">
        <v>-25000</v>
      </c>
      <c r="AF10" s="149">
        <v>-25000</v>
      </c>
      <c r="AG10" s="149"/>
      <c r="AH10" s="149"/>
      <c r="AI10" s="149"/>
      <c r="AJ10" s="149"/>
      <c r="AK10" s="149"/>
      <c r="AL10" s="149"/>
      <c r="AM10" s="67"/>
      <c r="AN10" s="67"/>
    </row>
    <row r="11" spans="1:40" s="67" customFormat="1" x14ac:dyDescent="0.25">
      <c r="A11" s="2" t="s">
        <v>108</v>
      </c>
      <c r="E11" s="106"/>
      <c r="F11" s="106"/>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f>(B7+F7+G7)*(1-25/40)</f>
        <v>9731250</v>
      </c>
      <c r="AG11" s="149"/>
      <c r="AH11" s="149"/>
      <c r="AI11" s="149"/>
      <c r="AJ11" s="149"/>
      <c r="AK11" s="149"/>
      <c r="AL11" s="149"/>
    </row>
    <row r="12" spans="1:40" s="67" customFormat="1" x14ac:dyDescent="0.25">
      <c r="A12" s="2"/>
      <c r="G12" s="10"/>
      <c r="H12" s="15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50"/>
      <c r="AH12" s="10"/>
      <c r="AI12" s="10"/>
      <c r="AJ12" s="10"/>
      <c r="AK12" s="10"/>
      <c r="AL12" s="10"/>
    </row>
    <row r="13" spans="1:40" s="67" customFormat="1" x14ac:dyDescent="0.25">
      <c r="A13" s="14" t="s">
        <v>77</v>
      </c>
      <c r="G13" s="10"/>
      <c r="H13" s="15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row r="14" spans="1:40" x14ac:dyDescent="0.25">
      <c r="A14" s="2" t="s">
        <v>81</v>
      </c>
      <c r="B14" s="67"/>
      <c r="C14" s="67"/>
      <c r="D14" s="106"/>
      <c r="E14" s="106"/>
      <c r="F14" s="106"/>
      <c r="G14" s="149">
        <v>0</v>
      </c>
      <c r="H14" s="149">
        <v>0</v>
      </c>
      <c r="I14" s="149">
        <v>0</v>
      </c>
      <c r="J14" s="149">
        <v>0</v>
      </c>
      <c r="K14" s="149">
        <v>0</v>
      </c>
      <c r="L14" s="149">
        <v>0</v>
      </c>
      <c r="M14" s="149">
        <v>0</v>
      </c>
      <c r="N14" s="149">
        <v>0</v>
      </c>
      <c r="O14" s="149">
        <v>0</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49"/>
      <c r="AH14" s="149"/>
      <c r="AI14" s="149"/>
      <c r="AJ14" s="149"/>
      <c r="AK14" s="149"/>
      <c r="AL14" s="149"/>
      <c r="AM14" s="67"/>
      <c r="AN14" s="67"/>
    </row>
    <row r="15" spans="1:40" s="67" customFormat="1" x14ac:dyDescent="0.25">
      <c r="A15" s="2" t="s">
        <v>82</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3">
        <v>0</v>
      </c>
      <c r="AC15" s="23">
        <v>0</v>
      </c>
      <c r="AD15" s="23">
        <v>0</v>
      </c>
      <c r="AE15" s="23">
        <v>0</v>
      </c>
      <c r="AF15" s="23">
        <v>0</v>
      </c>
    </row>
    <row r="16" spans="1:40" s="67" customFormat="1" x14ac:dyDescent="0.25">
      <c r="A16" s="2"/>
      <c r="H16" s="108"/>
    </row>
    <row r="21" spans="1:12" x14ac:dyDescent="0.25">
      <c r="A21" t="s">
        <v>211</v>
      </c>
    </row>
    <row r="23" spans="1:12" x14ac:dyDescent="0.25">
      <c r="A23" s="67"/>
      <c r="B23" s="67"/>
      <c r="C23" s="67"/>
      <c r="D23" s="67"/>
      <c r="E23" s="67"/>
      <c r="F23" s="67"/>
      <c r="G23" s="67"/>
      <c r="H23" s="67"/>
      <c r="I23" s="75"/>
    </row>
    <row r="24" spans="1:12" ht="30.75" thickBot="1" x14ac:dyDescent="0.3">
      <c r="A24" s="194"/>
      <c r="B24" s="264" t="s">
        <v>212</v>
      </c>
      <c r="C24" s="264"/>
      <c r="D24" s="264" t="s">
        <v>213</v>
      </c>
      <c r="E24" s="264"/>
      <c r="F24" s="264" t="s">
        <v>214</v>
      </c>
      <c r="G24" s="264"/>
      <c r="H24" s="195" t="s">
        <v>215</v>
      </c>
      <c r="I24" s="196" t="s">
        <v>216</v>
      </c>
    </row>
    <row r="25" spans="1:12" ht="16.5" thickTop="1" thickBot="1" x14ac:dyDescent="0.3">
      <c r="A25" s="197"/>
      <c r="B25" s="198" t="s">
        <v>217</v>
      </c>
      <c r="C25" s="199" t="s">
        <v>218</v>
      </c>
      <c r="D25" s="198" t="s">
        <v>217</v>
      </c>
      <c r="E25" s="199" t="s">
        <v>218</v>
      </c>
      <c r="F25" s="198" t="s">
        <v>219</v>
      </c>
      <c r="G25" s="199" t="s">
        <v>220</v>
      </c>
      <c r="H25" s="200"/>
      <c r="I25" s="201"/>
      <c r="L25">
        <f>7200/15780</f>
        <v>0.45627376425855515</v>
      </c>
    </row>
    <row r="26" spans="1:12" ht="15.75" thickBot="1" x14ac:dyDescent="0.3">
      <c r="A26" s="202" t="s">
        <v>221</v>
      </c>
      <c r="B26" s="203">
        <v>1.35</v>
      </c>
      <c r="C26" s="201"/>
      <c r="D26" s="204"/>
      <c r="E26" s="201"/>
      <c r="F26" s="204"/>
      <c r="G26" s="201"/>
      <c r="H26" s="200"/>
      <c r="I26" s="205">
        <v>1.35</v>
      </c>
    </row>
    <row r="27" spans="1:12" ht="15.75" thickBot="1" x14ac:dyDescent="0.3">
      <c r="A27" s="197" t="s">
        <v>222</v>
      </c>
      <c r="B27" s="203">
        <v>4.5999999999999996</v>
      </c>
      <c r="C27" s="201"/>
      <c r="D27" s="204"/>
      <c r="E27" s="201"/>
      <c r="F27" s="204"/>
      <c r="G27" s="201"/>
      <c r="H27" s="200"/>
      <c r="I27" s="205">
        <v>4.5999999999999996</v>
      </c>
    </row>
    <row r="28" spans="1:12" ht="15.75" thickBot="1" x14ac:dyDescent="0.3">
      <c r="A28" s="197" t="s">
        <v>65</v>
      </c>
      <c r="B28" s="204"/>
      <c r="C28" s="205">
        <v>5</v>
      </c>
      <c r="D28" s="204"/>
      <c r="E28" s="205">
        <v>5</v>
      </c>
      <c r="F28" s="204"/>
      <c r="G28" s="201"/>
      <c r="H28" s="206">
        <v>10</v>
      </c>
      <c r="I28" s="201" t="s">
        <v>223</v>
      </c>
    </row>
    <row r="29" spans="1:12" ht="15.75" thickBot="1" x14ac:dyDescent="0.3">
      <c r="A29" s="197" t="s">
        <v>245</v>
      </c>
      <c r="B29" s="204">
        <v>2.17</v>
      </c>
      <c r="C29" s="201"/>
      <c r="D29" s="204"/>
      <c r="E29" s="201"/>
      <c r="F29" s="204"/>
      <c r="G29" s="201"/>
      <c r="H29" s="200"/>
      <c r="I29" s="205">
        <v>2.17</v>
      </c>
    </row>
    <row r="30" spans="1:12" x14ac:dyDescent="0.25">
      <c r="A30" s="207" t="s">
        <v>224</v>
      </c>
      <c r="B30" s="208">
        <v>8.1199999999999992</v>
      </c>
      <c r="C30" s="209" t="s">
        <v>225</v>
      </c>
      <c r="D30" s="210" t="s">
        <v>226</v>
      </c>
      <c r="E30" s="211">
        <v>5</v>
      </c>
      <c r="F30" s="210" t="s">
        <v>226</v>
      </c>
      <c r="G30" s="212" t="s">
        <v>226</v>
      </c>
      <c r="H30" s="213">
        <v>10</v>
      </c>
      <c r="I30" s="209" t="s">
        <v>227</v>
      </c>
    </row>
    <row r="32" spans="1:12" x14ac:dyDescent="0.25">
      <c r="B32" s="260">
        <f>B30-B29</f>
        <v>5.9499999999999993</v>
      </c>
    </row>
    <row r="34" spans="1:1" x14ac:dyDescent="0.25">
      <c r="A34" t="s">
        <v>244</v>
      </c>
    </row>
  </sheetData>
  <mergeCells count="4">
    <mergeCell ref="F2:G2"/>
    <mergeCell ref="B24:C24"/>
    <mergeCell ref="D24:E24"/>
    <mergeCell ref="F24:G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E73C4-A935-4B6D-BF36-68E8D2857505}">
  <sheetPr>
    <tabColor rgb="FF92D050"/>
  </sheetPr>
  <dimension ref="A1:AK97"/>
  <sheetViews>
    <sheetView zoomScaleNormal="100" workbookViewId="0">
      <selection activeCell="G21" sqref="G21"/>
    </sheetView>
  </sheetViews>
  <sheetFormatPr defaultColWidth="8.5703125" defaultRowHeight="15" x14ac:dyDescent="0.25"/>
  <cols>
    <col min="1" max="1" width="31.5703125" customWidth="1"/>
    <col min="2" max="2" width="11.5703125" style="67" hidden="1" customWidth="1"/>
    <col min="3" max="9" width="11.5703125" customWidth="1"/>
    <col min="10" max="10" width="15.5703125" customWidth="1"/>
    <col min="11" max="28" width="11.5703125" customWidth="1"/>
    <col min="29" max="37" width="9.42578125" bestFit="1" customWidth="1"/>
  </cols>
  <sheetData>
    <row r="1" spans="1:37" ht="18.75" x14ac:dyDescent="0.3">
      <c r="A1" s="7" t="s">
        <v>233</v>
      </c>
      <c r="B1" s="7"/>
    </row>
    <row r="2" spans="1:37" s="67" customFormat="1" ht="18.75" x14ac:dyDescent="0.3">
      <c r="A2" s="7"/>
      <c r="B2" s="7"/>
    </row>
    <row r="3" spans="1:37" x14ac:dyDescent="0.25">
      <c r="A3" s="5" t="s">
        <v>148</v>
      </c>
      <c r="B3" s="57">
        <v>2024</v>
      </c>
      <c r="C3" s="10">
        <v>2025</v>
      </c>
      <c r="D3">
        <f>C3+1</f>
        <v>2026</v>
      </c>
      <c r="E3">
        <f t="shared" ref="E3" si="0">D3+1</f>
        <v>2027</v>
      </c>
      <c r="F3">
        <f t="shared" ref="F3" si="1">E3+1</f>
        <v>2028</v>
      </c>
      <c r="G3">
        <f t="shared" ref="G3" si="2">F3+1</f>
        <v>2029</v>
      </c>
      <c r="H3">
        <f t="shared" ref="H3" si="3">G3+1</f>
        <v>2030</v>
      </c>
      <c r="I3">
        <f t="shared" ref="I3" si="4">H3+1</f>
        <v>2031</v>
      </c>
      <c r="J3">
        <f t="shared" ref="J3" si="5">I3+1</f>
        <v>2032</v>
      </c>
      <c r="K3">
        <f t="shared" ref="K3" si="6">J3+1</f>
        <v>2033</v>
      </c>
      <c r="L3">
        <f t="shared" ref="L3" si="7">K3+1</f>
        <v>2034</v>
      </c>
      <c r="M3">
        <f t="shared" ref="M3" si="8">L3+1</f>
        <v>2035</v>
      </c>
      <c r="N3">
        <f t="shared" ref="N3" si="9">M3+1</f>
        <v>2036</v>
      </c>
      <c r="O3">
        <f t="shared" ref="O3" si="10">N3+1</f>
        <v>2037</v>
      </c>
      <c r="P3">
        <f t="shared" ref="P3" si="11">O3+1</f>
        <v>2038</v>
      </c>
      <c r="Q3">
        <f t="shared" ref="Q3" si="12">P3+1</f>
        <v>2039</v>
      </c>
      <c r="R3">
        <f t="shared" ref="R3" si="13">Q3+1</f>
        <v>2040</v>
      </c>
      <c r="S3">
        <f t="shared" ref="S3" si="14">R3+1</f>
        <v>2041</v>
      </c>
      <c r="T3">
        <f t="shared" ref="T3" si="15">S3+1</f>
        <v>2042</v>
      </c>
      <c r="U3">
        <f t="shared" ref="U3" si="16">T3+1</f>
        <v>2043</v>
      </c>
      <c r="V3">
        <f t="shared" ref="V3" si="17">U3+1</f>
        <v>2044</v>
      </c>
      <c r="W3">
        <f t="shared" ref="W3" si="18">V3+1</f>
        <v>2045</v>
      </c>
      <c r="X3">
        <f t="shared" ref="X3" si="19">W3+1</f>
        <v>2046</v>
      </c>
      <c r="Y3">
        <f t="shared" ref="Y3" si="20">X3+1</f>
        <v>2047</v>
      </c>
      <c r="Z3">
        <f t="shared" ref="Z3" si="21">Y3+1</f>
        <v>2048</v>
      </c>
      <c r="AA3">
        <f t="shared" ref="AA3" si="22">Z3+1</f>
        <v>2049</v>
      </c>
    </row>
    <row r="4" spans="1:37" x14ac:dyDescent="0.25">
      <c r="A4" s="53" t="s">
        <v>14</v>
      </c>
      <c r="B4" s="215"/>
      <c r="C4" s="28">
        <f>($G$68*(C$26)^3)*' Look Up Data'!B5</f>
        <v>63559.713585062695</v>
      </c>
      <c r="D4" s="15">
        <f>C4*$C$26</f>
        <v>64036.704203118112</v>
      </c>
      <c r="E4" s="15">
        <f>D4*$C$26</f>
        <v>64517.274447903728</v>
      </c>
      <c r="F4" s="15">
        <f>E4*$C$26</f>
        <v>65001.451183108351</v>
      </c>
      <c r="G4" s="15">
        <f t="shared" ref="G4:AA4" si="23">F4*$C$26</f>
        <v>65489.261474022191</v>
      </c>
      <c r="H4" s="15">
        <f t="shared" si="23"/>
        <v>65980.732589049803</v>
      </c>
      <c r="I4" s="15">
        <f t="shared" si="23"/>
        <v>66475.892001234388</v>
      </c>
      <c r="J4" s="15">
        <f t="shared" si="23"/>
        <v>66974.767389793502</v>
      </c>
      <c r="K4" s="15">
        <f t="shared" si="23"/>
        <v>67477.386641666322</v>
      </c>
      <c r="L4" s="15">
        <f t="shared" si="23"/>
        <v>67983.777853072548</v>
      </c>
      <c r="M4" s="15">
        <f t="shared" si="23"/>
        <v>68493.969331082917</v>
      </c>
      <c r="N4" s="15">
        <f t="shared" si="23"/>
        <v>69007.989595201609</v>
      </c>
      <c r="O4" s="15">
        <f t="shared" si="23"/>
        <v>69525.867378960422</v>
      </c>
      <c r="P4" s="15">
        <f t="shared" si="23"/>
        <v>70047.631631525001</v>
      </c>
      <c r="Q4" s="15">
        <f t="shared" si="23"/>
        <v>70573.311519313094</v>
      </c>
      <c r="R4" s="15">
        <f t="shared" si="23"/>
        <v>71102.936427624925</v>
      </c>
      <c r="S4" s="15">
        <f t="shared" si="23"/>
        <v>71636.535962285794</v>
      </c>
      <c r="T4" s="15">
        <f t="shared" si="23"/>
        <v>72174.139951301098</v>
      </c>
      <c r="U4" s="15">
        <f t="shared" si="23"/>
        <v>72715.778446523647</v>
      </c>
      <c r="V4" s="15">
        <f t="shared" si="23"/>
        <v>73261.481725333564</v>
      </c>
      <c r="W4" s="15">
        <f t="shared" si="23"/>
        <v>73811.280292330805</v>
      </c>
      <c r="X4" s="15">
        <f t="shared" si="23"/>
        <v>74365.204881040321</v>
      </c>
      <c r="Y4" s="15">
        <f t="shared" si="23"/>
        <v>74923.286455630063</v>
      </c>
      <c r="Z4" s="15">
        <f t="shared" si="23"/>
        <v>75485.556212641881</v>
      </c>
      <c r="AA4" s="15">
        <f t="shared" si="23"/>
        <v>76052.045582735373</v>
      </c>
      <c r="AB4" s="28"/>
    </row>
    <row r="5" spans="1:37" hidden="1" x14ac:dyDescent="0.25">
      <c r="A5" s="53" t="s">
        <v>15</v>
      </c>
      <c r="B5" s="55"/>
      <c r="C5" s="28"/>
      <c r="D5" s="15"/>
      <c r="E5" s="15"/>
      <c r="F5" s="15"/>
      <c r="G5" s="15"/>
      <c r="H5" s="28"/>
      <c r="I5" s="15"/>
      <c r="J5" s="15"/>
      <c r="K5" s="15"/>
      <c r="L5" s="15"/>
      <c r="M5" s="28"/>
      <c r="N5" s="15"/>
      <c r="O5" s="15"/>
      <c r="P5" s="15"/>
      <c r="Q5" s="15"/>
      <c r="R5" s="28"/>
      <c r="S5" s="15"/>
      <c r="T5" s="15"/>
      <c r="U5" s="15"/>
      <c r="V5" s="15"/>
      <c r="W5" s="28"/>
      <c r="X5" s="15"/>
      <c r="Y5" s="15"/>
      <c r="Z5" s="15"/>
      <c r="AA5" s="15"/>
      <c r="AB5" s="28"/>
    </row>
    <row r="6" spans="1:37" hidden="1" x14ac:dyDescent="0.25">
      <c r="A6" s="53" t="s">
        <v>16</v>
      </c>
      <c r="B6" s="55"/>
      <c r="C6" s="28"/>
      <c r="D6" s="15"/>
      <c r="E6" s="15"/>
      <c r="F6" s="15"/>
      <c r="G6" s="15"/>
      <c r="H6" s="28"/>
      <c r="I6" s="15"/>
      <c r="J6" s="15"/>
      <c r="K6" s="15"/>
      <c r="L6" s="15"/>
      <c r="M6" s="28"/>
      <c r="N6" s="15"/>
      <c r="O6" s="15"/>
      <c r="P6" s="15"/>
      <c r="Q6" s="15"/>
      <c r="R6" s="28"/>
      <c r="S6" s="15"/>
      <c r="T6" s="15"/>
      <c r="U6" s="15"/>
      <c r="V6" s="15"/>
      <c r="W6" s="28"/>
      <c r="X6" s="15"/>
      <c r="Y6" s="15"/>
      <c r="Z6" s="15"/>
      <c r="AA6" s="15"/>
      <c r="AB6" s="28"/>
      <c r="AH6" s="3"/>
      <c r="AI6" s="3"/>
      <c r="AJ6" s="3"/>
      <c r="AK6" s="3"/>
    </row>
    <row r="7" spans="1:37" x14ac:dyDescent="0.25">
      <c r="A7" s="55" t="s">
        <v>33</v>
      </c>
      <c r="B7" s="55"/>
      <c r="C7" s="28">
        <f>($H$68*(C$26)^3)*' Look Up Data'!B5</f>
        <v>2814.1555667010689</v>
      </c>
      <c r="D7" s="15">
        <f>C7*$C$26</f>
        <v>2835.2746959002334</v>
      </c>
      <c r="E7" s="15">
        <f t="shared" ref="E7:AA7" si="24">D7*$C$26</f>
        <v>2856.5523158464657</v>
      </c>
      <c r="F7" s="15">
        <f t="shared" si="24"/>
        <v>2877.9896159504024</v>
      </c>
      <c r="G7" s="15">
        <f t="shared" si="24"/>
        <v>2899.5877945487382</v>
      </c>
      <c r="H7" s="15">
        <f t="shared" si="24"/>
        <v>2921.3480589712135</v>
      </c>
      <c r="I7" s="15">
        <f t="shared" si="24"/>
        <v>2943.2716256081021</v>
      </c>
      <c r="J7" s="15">
        <f t="shared" si="24"/>
        <v>2965.3597199782084</v>
      </c>
      <c r="K7" s="15">
        <f t="shared" si="24"/>
        <v>2987.6135767973724</v>
      </c>
      <c r="L7" s="15">
        <f t="shared" si="24"/>
        <v>3010.0344400474901</v>
      </c>
      <c r="M7" s="15">
        <f t="shared" si="24"/>
        <v>3032.6235630460519</v>
      </c>
      <c r="N7" s="15">
        <f t="shared" si="24"/>
        <v>3055.3822085162024</v>
      </c>
      <c r="O7" s="15">
        <f t="shared" si="24"/>
        <v>3078.3116486573263</v>
      </c>
      <c r="P7" s="15">
        <f t="shared" si="24"/>
        <v>3101.4131652161632</v>
      </c>
      <c r="Q7" s="15">
        <f t="shared" si="24"/>
        <v>3124.6880495584574</v>
      </c>
      <c r="R7" s="15">
        <f t="shared" si="24"/>
        <v>3148.1376027411443</v>
      </c>
      <c r="S7" s="15">
        <f t="shared" si="24"/>
        <v>3171.7631355850795</v>
      </c>
      <c r="T7" s="15">
        <f t="shared" si="24"/>
        <v>3195.5659687483121</v>
      </c>
      <c r="U7" s="15">
        <f t="shared" si="24"/>
        <v>3219.5474327999113</v>
      </c>
      <c r="V7" s="15">
        <f t="shared" si="24"/>
        <v>3243.7088682943418</v>
      </c>
      <c r="W7" s="15">
        <f t="shared" si="24"/>
        <v>3268.0516258464017</v>
      </c>
      <c r="X7" s="15">
        <f t="shared" si="24"/>
        <v>3292.5770662067221</v>
      </c>
      <c r="Y7" s="15">
        <f t="shared" si="24"/>
        <v>3317.2865603378305</v>
      </c>
      <c r="Z7" s="15">
        <f t="shared" si="24"/>
        <v>3342.1814894907889</v>
      </c>
      <c r="AA7" s="15">
        <f t="shared" si="24"/>
        <v>3367.2632452824046</v>
      </c>
      <c r="AB7" s="28"/>
      <c r="AH7" s="3"/>
      <c r="AI7" s="3"/>
      <c r="AJ7" s="3"/>
      <c r="AK7" s="3"/>
    </row>
    <row r="8" spans="1:37" x14ac:dyDescent="0.25">
      <c r="A8" s="54" t="s">
        <v>1</v>
      </c>
      <c r="B8" s="54"/>
      <c r="C8" s="17">
        <f>SUM(C4:C7)</f>
        <v>66373.869151763764</v>
      </c>
      <c r="D8" s="17">
        <f t="shared" ref="D8:AA8" si="25">SUM(D4:D7)</f>
        <v>66871.978899018344</v>
      </c>
      <c r="E8" s="17">
        <f t="shared" si="25"/>
        <v>67373.826763750199</v>
      </c>
      <c r="F8" s="17">
        <f t="shared" si="25"/>
        <v>67879.44079905875</v>
      </c>
      <c r="G8" s="17">
        <f t="shared" si="25"/>
        <v>68388.849268570935</v>
      </c>
      <c r="H8" s="17">
        <f t="shared" si="25"/>
        <v>68902.080648021016</v>
      </c>
      <c r="I8" s="17">
        <f t="shared" si="25"/>
        <v>69419.163626842492</v>
      </c>
      <c r="J8" s="17">
        <f t="shared" si="25"/>
        <v>69940.127109771711</v>
      </c>
      <c r="K8" s="17">
        <f t="shared" si="25"/>
        <v>70465.000218463698</v>
      </c>
      <c r="L8" s="17">
        <f t="shared" si="25"/>
        <v>70993.812293120034</v>
      </c>
      <c r="M8" s="17">
        <f t="shared" si="25"/>
        <v>71526.592894128975</v>
      </c>
      <c r="N8" s="17">
        <f t="shared" si="25"/>
        <v>72063.371803717804</v>
      </c>
      <c r="O8" s="17">
        <f t="shared" si="25"/>
        <v>72604.179027617749</v>
      </c>
      <c r="P8" s="17">
        <f t="shared" si="25"/>
        <v>73149.04479674116</v>
      </c>
      <c r="Q8" s="17">
        <f t="shared" si="25"/>
        <v>73697.999568871557</v>
      </c>
      <c r="R8" s="17">
        <f t="shared" si="25"/>
        <v>74251.074030366071</v>
      </c>
      <c r="S8" s="17">
        <f t="shared" si="25"/>
        <v>74808.299097870869</v>
      </c>
      <c r="T8" s="17">
        <f t="shared" si="25"/>
        <v>75369.705920049411</v>
      </c>
      <c r="U8" s="17">
        <f t="shared" si="25"/>
        <v>75935.325879323558</v>
      </c>
      <c r="V8" s="17">
        <f t="shared" si="25"/>
        <v>76505.190593627907</v>
      </c>
      <c r="W8" s="17">
        <f t="shared" si="25"/>
        <v>77079.331918177209</v>
      </c>
      <c r="X8" s="17">
        <f t="shared" si="25"/>
        <v>77657.781947247044</v>
      </c>
      <c r="Y8" s="17">
        <f t="shared" si="25"/>
        <v>78240.573015967893</v>
      </c>
      <c r="Z8" s="17">
        <f t="shared" si="25"/>
        <v>78827.737702132668</v>
      </c>
      <c r="AA8" s="17">
        <f t="shared" si="25"/>
        <v>79419.308828017776</v>
      </c>
      <c r="AB8" s="17"/>
      <c r="AH8" s="3"/>
      <c r="AI8" s="3"/>
      <c r="AJ8" s="3"/>
      <c r="AK8" s="3"/>
    </row>
    <row r="9" spans="1:37" x14ac:dyDescent="0.25">
      <c r="A9" s="54"/>
      <c r="B9" s="54"/>
      <c r="C9" s="17"/>
      <c r="D9" s="17"/>
      <c r="E9" s="17"/>
      <c r="F9" s="17"/>
      <c r="G9" s="17"/>
      <c r="H9" s="17"/>
      <c r="I9" s="17"/>
      <c r="J9" s="17"/>
      <c r="K9" s="17"/>
      <c r="L9" s="17"/>
      <c r="M9" s="17"/>
      <c r="N9" s="17"/>
      <c r="O9" s="17"/>
      <c r="P9" s="17"/>
      <c r="Q9" s="17"/>
      <c r="R9" s="17"/>
      <c r="S9" s="17"/>
      <c r="T9" s="17"/>
      <c r="U9" s="17"/>
      <c r="V9" s="17"/>
      <c r="W9" s="17"/>
      <c r="X9" s="17"/>
      <c r="Y9" s="17"/>
      <c r="Z9" s="17"/>
      <c r="AA9" s="17"/>
      <c r="AB9" s="17"/>
      <c r="AH9" s="3"/>
      <c r="AI9" s="3"/>
      <c r="AJ9" s="3"/>
      <c r="AK9" s="3"/>
    </row>
    <row r="10" spans="1:37" x14ac:dyDescent="0.25">
      <c r="A10" s="32" t="s">
        <v>232</v>
      </c>
      <c r="B10" s="32"/>
      <c r="AH10" s="3"/>
      <c r="AI10" s="3"/>
      <c r="AJ10" s="3"/>
      <c r="AK10" s="3"/>
    </row>
    <row r="11" spans="1:37" x14ac:dyDescent="0.25">
      <c r="A11" s="53" t="s">
        <v>14</v>
      </c>
      <c r="B11" s="55"/>
      <c r="C11" s="28">
        <f>C4*' Look Up Data'!$D$48</f>
        <v>1131362.9018141159</v>
      </c>
      <c r="D11" s="28">
        <f>D4*' Look Up Data'!$D$48</f>
        <v>1139853.3348155024</v>
      </c>
      <c r="E11" s="28">
        <f>E4*' Look Up Data'!$D$48</f>
        <v>1148407.4851726864</v>
      </c>
      <c r="F11" s="28">
        <f>F4*' Look Up Data'!$D$48</f>
        <v>1157025.8310593287</v>
      </c>
      <c r="G11" s="28">
        <f>G4*' Look Up Data'!$D$48</f>
        <v>1165708.8542375951</v>
      </c>
      <c r="H11" s="28">
        <f>H4*' Look Up Data'!$D$48</f>
        <v>1174457.0400850866</v>
      </c>
      <c r="I11" s="28">
        <f>I4*' Look Up Data'!$D$48</f>
        <v>1183270.8776219722</v>
      </c>
      <c r="J11" s="28">
        <f>J4*' Look Up Data'!$D$48</f>
        <v>1192150.8595383244</v>
      </c>
      <c r="K11" s="28">
        <f>K4*' Look Up Data'!$D$48</f>
        <v>1201097.4822216607</v>
      </c>
      <c r="L11" s="28">
        <f>L4*' Look Up Data'!$D$48</f>
        <v>1210111.2457846913</v>
      </c>
      <c r="M11" s="28">
        <f>M4*' Look Up Data'!$D$48</f>
        <v>1219192.654093276</v>
      </c>
      <c r="N11" s="28">
        <f>N4*' Look Up Data'!$D$48</f>
        <v>1228342.2147945887</v>
      </c>
      <c r="O11" s="28">
        <f>O4*' Look Up Data'!$D$48</f>
        <v>1237560.4393454955</v>
      </c>
      <c r="P11" s="28">
        <f>P4*' Look Up Data'!$D$48</f>
        <v>1246847.843041145</v>
      </c>
      <c r="Q11" s="28">
        <f>Q4*' Look Up Data'!$D$48</f>
        <v>1256204.9450437732</v>
      </c>
      <c r="R11" s="28">
        <f>R4*' Look Up Data'!$D$48</f>
        <v>1265632.2684117237</v>
      </c>
      <c r="S11" s="28">
        <f>S4*' Look Up Data'!$D$48</f>
        <v>1275130.3401286872</v>
      </c>
      <c r="T11" s="28">
        <f>T4*' Look Up Data'!$D$48</f>
        <v>1284699.6911331597</v>
      </c>
      <c r="U11" s="28">
        <f>U4*' Look Up Data'!$D$48</f>
        <v>1294340.8563481211</v>
      </c>
      <c r="V11" s="28">
        <f>V4*' Look Up Data'!$D$48</f>
        <v>1304054.3747109375</v>
      </c>
      <c r="W11" s="28">
        <f>W4*' Look Up Data'!$D$48</f>
        <v>1313840.7892034883</v>
      </c>
      <c r="X11" s="28">
        <f>X4*' Look Up Data'!$D$48</f>
        <v>1323700.6468825177</v>
      </c>
      <c r="Y11" s="28">
        <f>Y4*' Look Up Data'!$D$48</f>
        <v>1333634.4989102152</v>
      </c>
      <c r="Z11" s="28">
        <f>Z4*' Look Up Data'!$D$48</f>
        <v>1343642.9005850255</v>
      </c>
      <c r="AA11" s="28">
        <f>AA4*' Look Up Data'!$D$48</f>
        <v>1353726.4113726898</v>
      </c>
      <c r="AB11" s="28"/>
      <c r="AH11" s="3"/>
      <c r="AI11" s="3"/>
      <c r="AJ11" s="3"/>
      <c r="AK11" s="3"/>
    </row>
    <row r="12" spans="1:37" hidden="1" x14ac:dyDescent="0.25">
      <c r="A12" s="53" t="s">
        <v>15</v>
      </c>
      <c r="B12" s="55"/>
      <c r="C12" s="28">
        <f>C5*' Look Up Data'!$D$49</f>
        <v>0</v>
      </c>
      <c r="D12" s="28">
        <f>D5*' Look Up Data'!$D$49</f>
        <v>0</v>
      </c>
      <c r="E12" s="28">
        <f>E5*' Look Up Data'!$D$49</f>
        <v>0</v>
      </c>
      <c r="F12" s="28">
        <f>F5*' Look Up Data'!$D$49</f>
        <v>0</v>
      </c>
      <c r="G12" s="28">
        <f>G5*' Look Up Data'!$D$49</f>
        <v>0</v>
      </c>
      <c r="H12" s="28">
        <f>H5*' Look Up Data'!$D$49</f>
        <v>0</v>
      </c>
      <c r="I12" s="28">
        <f>I5*' Look Up Data'!$D$49</f>
        <v>0</v>
      </c>
      <c r="J12" s="28">
        <f>J5*' Look Up Data'!$D$49</f>
        <v>0</v>
      </c>
      <c r="K12" s="28">
        <f>K5*' Look Up Data'!$D$49</f>
        <v>0</v>
      </c>
      <c r="L12" s="28">
        <f>L5*' Look Up Data'!$D$49</f>
        <v>0</v>
      </c>
      <c r="M12" s="28">
        <f>M5*' Look Up Data'!$D$49</f>
        <v>0</v>
      </c>
      <c r="N12" s="28">
        <f>N5*' Look Up Data'!$D$49</f>
        <v>0</v>
      </c>
      <c r="O12" s="28">
        <f>O5*' Look Up Data'!$D$49</f>
        <v>0</v>
      </c>
      <c r="P12" s="28">
        <f>P5*' Look Up Data'!$D$49</f>
        <v>0</v>
      </c>
      <c r="Q12" s="28">
        <f>Q5*' Look Up Data'!$D$49</f>
        <v>0</v>
      </c>
      <c r="R12" s="28">
        <f>R5*' Look Up Data'!$D$49</f>
        <v>0</v>
      </c>
      <c r="S12" s="28">
        <f>S5*' Look Up Data'!$D$49</f>
        <v>0</v>
      </c>
      <c r="T12" s="28">
        <f>T5*' Look Up Data'!$D$49</f>
        <v>0</v>
      </c>
      <c r="U12" s="28">
        <f>U5*' Look Up Data'!$D$49</f>
        <v>0</v>
      </c>
      <c r="V12" s="28">
        <f>V5*' Look Up Data'!$D$49</f>
        <v>0</v>
      </c>
      <c r="W12" s="28">
        <f>W5*' Look Up Data'!$D$49</f>
        <v>0</v>
      </c>
      <c r="X12" s="28">
        <f>X5*' Look Up Data'!$D$49</f>
        <v>0</v>
      </c>
      <c r="Y12" s="28">
        <f>Y5*' Look Up Data'!$D$49</f>
        <v>0</v>
      </c>
      <c r="Z12" s="28">
        <f>Z5*' Look Up Data'!$D$49</f>
        <v>0</v>
      </c>
      <c r="AA12" s="28">
        <f>AA5*' Look Up Data'!$D$49</f>
        <v>0</v>
      </c>
      <c r="AB12" s="28"/>
      <c r="AH12" s="8"/>
      <c r="AI12" s="8"/>
      <c r="AJ12" s="8"/>
      <c r="AK12" s="8"/>
    </row>
    <row r="13" spans="1:37" hidden="1" x14ac:dyDescent="0.25">
      <c r="A13" s="53" t="s">
        <v>16</v>
      </c>
      <c r="B13" s="55"/>
      <c r="C13" s="28">
        <f>C6*' Look Up Data'!$D$49</f>
        <v>0</v>
      </c>
      <c r="D13" s="28">
        <f>D6*' Look Up Data'!$D$49</f>
        <v>0</v>
      </c>
      <c r="E13" s="28">
        <f>E6*' Look Up Data'!$D$49</f>
        <v>0</v>
      </c>
      <c r="F13" s="28">
        <f>F6*' Look Up Data'!$D$49</f>
        <v>0</v>
      </c>
      <c r="G13" s="28">
        <f>G6*' Look Up Data'!$D$49</f>
        <v>0</v>
      </c>
      <c r="H13" s="28">
        <f>H6*' Look Up Data'!$D$49</f>
        <v>0</v>
      </c>
      <c r="I13" s="28">
        <f>I6*' Look Up Data'!$D$49</f>
        <v>0</v>
      </c>
      <c r="J13" s="28">
        <f>J6*' Look Up Data'!$D$49</f>
        <v>0</v>
      </c>
      <c r="K13" s="28">
        <f>K6*' Look Up Data'!$D$49</f>
        <v>0</v>
      </c>
      <c r="L13" s="28">
        <f>L6*' Look Up Data'!$D$49</f>
        <v>0</v>
      </c>
      <c r="M13" s="28">
        <f>M6*' Look Up Data'!$D$49</f>
        <v>0</v>
      </c>
      <c r="N13" s="28">
        <f>N6*' Look Up Data'!$D$49</f>
        <v>0</v>
      </c>
      <c r="O13" s="28">
        <f>O6*' Look Up Data'!$D$49</f>
        <v>0</v>
      </c>
      <c r="P13" s="28">
        <f>P6*' Look Up Data'!$D$49</f>
        <v>0</v>
      </c>
      <c r="Q13" s="28">
        <f>Q6*' Look Up Data'!$D$49</f>
        <v>0</v>
      </c>
      <c r="R13" s="28">
        <f>R6*' Look Up Data'!$D$49</f>
        <v>0</v>
      </c>
      <c r="S13" s="28">
        <f>S6*' Look Up Data'!$D$49</f>
        <v>0</v>
      </c>
      <c r="T13" s="28">
        <f>T6*' Look Up Data'!$D$49</f>
        <v>0</v>
      </c>
      <c r="U13" s="28">
        <f>U6*' Look Up Data'!$D$49</f>
        <v>0</v>
      </c>
      <c r="V13" s="28">
        <f>V6*' Look Up Data'!$D$49</f>
        <v>0</v>
      </c>
      <c r="W13" s="28">
        <f>W6*' Look Up Data'!$D$49</f>
        <v>0</v>
      </c>
      <c r="X13" s="28">
        <f>X6*' Look Up Data'!$D$49</f>
        <v>0</v>
      </c>
      <c r="Y13" s="28">
        <f>Y6*' Look Up Data'!$D$49</f>
        <v>0</v>
      </c>
      <c r="Z13" s="28">
        <f>Z6*' Look Up Data'!$D$49</f>
        <v>0</v>
      </c>
      <c r="AA13" s="28">
        <f>AA6*' Look Up Data'!$D$49</f>
        <v>0</v>
      </c>
      <c r="AB13" s="28"/>
    </row>
    <row r="14" spans="1:37" s="67" customFormat="1" x14ac:dyDescent="0.25">
      <c r="A14" s="55" t="s">
        <v>33</v>
      </c>
      <c r="B14" s="55"/>
      <c r="C14" s="28">
        <f>C7*' Look Up Data'!$D$49</f>
        <v>90052.978134434205</v>
      </c>
      <c r="D14" s="28">
        <f>D7*' Look Up Data'!$D$49</f>
        <v>90728.790268807468</v>
      </c>
      <c r="E14" s="28">
        <f>E7*' Look Up Data'!$D$49</f>
        <v>91409.674107086903</v>
      </c>
      <c r="F14" s="28">
        <f>F7*' Look Up Data'!$D$49</f>
        <v>92095.667710412876</v>
      </c>
      <c r="G14" s="28">
        <f>G7*' Look Up Data'!$D$49</f>
        <v>92786.809425559622</v>
      </c>
      <c r="H14" s="28">
        <f>H7*' Look Up Data'!$D$49</f>
        <v>93483.137887078832</v>
      </c>
      <c r="I14" s="28">
        <f>I7*' Look Up Data'!$D$49</f>
        <v>94184.692019459268</v>
      </c>
      <c r="J14" s="28">
        <f>J7*' Look Up Data'!$D$49</f>
        <v>94891.51103930267</v>
      </c>
      <c r="K14" s="28">
        <f>K7*' Look Up Data'!$D$49</f>
        <v>95603.634457515916</v>
      </c>
      <c r="L14" s="28">
        <f>L7*' Look Up Data'!$D$49</f>
        <v>96321.102081519683</v>
      </c>
      <c r="M14" s="28">
        <f>M7*' Look Up Data'!$D$49</f>
        <v>97043.954017473661</v>
      </c>
      <c r="N14" s="28">
        <f>N7*' Look Up Data'!$D$49</f>
        <v>97772.230672518475</v>
      </c>
      <c r="O14" s="28">
        <f>O7*' Look Up Data'!$D$49</f>
        <v>98505.97275703444</v>
      </c>
      <c r="P14" s="28">
        <f>P7*' Look Up Data'!$D$49</f>
        <v>99245.221286917222</v>
      </c>
      <c r="Q14" s="28">
        <f>Q7*' Look Up Data'!$D$49</f>
        <v>99990.017585870635</v>
      </c>
      <c r="R14" s="28">
        <f>R7*' Look Up Data'!$D$49</f>
        <v>100740.40328771662</v>
      </c>
      <c r="S14" s="28">
        <f>S7*' Look Up Data'!$D$49</f>
        <v>101496.42033872254</v>
      </c>
      <c r="T14" s="28">
        <f>T7*' Look Up Data'!$D$49</f>
        <v>102258.11099994599</v>
      </c>
      <c r="U14" s="28">
        <f>U7*' Look Up Data'!$D$49</f>
        <v>103025.51784959716</v>
      </c>
      <c r="V14" s="28">
        <f>V7*' Look Up Data'!$D$49</f>
        <v>103798.68378541894</v>
      </c>
      <c r="W14" s="28">
        <f>W7*' Look Up Data'!$D$49</f>
        <v>104577.65202708486</v>
      </c>
      <c r="X14" s="28">
        <f>X7*' Look Up Data'!$D$49</f>
        <v>105362.46611861511</v>
      </c>
      <c r="Y14" s="28">
        <f>Y7*' Look Up Data'!$D$49</f>
        <v>106153.16993081057</v>
      </c>
      <c r="Z14" s="28">
        <f>Z7*' Look Up Data'!$D$49</f>
        <v>106949.80766370524</v>
      </c>
      <c r="AA14" s="28">
        <f>AA7*' Look Up Data'!$D$49</f>
        <v>107752.42384903695</v>
      </c>
      <c r="AB14" s="28"/>
    </row>
    <row r="15" spans="1:37" x14ac:dyDescent="0.25">
      <c r="A15" s="54" t="s">
        <v>1</v>
      </c>
      <c r="B15" s="54"/>
      <c r="C15" s="17">
        <f>SUM(C11:C14)</f>
        <v>1221415.8799485501</v>
      </c>
      <c r="D15" s="17">
        <f t="shared" ref="D15:AA15" si="26">SUM(D11:D14)</f>
        <v>1230582.1250843098</v>
      </c>
      <c r="E15" s="17">
        <f t="shared" si="26"/>
        <v>1239817.1592797732</v>
      </c>
      <c r="F15" s="17">
        <f t="shared" si="26"/>
        <v>1249121.4987697415</v>
      </c>
      <c r="G15" s="17">
        <f t="shared" si="26"/>
        <v>1258495.6636631547</v>
      </c>
      <c r="H15" s="17">
        <f t="shared" si="26"/>
        <v>1267940.1779721654</v>
      </c>
      <c r="I15" s="17">
        <f t="shared" si="26"/>
        <v>1277455.5696414316</v>
      </c>
      <c r="J15" s="17">
        <f t="shared" si="26"/>
        <v>1287042.3705776271</v>
      </c>
      <c r="K15" s="17">
        <f t="shared" si="26"/>
        <v>1296701.1166791767</v>
      </c>
      <c r="L15" s="17">
        <f t="shared" si="26"/>
        <v>1306432.3478662111</v>
      </c>
      <c r="M15" s="17">
        <f t="shared" si="26"/>
        <v>1316236.6081107496</v>
      </c>
      <c r="N15" s="17">
        <f t="shared" si="26"/>
        <v>1326114.4454671072</v>
      </c>
      <c r="O15" s="17">
        <f t="shared" si="26"/>
        <v>1336066.41210253</v>
      </c>
      <c r="P15" s="17">
        <f t="shared" si="26"/>
        <v>1346093.0643280623</v>
      </c>
      <c r="Q15" s="17">
        <f t="shared" si="26"/>
        <v>1356194.9626296437</v>
      </c>
      <c r="R15" s="17">
        <f t="shared" si="26"/>
        <v>1366372.6716994403</v>
      </c>
      <c r="S15" s="17">
        <f t="shared" si="26"/>
        <v>1376626.7604674099</v>
      </c>
      <c r="T15" s="17">
        <f t="shared" si="26"/>
        <v>1386957.8021331057</v>
      </c>
      <c r="U15" s="17">
        <f t="shared" si="26"/>
        <v>1397366.3741977182</v>
      </c>
      <c r="V15" s="17">
        <f t="shared" si="26"/>
        <v>1407853.0584963565</v>
      </c>
      <c r="W15" s="17">
        <f t="shared" si="26"/>
        <v>1418418.4412305732</v>
      </c>
      <c r="X15" s="17">
        <f t="shared" si="26"/>
        <v>1429063.1130011328</v>
      </c>
      <c r="Y15" s="17">
        <f t="shared" si="26"/>
        <v>1439787.6688410258</v>
      </c>
      <c r="Z15" s="17">
        <f t="shared" si="26"/>
        <v>1450592.7082487307</v>
      </c>
      <c r="AA15" s="17">
        <f t="shared" si="26"/>
        <v>1461478.8352217267</v>
      </c>
      <c r="AB15" s="17"/>
      <c r="AC15" s="9"/>
      <c r="AD15" s="9"/>
      <c r="AE15" s="9"/>
      <c r="AF15" s="9"/>
      <c r="AG15" s="9"/>
      <c r="AH15" s="9"/>
      <c r="AI15" s="9"/>
      <c r="AJ15" s="9"/>
      <c r="AK15" s="9"/>
    </row>
    <row r="19" spans="1:37" x14ac:dyDescent="0.25">
      <c r="A19" s="13"/>
      <c r="B19" s="13"/>
      <c r="C19" s="13"/>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37" x14ac:dyDescent="0.25">
      <c r="A20" s="13"/>
      <c r="B20" s="13"/>
      <c r="C20" s="12"/>
      <c r="D20" s="10"/>
      <c r="E20" s="10"/>
      <c r="F20" s="10"/>
      <c r="G20" s="24"/>
      <c r="H20" s="24"/>
      <c r="I20" s="24"/>
      <c r="J20" s="24"/>
      <c r="K20" s="24"/>
      <c r="L20" s="24"/>
      <c r="M20" s="24"/>
      <c r="N20" s="24"/>
      <c r="O20" s="24"/>
      <c r="P20" s="24"/>
      <c r="Q20" s="24"/>
      <c r="R20" s="24"/>
      <c r="S20" s="24"/>
      <c r="T20" s="24"/>
      <c r="U20" s="24"/>
      <c r="V20" s="24"/>
      <c r="W20" s="24"/>
      <c r="X20" s="24"/>
      <c r="Y20" s="24"/>
      <c r="Z20" s="24"/>
      <c r="AA20" s="24"/>
      <c r="AB20" s="9"/>
    </row>
    <row r="21" spans="1:37" x14ac:dyDescent="0.25">
      <c r="A21" s="22"/>
      <c r="B21" s="22"/>
      <c r="C21" s="22"/>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37" x14ac:dyDescent="0.25">
      <c r="A22" s="121" t="s">
        <v>103</v>
      </c>
      <c r="B22" s="121"/>
      <c r="C22" s="25"/>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37" x14ac:dyDescent="0.25">
      <c r="A23" s="20"/>
      <c r="B23" s="20"/>
      <c r="C23" s="20"/>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1:37" x14ac:dyDescent="0.25">
      <c r="A24" s="122" t="s">
        <v>105</v>
      </c>
      <c r="B24" s="122"/>
      <c r="C24" s="123">
        <v>15500</v>
      </c>
      <c r="D24" s="123"/>
      <c r="E24" s="123"/>
      <c r="F24" s="123"/>
      <c r="G24" s="123"/>
      <c r="H24" s="123"/>
      <c r="I24" s="123"/>
      <c r="J24" s="123"/>
      <c r="K24" s="123"/>
      <c r="L24" s="123"/>
      <c r="M24" s="123"/>
      <c r="N24" s="123"/>
      <c r="O24" s="123"/>
      <c r="P24" s="123"/>
      <c r="Q24" s="10"/>
      <c r="R24" s="10"/>
      <c r="S24" s="10"/>
      <c r="T24" s="10"/>
      <c r="U24" s="10"/>
      <c r="V24" s="10"/>
      <c r="W24" s="10"/>
      <c r="X24" s="10"/>
      <c r="Y24" s="10"/>
      <c r="Z24" s="10"/>
      <c r="AA24" s="10"/>
    </row>
    <row r="25" spans="1:37" s="67" customFormat="1" x14ac:dyDescent="0.25">
      <c r="A25" s="122" t="s">
        <v>106</v>
      </c>
      <c r="B25" s="122"/>
      <c r="C25" s="122">
        <v>18000</v>
      </c>
      <c r="D25" s="123"/>
      <c r="E25" s="123"/>
      <c r="F25" s="123"/>
      <c r="G25" s="123"/>
      <c r="H25" s="123"/>
      <c r="I25" s="123"/>
      <c r="J25" s="123"/>
      <c r="K25" s="123"/>
      <c r="L25" s="123"/>
      <c r="M25" s="123"/>
      <c r="N25" s="123"/>
      <c r="O25" s="123"/>
      <c r="P25" s="123"/>
      <c r="Q25" s="10"/>
      <c r="R25" s="10"/>
      <c r="S25" s="10"/>
      <c r="T25" s="10"/>
      <c r="U25" s="10"/>
      <c r="V25" s="10"/>
      <c r="W25" s="10"/>
      <c r="X25" s="10"/>
      <c r="Y25" s="10"/>
      <c r="Z25" s="10"/>
      <c r="AA25" s="10"/>
    </row>
    <row r="26" spans="1:37" s="67" customFormat="1" x14ac:dyDescent="0.25">
      <c r="A26" s="122" t="s">
        <v>107</v>
      </c>
      <c r="B26" s="122"/>
      <c r="C26" s="147">
        <f>(C25/C24)^(1/20)</f>
        <v>1.0075046061593254</v>
      </c>
      <c r="D26" s="123"/>
      <c r="E26" s="123"/>
      <c r="F26" s="123"/>
      <c r="G26" s="123"/>
      <c r="H26" s="123"/>
      <c r="I26" s="123"/>
      <c r="J26" s="123"/>
      <c r="K26" s="123"/>
      <c r="L26" s="123"/>
      <c r="M26" s="123"/>
      <c r="N26" s="123"/>
      <c r="O26" s="123"/>
      <c r="P26" s="123"/>
      <c r="Q26" s="10"/>
      <c r="R26" s="10"/>
      <c r="S26" s="10"/>
      <c r="T26" s="10"/>
      <c r="U26" s="10"/>
      <c r="V26" s="10"/>
      <c r="W26" s="10"/>
      <c r="X26" s="10"/>
      <c r="Y26" s="10"/>
      <c r="Z26" s="10"/>
      <c r="AA26" s="10"/>
    </row>
    <row r="27" spans="1:37" x14ac:dyDescent="0.25">
      <c r="A27" s="122" t="s">
        <v>85</v>
      </c>
      <c r="B27" s="122"/>
      <c r="C27" s="123">
        <f>' Look Up Data'!B6</f>
        <v>1.67</v>
      </c>
      <c r="D27" s="123"/>
      <c r="E27" s="123"/>
      <c r="F27" s="123"/>
      <c r="G27" s="123"/>
      <c r="H27" s="123"/>
      <c r="I27" s="123"/>
      <c r="J27" s="123"/>
      <c r="K27" s="123"/>
      <c r="L27" s="123"/>
      <c r="M27" s="123"/>
      <c r="N27" s="123"/>
      <c r="O27" s="123"/>
      <c r="P27" s="123"/>
      <c r="Q27" s="10"/>
      <c r="R27" s="10"/>
      <c r="S27" s="10"/>
      <c r="T27" s="10"/>
      <c r="U27" s="10"/>
      <c r="V27" s="10"/>
      <c r="W27" s="10"/>
      <c r="X27" s="10"/>
      <c r="Y27" s="10"/>
      <c r="Z27" s="10"/>
      <c r="AA27" s="10"/>
      <c r="AC27" s="6"/>
      <c r="AD27" s="6"/>
      <c r="AE27" s="6"/>
      <c r="AF27" s="6"/>
      <c r="AG27" s="6"/>
      <c r="AH27" s="6"/>
      <c r="AI27" s="6"/>
      <c r="AJ27" s="6"/>
      <c r="AK27" s="6"/>
    </row>
    <row r="28" spans="1:37" x14ac:dyDescent="0.25">
      <c r="A28" s="122" t="s">
        <v>86</v>
      </c>
      <c r="B28" s="122"/>
      <c r="C28" s="123">
        <v>7.0000000000000007E-2</v>
      </c>
      <c r="E28" s="123"/>
      <c r="F28" s="123"/>
      <c r="G28" s="123"/>
      <c r="H28" s="123"/>
      <c r="I28" s="123"/>
      <c r="J28" s="123"/>
      <c r="K28" s="123"/>
      <c r="L28" s="123"/>
      <c r="M28" s="123"/>
      <c r="N28" s="123"/>
      <c r="O28" s="123"/>
      <c r="P28" s="123"/>
      <c r="Q28" s="10"/>
      <c r="R28" s="10"/>
      <c r="S28" s="10"/>
      <c r="T28" s="10"/>
      <c r="U28" s="10"/>
      <c r="V28" s="10"/>
      <c r="W28" s="10"/>
      <c r="X28" s="10"/>
      <c r="Y28" s="10"/>
      <c r="Z28" s="10"/>
      <c r="AA28" s="10"/>
      <c r="AC28" s="6"/>
      <c r="AD28" s="6"/>
      <c r="AE28" s="6"/>
      <c r="AF28" s="6"/>
      <c r="AG28" s="6"/>
      <c r="AH28" s="6"/>
      <c r="AI28" s="6"/>
      <c r="AJ28" s="6"/>
      <c r="AK28" s="6"/>
    </row>
    <row r="29" spans="1:37" x14ac:dyDescent="0.25">
      <c r="A29" s="122" t="s">
        <v>87</v>
      </c>
      <c r="B29" s="122"/>
      <c r="C29" s="123">
        <v>22</v>
      </c>
      <c r="E29" s="123"/>
      <c r="F29" s="123"/>
      <c r="G29" s="123"/>
      <c r="H29" s="123"/>
      <c r="I29" s="123"/>
      <c r="J29" s="123"/>
      <c r="K29" s="123"/>
      <c r="L29" s="123"/>
      <c r="M29" s="123"/>
      <c r="N29" s="123"/>
      <c r="O29" s="123"/>
      <c r="P29" s="123"/>
      <c r="Q29" s="10"/>
      <c r="R29" s="10"/>
      <c r="S29" s="10"/>
      <c r="T29" s="10"/>
      <c r="U29" s="10"/>
      <c r="V29" s="10"/>
      <c r="W29" s="10"/>
      <c r="X29" s="10"/>
      <c r="Y29" s="10"/>
      <c r="Z29" s="10"/>
      <c r="AA29" s="10"/>
      <c r="AC29" s="6"/>
      <c r="AD29" s="6"/>
      <c r="AE29" s="6"/>
      <c r="AF29" s="6"/>
      <c r="AG29" s="6"/>
      <c r="AH29" s="6"/>
      <c r="AI29" s="6"/>
      <c r="AJ29" s="6"/>
      <c r="AK29" s="6"/>
    </row>
    <row r="30" spans="1:37" x14ac:dyDescent="0.25">
      <c r="A30" s="13" t="s">
        <v>88</v>
      </c>
      <c r="B30" s="13"/>
      <c r="C30" s="123">
        <v>50</v>
      </c>
      <c r="E30" s="123"/>
      <c r="F30" s="123"/>
      <c r="G30" s="123"/>
      <c r="H30" s="123"/>
      <c r="I30" s="123"/>
      <c r="J30" s="123"/>
      <c r="K30" s="13"/>
      <c r="L30" s="123"/>
      <c r="M30" s="123"/>
      <c r="N30" s="123"/>
      <c r="O30" s="123"/>
      <c r="P30" s="123"/>
      <c r="Q30" s="10"/>
      <c r="R30" s="10"/>
      <c r="S30" s="10"/>
      <c r="T30" s="10"/>
      <c r="U30" s="10"/>
      <c r="V30" s="10"/>
      <c r="W30" s="10"/>
      <c r="X30" s="10"/>
      <c r="Y30" s="10"/>
      <c r="Z30" s="10"/>
      <c r="AA30" s="10"/>
      <c r="AC30" s="6"/>
      <c r="AD30" s="6"/>
      <c r="AE30" s="6"/>
      <c r="AF30" s="6"/>
      <c r="AG30" s="6"/>
      <c r="AH30" s="6"/>
      <c r="AI30" s="6"/>
      <c r="AJ30" s="6"/>
      <c r="AK30" s="6"/>
    </row>
    <row r="31" spans="1:37" x14ac:dyDescent="0.25">
      <c r="A31" s="13" t="s">
        <v>89</v>
      </c>
      <c r="B31" s="13"/>
      <c r="C31" s="123">
        <v>3.92</v>
      </c>
      <c r="E31" s="123"/>
      <c r="F31" s="123"/>
      <c r="G31" s="123"/>
      <c r="H31" s="123"/>
      <c r="I31" s="123"/>
      <c r="J31" s="123"/>
      <c r="K31" s="13"/>
      <c r="L31" s="123"/>
      <c r="M31" s="123"/>
      <c r="N31" s="123"/>
      <c r="O31" s="123"/>
      <c r="P31" s="123"/>
      <c r="Q31" s="10"/>
      <c r="R31" s="10"/>
      <c r="S31" s="10"/>
      <c r="T31" s="10"/>
      <c r="U31" s="10"/>
      <c r="V31" s="10"/>
      <c r="W31" s="10"/>
      <c r="X31" s="10"/>
      <c r="Y31" s="10"/>
      <c r="Z31" s="10"/>
      <c r="AA31" s="10"/>
      <c r="AC31" s="6"/>
      <c r="AD31" s="6"/>
      <c r="AE31" s="6"/>
      <c r="AF31" s="6"/>
      <c r="AG31" s="6"/>
      <c r="AH31" s="6"/>
      <c r="AI31" s="6"/>
      <c r="AJ31" s="6"/>
      <c r="AK31" s="6"/>
    </row>
    <row r="32" spans="1:37" x14ac:dyDescent="0.25">
      <c r="A32" s="122"/>
      <c r="B32" s="122"/>
      <c r="C32" s="122"/>
      <c r="D32" s="123"/>
      <c r="E32" s="123"/>
      <c r="F32" s="123"/>
      <c r="G32" s="124"/>
      <c r="H32" s="124"/>
      <c r="I32" s="124"/>
      <c r="J32" s="124"/>
      <c r="K32" s="124"/>
      <c r="L32" s="124"/>
      <c r="M32" s="124"/>
      <c r="N32" s="124"/>
      <c r="O32" s="124"/>
      <c r="P32" s="124"/>
      <c r="Q32" s="26"/>
      <c r="R32" s="26"/>
      <c r="S32" s="26"/>
      <c r="T32" s="26"/>
      <c r="U32" s="26"/>
      <c r="V32" s="26"/>
      <c r="W32" s="26"/>
      <c r="X32" s="26"/>
      <c r="Y32" s="26"/>
      <c r="Z32" s="26"/>
      <c r="AA32" s="26"/>
      <c r="AB32" s="6"/>
      <c r="AC32" s="8"/>
      <c r="AD32" s="8"/>
      <c r="AE32" s="8"/>
      <c r="AF32" s="8"/>
      <c r="AG32" s="8"/>
      <c r="AH32" s="8"/>
      <c r="AI32" s="8"/>
      <c r="AJ32" s="8"/>
      <c r="AK32" s="8"/>
    </row>
    <row r="33" spans="1:37" ht="26.25" x14ac:dyDescent="0.25">
      <c r="A33" s="145" t="s">
        <v>90</v>
      </c>
      <c r="B33" s="145"/>
      <c r="C33" s="123">
        <v>2706.7669172932301</v>
      </c>
      <c r="E33" s="123"/>
      <c r="F33" s="123"/>
      <c r="G33" s="124"/>
      <c r="H33" s="124"/>
      <c r="I33" s="124"/>
      <c r="J33" s="124"/>
      <c r="K33" s="124"/>
      <c r="L33" s="124"/>
      <c r="M33" s="124"/>
      <c r="N33" s="124"/>
      <c r="O33" s="124"/>
      <c r="P33" s="124"/>
      <c r="Q33" s="26"/>
      <c r="R33" s="26"/>
      <c r="S33" s="26"/>
      <c r="T33" s="26"/>
      <c r="U33" s="26"/>
      <c r="V33" s="26"/>
      <c r="W33" s="26"/>
      <c r="X33" s="26"/>
      <c r="Y33" s="26"/>
      <c r="Z33" s="26"/>
      <c r="AA33" s="26"/>
      <c r="AB33" s="6"/>
      <c r="AC33" s="3"/>
      <c r="AD33" s="3"/>
      <c r="AE33" s="3"/>
      <c r="AF33" s="3"/>
      <c r="AG33" s="3"/>
      <c r="AH33" s="3"/>
      <c r="AI33" s="3"/>
      <c r="AJ33" s="3"/>
      <c r="AK33" s="3"/>
    </row>
    <row r="34" spans="1:37" x14ac:dyDescent="0.25">
      <c r="A34" s="122" t="s">
        <v>91</v>
      </c>
      <c r="B34" s="122"/>
      <c r="C34" s="158">
        <v>234</v>
      </c>
      <c r="E34" s="123"/>
      <c r="F34" s="123"/>
      <c r="G34" s="124"/>
      <c r="H34" s="124"/>
      <c r="I34" s="124"/>
      <c r="J34" s="124"/>
      <c r="K34" s="124"/>
      <c r="L34" s="124"/>
      <c r="M34" s="124"/>
      <c r="N34" s="124"/>
      <c r="O34" s="124"/>
      <c r="P34" s="124"/>
      <c r="Q34" s="26"/>
      <c r="R34" s="26"/>
      <c r="S34" s="26"/>
      <c r="T34" s="26"/>
      <c r="U34" s="26"/>
      <c r="V34" s="26"/>
      <c r="W34" s="26"/>
      <c r="X34" s="26"/>
      <c r="Y34" s="26"/>
      <c r="Z34" s="26"/>
      <c r="AA34" s="26"/>
      <c r="AB34" s="6"/>
      <c r="AC34" s="3"/>
      <c r="AD34" s="3"/>
      <c r="AE34" s="3"/>
      <c r="AF34" s="3"/>
      <c r="AG34" s="3"/>
      <c r="AH34" s="3"/>
      <c r="AI34" s="3"/>
      <c r="AJ34" s="3"/>
      <c r="AK34" s="3"/>
    </row>
    <row r="35" spans="1:37" s="67" customFormat="1" x14ac:dyDescent="0.25">
      <c r="A35" s="122" t="s">
        <v>129</v>
      </c>
      <c r="B35" s="122"/>
      <c r="C35" s="157">
        <f>C34/60</f>
        <v>3.9</v>
      </c>
      <c r="E35" s="123"/>
      <c r="F35" s="123"/>
      <c r="G35" s="124"/>
      <c r="H35" s="124"/>
      <c r="I35" s="124"/>
      <c r="J35" s="124"/>
      <c r="K35" s="124"/>
      <c r="L35" s="124"/>
      <c r="M35" s="124"/>
      <c r="N35" s="124"/>
      <c r="O35" s="124"/>
      <c r="P35" s="124"/>
      <c r="Q35" s="26"/>
      <c r="R35" s="26"/>
      <c r="S35" s="26"/>
      <c r="T35" s="26"/>
      <c r="U35" s="26"/>
      <c r="V35" s="26"/>
      <c r="W35" s="26"/>
      <c r="X35" s="26"/>
      <c r="Y35" s="26"/>
      <c r="Z35" s="26"/>
      <c r="AA35" s="26"/>
      <c r="AB35" s="6"/>
      <c r="AC35" s="68"/>
      <c r="AD35" s="68"/>
      <c r="AE35" s="68"/>
      <c r="AF35" s="68"/>
      <c r="AG35" s="68"/>
      <c r="AH35" s="68"/>
      <c r="AI35" s="68"/>
      <c r="AJ35" s="68"/>
      <c r="AK35" s="68"/>
    </row>
    <row r="36" spans="1:37" x14ac:dyDescent="0.25">
      <c r="A36" s="122" t="s">
        <v>92</v>
      </c>
      <c r="B36" s="122"/>
      <c r="C36" s="123">
        <v>0.91354999999999997</v>
      </c>
      <c r="E36" s="123"/>
      <c r="F36" s="123"/>
      <c r="G36" s="124"/>
      <c r="H36" s="124"/>
      <c r="I36" s="124"/>
      <c r="J36" s="124"/>
      <c r="K36" s="124"/>
      <c r="L36" s="124"/>
      <c r="M36" s="124"/>
      <c r="N36" s="124"/>
      <c r="O36" s="124"/>
      <c r="P36" s="124"/>
      <c r="Q36" s="26"/>
      <c r="R36" s="26"/>
      <c r="S36" s="26"/>
      <c r="T36" s="26"/>
      <c r="U36" s="26"/>
      <c r="V36" s="26"/>
      <c r="W36" s="26"/>
      <c r="X36" s="26"/>
      <c r="Y36" s="26"/>
      <c r="Z36" s="26"/>
      <c r="AA36" s="26"/>
      <c r="AB36" s="6"/>
      <c r="AC36" s="8"/>
      <c r="AD36" s="8"/>
      <c r="AE36" s="8"/>
      <c r="AF36" s="8"/>
      <c r="AG36" s="8"/>
      <c r="AH36" s="8"/>
      <c r="AI36" s="8"/>
      <c r="AJ36" s="8"/>
      <c r="AK36" s="8"/>
    </row>
    <row r="37" spans="1:37" x14ac:dyDescent="0.25">
      <c r="A37" s="13" t="s">
        <v>93</v>
      </c>
      <c r="B37" s="13"/>
      <c r="C37" s="123">
        <v>1000</v>
      </c>
      <c r="E37" s="123"/>
      <c r="F37" s="123"/>
      <c r="G37" s="125"/>
      <c r="H37" s="125"/>
      <c r="I37" s="125"/>
      <c r="J37" s="125"/>
      <c r="K37" s="125"/>
      <c r="L37" s="125"/>
      <c r="M37" s="125"/>
      <c r="N37" s="125"/>
      <c r="O37" s="125"/>
      <c r="P37" s="125"/>
      <c r="Q37" s="23"/>
      <c r="R37" s="23"/>
      <c r="S37" s="23"/>
      <c r="T37" s="23"/>
      <c r="U37" s="23"/>
      <c r="V37" s="23"/>
      <c r="W37" s="23"/>
      <c r="X37" s="23"/>
      <c r="Y37" s="23"/>
      <c r="Z37" s="23"/>
      <c r="AA37" s="23"/>
      <c r="AB37" s="8"/>
      <c r="AC37" s="9"/>
      <c r="AD37" s="9"/>
      <c r="AE37" s="9"/>
      <c r="AF37" s="9"/>
      <c r="AG37" s="9"/>
      <c r="AH37" s="9"/>
      <c r="AI37" s="9"/>
      <c r="AJ37" s="9"/>
      <c r="AK37" s="9"/>
    </row>
    <row r="38" spans="1:37" x14ac:dyDescent="0.25">
      <c r="A38" s="12" t="s">
        <v>94</v>
      </c>
      <c r="B38" s="12"/>
      <c r="C38" s="123">
        <v>4000</v>
      </c>
      <c r="E38" s="123"/>
      <c r="F38" s="123"/>
      <c r="G38" s="126"/>
      <c r="H38" s="126"/>
      <c r="I38" s="126"/>
      <c r="J38" s="126"/>
      <c r="K38" s="126"/>
      <c r="L38" s="126"/>
      <c r="M38" s="126"/>
      <c r="N38" s="126"/>
      <c r="O38" s="126"/>
      <c r="P38" s="126"/>
      <c r="Q38" s="24"/>
      <c r="R38" s="24"/>
      <c r="S38" s="24"/>
      <c r="T38" s="24"/>
      <c r="U38" s="24"/>
      <c r="V38" s="24"/>
      <c r="W38" s="24"/>
      <c r="X38" s="24"/>
      <c r="Y38" s="24"/>
      <c r="Z38" s="24"/>
      <c r="AA38" s="24"/>
      <c r="AB38" s="9"/>
    </row>
    <row r="39" spans="1:37" ht="26.25" x14ac:dyDescent="0.25">
      <c r="A39" s="146" t="s">
        <v>95</v>
      </c>
      <c r="B39" s="146"/>
      <c r="C39" s="123">
        <v>3654.2</v>
      </c>
      <c r="E39" s="123"/>
      <c r="F39" s="123"/>
      <c r="G39" s="123"/>
      <c r="H39" s="123"/>
      <c r="I39" s="127"/>
      <c r="J39" s="127"/>
      <c r="K39" s="127"/>
      <c r="L39" s="127"/>
      <c r="M39" s="127"/>
      <c r="N39" s="127"/>
      <c r="O39" s="127"/>
      <c r="P39" s="127"/>
      <c r="Q39" s="11"/>
      <c r="R39" s="11"/>
      <c r="S39" s="11"/>
      <c r="T39" s="11"/>
      <c r="U39" s="11"/>
      <c r="V39" s="11"/>
      <c r="W39" s="11"/>
      <c r="X39" s="11"/>
      <c r="Y39" s="11"/>
      <c r="Z39" s="11"/>
      <c r="AA39" s="11"/>
      <c r="AB39" s="3"/>
    </row>
    <row r="40" spans="1:37" x14ac:dyDescent="0.25">
      <c r="A40" s="13"/>
      <c r="B40" s="13"/>
      <c r="C40" s="13"/>
      <c r="D40" s="123"/>
      <c r="E40" s="123"/>
      <c r="F40" s="123"/>
      <c r="G40" s="127"/>
      <c r="H40" s="127"/>
      <c r="I40" s="127"/>
      <c r="J40" s="127"/>
      <c r="K40" s="127"/>
      <c r="L40" s="127"/>
      <c r="M40" s="127"/>
      <c r="N40" s="127"/>
      <c r="O40" s="127"/>
      <c r="P40" s="127"/>
      <c r="Q40" s="11"/>
      <c r="R40" s="11"/>
      <c r="S40" s="11"/>
      <c r="T40" s="11"/>
      <c r="U40" s="11"/>
      <c r="V40" s="11"/>
      <c r="W40" s="11"/>
      <c r="X40" s="11"/>
      <c r="Y40" s="11"/>
      <c r="Z40" s="11"/>
      <c r="AA40" s="11"/>
      <c r="AB40" s="3"/>
    </row>
    <row r="41" spans="1:37" x14ac:dyDescent="0.25">
      <c r="A41" s="13"/>
      <c r="B41" s="13"/>
      <c r="C41" s="13"/>
      <c r="D41" s="123"/>
      <c r="E41" s="123"/>
      <c r="F41" s="123"/>
      <c r="G41" s="125"/>
      <c r="H41" s="125"/>
      <c r="I41" s="125"/>
      <c r="J41" s="125"/>
      <c r="K41" s="125"/>
      <c r="L41" s="125"/>
      <c r="M41" s="125"/>
      <c r="N41" s="125"/>
      <c r="O41" s="125"/>
      <c r="P41" s="125"/>
      <c r="Q41" s="23"/>
      <c r="R41" s="23"/>
      <c r="S41" s="23"/>
      <c r="T41" s="23"/>
      <c r="U41" s="23"/>
      <c r="V41" s="23"/>
      <c r="W41" s="23"/>
      <c r="X41" s="23"/>
      <c r="Y41" s="23"/>
      <c r="Z41" s="23"/>
      <c r="AA41" s="23"/>
      <c r="AB41" s="8"/>
    </row>
    <row r="42" spans="1:37" ht="39" x14ac:dyDescent="0.25">
      <c r="A42" s="128" t="s">
        <v>96</v>
      </c>
      <c r="B42" s="128"/>
      <c r="C42" s="120" t="s">
        <v>97</v>
      </c>
      <c r="D42" s="129" t="s">
        <v>98</v>
      </c>
      <c r="E42" s="129" t="s">
        <v>99</v>
      </c>
      <c r="F42" s="129" t="s">
        <v>100</v>
      </c>
      <c r="G42" s="130" t="s">
        <v>101</v>
      </c>
      <c r="H42" s="130" t="s">
        <v>102</v>
      </c>
      <c r="I42" s="130"/>
      <c r="J42" s="126" t="s">
        <v>130</v>
      </c>
      <c r="K42" s="126" t="s">
        <v>131</v>
      </c>
      <c r="L42" s="126"/>
      <c r="M42" s="126"/>
      <c r="N42" s="126"/>
      <c r="O42" s="126"/>
      <c r="P42" s="126"/>
      <c r="Q42" s="24"/>
      <c r="R42" s="24"/>
      <c r="S42" s="24"/>
      <c r="T42" s="24"/>
      <c r="U42" s="24"/>
      <c r="V42" s="24"/>
      <c r="W42" s="24"/>
      <c r="X42" s="24"/>
      <c r="Y42" s="24"/>
      <c r="Z42" s="24"/>
      <c r="AA42" s="24"/>
      <c r="AB42" s="9"/>
      <c r="AC42" s="8"/>
      <c r="AD42" s="8"/>
      <c r="AE42" s="8"/>
      <c r="AF42" s="8"/>
      <c r="AG42" s="8"/>
      <c r="AH42" s="8"/>
      <c r="AI42" s="8"/>
      <c r="AJ42" s="8"/>
      <c r="AK42" s="8"/>
    </row>
    <row r="43" spans="1:37" x14ac:dyDescent="0.25">
      <c r="A43" s="22">
        <v>0</v>
      </c>
      <c r="B43" s="22"/>
      <c r="C43" s="13">
        <v>0.5</v>
      </c>
      <c r="D43" s="123">
        <v>77.5</v>
      </c>
      <c r="E43" s="124">
        <v>1.3333333333333333</v>
      </c>
      <c r="F43" s="124">
        <v>18.845610722753356</v>
      </c>
      <c r="G43" s="124">
        <v>0.64141821328671156</v>
      </c>
      <c r="H43" s="124">
        <v>2.8399288380815825E-2</v>
      </c>
      <c r="I43" s="124"/>
      <c r="J43" s="159">
        <f>D43/100*C43</f>
        <v>0.38750000000000001</v>
      </c>
      <c r="K43" s="123"/>
      <c r="L43" s="123"/>
      <c r="M43" s="123"/>
      <c r="N43" s="123"/>
      <c r="O43" s="123"/>
      <c r="P43" s="123"/>
      <c r="Q43" s="10"/>
      <c r="R43" s="11"/>
      <c r="S43" s="10"/>
      <c r="T43" s="10"/>
      <c r="U43" s="10"/>
      <c r="V43" s="10"/>
      <c r="W43" s="10"/>
      <c r="X43" s="10"/>
      <c r="Y43" s="10"/>
      <c r="Z43" s="10"/>
      <c r="AA43" s="10"/>
    </row>
    <row r="44" spans="1:37" x14ac:dyDescent="0.25">
      <c r="A44" s="22">
        <v>1</v>
      </c>
      <c r="B44" s="22"/>
      <c r="C44" s="13">
        <v>0.25</v>
      </c>
      <c r="D44" s="123">
        <v>38.75</v>
      </c>
      <c r="E44" s="124">
        <v>1.3333333333333333</v>
      </c>
      <c r="F44" s="124">
        <v>18.661257951404238</v>
      </c>
      <c r="G44" s="124">
        <v>0.31757184495009477</v>
      </c>
      <c r="H44" s="124">
        <v>1.4060739498106664E-2</v>
      </c>
      <c r="I44" s="124"/>
      <c r="J44" s="159">
        <f t="shared" ref="J44:J66" si="27">D44/100*C44</f>
        <v>9.6875000000000003E-2</v>
      </c>
      <c r="K44" s="123"/>
      <c r="L44" s="123"/>
      <c r="M44" s="123"/>
      <c r="N44" s="123"/>
      <c r="O44" s="123"/>
      <c r="P44" s="123"/>
      <c r="Q44" s="10"/>
      <c r="R44" s="10"/>
      <c r="S44" s="10"/>
      <c r="T44" s="10"/>
      <c r="U44" s="10"/>
      <c r="V44" s="10"/>
      <c r="W44" s="10"/>
      <c r="X44" s="10"/>
      <c r="Y44" s="10"/>
      <c r="Z44" s="10"/>
      <c r="AA44" s="10"/>
    </row>
    <row r="45" spans="1:37" x14ac:dyDescent="0.25">
      <c r="A45" s="22">
        <v>2</v>
      </c>
      <c r="B45" s="22"/>
      <c r="C45" s="13">
        <v>0.25</v>
      </c>
      <c r="D45" s="123">
        <v>38.75</v>
      </c>
      <c r="E45" s="124">
        <v>1.3333333333333333</v>
      </c>
      <c r="F45" s="124">
        <v>18.661257951404238</v>
      </c>
      <c r="G45" s="124">
        <v>0.31757184495009477</v>
      </c>
      <c r="H45" s="124">
        <v>1.4060739498106664E-2</v>
      </c>
      <c r="I45" s="124"/>
      <c r="J45" s="159">
        <f t="shared" si="27"/>
        <v>9.6875000000000003E-2</v>
      </c>
      <c r="K45" s="123"/>
      <c r="L45" s="123"/>
      <c r="M45" s="123"/>
      <c r="N45" s="123"/>
      <c r="O45" s="123"/>
      <c r="P45" s="123"/>
      <c r="Q45" s="10"/>
      <c r="R45" s="10"/>
      <c r="S45" s="10"/>
      <c r="T45" s="10"/>
      <c r="U45" s="10"/>
      <c r="V45" s="10"/>
      <c r="W45" s="10"/>
      <c r="X45" s="10"/>
      <c r="Y45" s="10"/>
      <c r="Z45" s="10"/>
      <c r="AA45" s="10"/>
    </row>
    <row r="46" spans="1:37" x14ac:dyDescent="0.25">
      <c r="A46" s="22">
        <v>3</v>
      </c>
      <c r="B46" s="22"/>
      <c r="C46" s="13">
        <v>0.25</v>
      </c>
      <c r="D46" s="123">
        <v>38.75</v>
      </c>
      <c r="E46" s="124">
        <v>1.3333333333333333</v>
      </c>
      <c r="F46" s="124">
        <v>18.661257951404238</v>
      </c>
      <c r="G46" s="124">
        <v>0.31757184495009477</v>
      </c>
      <c r="H46" s="124">
        <v>1.4060739498106664E-2</v>
      </c>
      <c r="I46" s="124"/>
      <c r="J46" s="159">
        <f t="shared" si="27"/>
        <v>9.6875000000000003E-2</v>
      </c>
      <c r="K46" s="123"/>
      <c r="L46" s="123"/>
      <c r="M46" s="123"/>
      <c r="N46" s="123"/>
      <c r="O46" s="123"/>
      <c r="P46" s="123"/>
      <c r="Q46" s="10"/>
      <c r="R46" s="10"/>
      <c r="S46" s="10"/>
      <c r="T46" s="10"/>
      <c r="U46" s="10"/>
      <c r="V46" s="10"/>
      <c r="W46" s="10"/>
      <c r="X46" s="10"/>
      <c r="Y46" s="10"/>
      <c r="Z46" s="10"/>
      <c r="AA46" s="10"/>
    </row>
    <row r="47" spans="1:37" x14ac:dyDescent="0.25">
      <c r="A47" s="22">
        <v>4</v>
      </c>
      <c r="B47" s="22"/>
      <c r="C47" s="13">
        <v>0.75</v>
      </c>
      <c r="D47" s="123">
        <v>116.25</v>
      </c>
      <c r="E47" s="131">
        <v>1.3333333333333333</v>
      </c>
      <c r="F47" s="131">
        <v>19.033642242677832</v>
      </c>
      <c r="G47" s="131">
        <v>0.97172691662071153</v>
      </c>
      <c r="H47" s="131">
        <v>4.302396215271969E-2</v>
      </c>
      <c r="I47" s="131"/>
      <c r="J47" s="159">
        <f t="shared" si="27"/>
        <v>0.87187500000000007</v>
      </c>
      <c r="K47" s="125"/>
      <c r="L47" s="125"/>
      <c r="M47" s="125"/>
      <c r="N47" s="125"/>
      <c r="O47" s="125"/>
      <c r="P47" s="125"/>
      <c r="Q47" s="23"/>
      <c r="R47" s="23"/>
      <c r="S47" s="23"/>
      <c r="T47" s="23"/>
      <c r="U47" s="23"/>
      <c r="V47" s="23"/>
      <c r="W47" s="23"/>
      <c r="X47" s="23"/>
      <c r="Y47" s="23"/>
      <c r="Z47" s="23"/>
      <c r="AA47" s="23"/>
      <c r="AB47" s="8"/>
    </row>
    <row r="48" spans="1:37" x14ac:dyDescent="0.25">
      <c r="A48" s="123">
        <v>5</v>
      </c>
      <c r="B48" s="123"/>
      <c r="C48" s="123">
        <v>1.75</v>
      </c>
      <c r="D48" s="123">
        <v>271.25</v>
      </c>
      <c r="E48" s="124">
        <v>1.3333333333333333</v>
      </c>
      <c r="F48" s="124">
        <v>19.824849630573258</v>
      </c>
      <c r="G48" s="124">
        <v>2.3616145613570074</v>
      </c>
      <c r="H48" s="124">
        <v>0.10456231454458605</v>
      </c>
      <c r="I48" s="124"/>
      <c r="J48" s="159">
        <f>D48/100*C48</f>
        <v>4.7468750000000002</v>
      </c>
      <c r="K48" s="123"/>
      <c r="L48" s="123"/>
      <c r="M48" s="123"/>
      <c r="N48" s="123"/>
      <c r="O48" s="123"/>
      <c r="P48" s="123"/>
      <c r="Q48" s="10"/>
      <c r="R48" s="10"/>
      <c r="S48" s="10"/>
      <c r="T48" s="10"/>
      <c r="U48" s="10"/>
      <c r="V48" s="10"/>
      <c r="W48" s="10"/>
      <c r="X48" s="10"/>
      <c r="Y48" s="10"/>
      <c r="Z48" s="10"/>
      <c r="AA48" s="10"/>
    </row>
    <row r="49" spans="1:16" x14ac:dyDescent="0.25">
      <c r="A49" s="132">
        <v>6</v>
      </c>
      <c r="B49" s="132"/>
      <c r="C49" s="132">
        <v>6</v>
      </c>
      <c r="D49" s="132">
        <v>930</v>
      </c>
      <c r="E49" s="133">
        <v>1.3333333333333333</v>
      </c>
      <c r="F49" s="133">
        <v>24.078797413680796</v>
      </c>
      <c r="G49" s="133">
        <v>9.8343828336825787</v>
      </c>
      <c r="H49" s="133">
        <v>0.43542491989739446</v>
      </c>
      <c r="I49" s="133"/>
      <c r="J49" s="159">
        <f t="shared" si="27"/>
        <v>55.800000000000004</v>
      </c>
      <c r="K49" s="132"/>
      <c r="L49" s="132"/>
      <c r="M49" s="132"/>
      <c r="N49" s="132"/>
      <c r="O49" s="132"/>
      <c r="P49" s="132"/>
    </row>
    <row r="50" spans="1:16" x14ac:dyDescent="0.25">
      <c r="A50" s="132">
        <v>7</v>
      </c>
      <c r="B50" s="132"/>
      <c r="C50" s="132">
        <v>8</v>
      </c>
      <c r="D50" s="132">
        <v>1240</v>
      </c>
      <c r="E50" s="133">
        <v>1.3333333333333333</v>
      </c>
      <c r="F50" s="133">
        <v>26.783300021739144</v>
      </c>
      <c r="G50" s="133">
        <v>14.585292415171743</v>
      </c>
      <c r="H50" s="133">
        <v>0.64577512274637716</v>
      </c>
      <c r="I50" s="133"/>
      <c r="J50" s="159">
        <f t="shared" si="27"/>
        <v>99.2</v>
      </c>
      <c r="K50" s="132"/>
      <c r="L50" s="132"/>
      <c r="M50" s="132"/>
      <c r="N50" s="132"/>
      <c r="O50" s="132"/>
      <c r="P50" s="132"/>
    </row>
    <row r="51" spans="1:16" x14ac:dyDescent="0.25">
      <c r="A51" s="132">
        <v>8</v>
      </c>
      <c r="B51" s="132"/>
      <c r="C51" s="132">
        <v>6</v>
      </c>
      <c r="D51" s="132">
        <v>930</v>
      </c>
      <c r="E51" s="133">
        <v>1.3333333333333333</v>
      </c>
      <c r="F51" s="133">
        <v>24.078797413680796</v>
      </c>
      <c r="G51" s="133">
        <v>9.8343828336825787</v>
      </c>
      <c r="H51" s="133">
        <v>0.43542491989739446</v>
      </c>
      <c r="I51" s="133"/>
      <c r="J51" s="159">
        <f t="shared" si="27"/>
        <v>55.800000000000004</v>
      </c>
      <c r="K51" s="132"/>
      <c r="L51" s="132"/>
      <c r="M51" s="132"/>
      <c r="N51" s="132"/>
      <c r="O51" s="132"/>
      <c r="P51" s="132"/>
    </row>
    <row r="52" spans="1:16" x14ac:dyDescent="0.25">
      <c r="A52" s="132">
        <v>9</v>
      </c>
      <c r="B52" s="132"/>
      <c r="C52" s="132">
        <v>5</v>
      </c>
      <c r="D52" s="132">
        <v>775</v>
      </c>
      <c r="E52" s="133">
        <v>1.3333333333333333</v>
      </c>
      <c r="F52" s="133">
        <v>22.921521879069779</v>
      </c>
      <c r="G52" s="133">
        <v>7.8014354778825625</v>
      </c>
      <c r="H52" s="133">
        <v>0.34541460053875994</v>
      </c>
      <c r="I52" s="133"/>
      <c r="J52" s="159">
        <f t="shared" si="27"/>
        <v>38.75</v>
      </c>
      <c r="K52" s="132"/>
      <c r="L52" s="132"/>
      <c r="M52" s="132"/>
      <c r="N52" s="132"/>
      <c r="O52" s="132"/>
      <c r="P52" s="132"/>
    </row>
    <row r="53" spans="1:16" x14ac:dyDescent="0.25">
      <c r="A53" s="132">
        <v>10</v>
      </c>
      <c r="B53" s="132"/>
      <c r="C53" s="132">
        <v>4</v>
      </c>
      <c r="D53" s="132">
        <v>620</v>
      </c>
      <c r="E53" s="133">
        <v>1.3333333333333333</v>
      </c>
      <c r="F53" s="133">
        <v>21.870387000000012</v>
      </c>
      <c r="G53" s="133">
        <v>5.954941873650001</v>
      </c>
      <c r="H53" s="133">
        <v>0.26365966550000014</v>
      </c>
      <c r="I53" s="133"/>
      <c r="J53" s="159">
        <f>D53/100*C53</f>
        <v>24.8</v>
      </c>
      <c r="K53" s="132"/>
      <c r="L53" s="132"/>
      <c r="M53" s="132"/>
      <c r="N53" s="132"/>
      <c r="O53" s="132"/>
      <c r="P53" s="132"/>
    </row>
    <row r="54" spans="1:16" x14ac:dyDescent="0.25">
      <c r="A54" s="132">
        <v>11</v>
      </c>
      <c r="B54" s="132"/>
      <c r="C54" s="132">
        <v>4.75</v>
      </c>
      <c r="D54" s="132">
        <v>736.25</v>
      </c>
      <c r="E54" s="133">
        <v>1.3333333333333333</v>
      </c>
      <c r="F54" s="133">
        <v>22.649378187667573</v>
      </c>
      <c r="G54" s="133">
        <v>7.3233697266526843</v>
      </c>
      <c r="H54" s="133">
        <v>0.32424786898525493</v>
      </c>
      <c r="I54" s="133"/>
      <c r="J54" s="159">
        <f>D54/100*C54</f>
        <v>34.971874999999997</v>
      </c>
      <c r="K54" s="132"/>
      <c r="L54" s="132"/>
      <c r="M54" s="132"/>
      <c r="N54" s="132"/>
      <c r="O54" s="132"/>
      <c r="P54" s="132"/>
    </row>
    <row r="55" spans="1:16" x14ac:dyDescent="0.25">
      <c r="A55" s="134">
        <v>12</v>
      </c>
      <c r="B55" s="134"/>
      <c r="C55" s="134">
        <v>5</v>
      </c>
      <c r="D55" s="132">
        <v>775</v>
      </c>
      <c r="E55" s="133">
        <v>1.3333333333333333</v>
      </c>
      <c r="F55" s="133">
        <v>22.921521879069779</v>
      </c>
      <c r="G55" s="133">
        <v>7.8014354778825625</v>
      </c>
      <c r="H55" s="133">
        <v>0.34541460053875994</v>
      </c>
      <c r="I55" s="133"/>
      <c r="J55" s="159">
        <f t="shared" si="27"/>
        <v>38.75</v>
      </c>
      <c r="K55" s="132"/>
      <c r="L55" s="132"/>
      <c r="M55" s="132"/>
      <c r="N55" s="132"/>
      <c r="O55" s="132"/>
      <c r="P55" s="132"/>
    </row>
    <row r="56" spans="1:16" x14ac:dyDescent="0.25">
      <c r="A56" s="132">
        <v>13</v>
      </c>
      <c r="B56" s="132"/>
      <c r="C56" s="132">
        <v>5.25</v>
      </c>
      <c r="D56" s="132">
        <v>813.75</v>
      </c>
      <c r="E56" s="133">
        <v>1.3333333333333333</v>
      </c>
      <c r="F56" s="133">
        <v>23.200284993330726</v>
      </c>
      <c r="G56" s="133">
        <v>8.291129348600963</v>
      </c>
      <c r="H56" s="133">
        <v>0.36709617609238898</v>
      </c>
      <c r="I56" s="133"/>
      <c r="J56" s="159">
        <f>D56/100*C56</f>
        <v>42.721874999999997</v>
      </c>
      <c r="K56" s="132"/>
      <c r="L56" s="132"/>
      <c r="M56" s="132"/>
      <c r="N56" s="132"/>
      <c r="O56" s="132"/>
      <c r="P56" s="132"/>
    </row>
    <row r="57" spans="1:16" x14ac:dyDescent="0.25">
      <c r="A57" s="134">
        <v>14</v>
      </c>
      <c r="B57" s="134"/>
      <c r="C57" s="134">
        <v>6</v>
      </c>
      <c r="D57" s="132">
        <v>930</v>
      </c>
      <c r="E57" s="133">
        <v>1.3333333333333333</v>
      </c>
      <c r="F57" s="133">
        <v>24.078797413680796</v>
      </c>
      <c r="G57" s="133">
        <v>9.8343828336825787</v>
      </c>
      <c r="H57" s="133">
        <v>0.43542491989739446</v>
      </c>
      <c r="I57" s="133"/>
      <c r="J57" s="159">
        <f t="shared" si="27"/>
        <v>55.800000000000004</v>
      </c>
      <c r="K57" s="132"/>
      <c r="L57" s="132"/>
      <c r="M57" s="132"/>
      <c r="N57" s="132"/>
      <c r="O57" s="132"/>
      <c r="P57" s="132"/>
    </row>
    <row r="58" spans="1:16" x14ac:dyDescent="0.25">
      <c r="A58" s="132">
        <v>15</v>
      </c>
      <c r="B58" s="132"/>
      <c r="C58" s="132">
        <v>8</v>
      </c>
      <c r="D58" s="132">
        <v>1240</v>
      </c>
      <c r="E58" s="133">
        <v>1.3333333333333333</v>
      </c>
      <c r="F58" s="133">
        <v>26.783300021739144</v>
      </c>
      <c r="G58" s="133">
        <v>14.585292415171743</v>
      </c>
      <c r="H58" s="133">
        <v>0.64577512274637716</v>
      </c>
      <c r="I58" s="133"/>
      <c r="J58" s="159">
        <f t="shared" si="27"/>
        <v>99.2</v>
      </c>
      <c r="K58" s="132"/>
      <c r="L58" s="132"/>
      <c r="M58" s="132"/>
      <c r="N58" s="132"/>
      <c r="O58" s="132"/>
      <c r="P58" s="132"/>
    </row>
    <row r="59" spans="1:16" x14ac:dyDescent="0.25">
      <c r="A59" s="132">
        <v>16</v>
      </c>
      <c r="B59" s="132"/>
      <c r="C59" s="132">
        <v>9</v>
      </c>
      <c r="D59" s="132">
        <v>1395</v>
      </c>
      <c r="E59" s="133">
        <v>1.3333333333333333</v>
      </c>
      <c r="F59" s="133">
        <v>28.376932076775446</v>
      </c>
      <c r="G59" s="133">
        <v>17.384772725185517</v>
      </c>
      <c r="H59" s="133">
        <v>0.76972428258253411</v>
      </c>
      <c r="I59" s="133"/>
      <c r="J59" s="159">
        <f>D59/100*C59</f>
        <v>125.55</v>
      </c>
      <c r="K59" s="132"/>
      <c r="L59" s="132"/>
      <c r="M59" s="132"/>
      <c r="N59" s="132"/>
      <c r="O59" s="132"/>
      <c r="P59" s="132"/>
    </row>
    <row r="60" spans="1:16" x14ac:dyDescent="0.25">
      <c r="A60" s="132">
        <v>17</v>
      </c>
      <c r="B60" s="132"/>
      <c r="C60" s="132">
        <v>11</v>
      </c>
      <c r="D60" s="132">
        <v>1705</v>
      </c>
      <c r="E60" s="133">
        <v>1.3333333333333333</v>
      </c>
      <c r="F60" s="133">
        <v>32.209981725490209</v>
      </c>
      <c r="G60" s="133">
        <v>24.11816327476112</v>
      </c>
      <c r="H60" s="133">
        <v>1.0678503663714602</v>
      </c>
      <c r="I60" s="133"/>
      <c r="J60" s="159">
        <f>D60/100*C60</f>
        <v>187.55</v>
      </c>
      <c r="K60" s="132"/>
      <c r="L60" s="132"/>
      <c r="M60" s="132"/>
      <c r="N60" s="132"/>
      <c r="O60" s="132"/>
      <c r="P60" s="132"/>
    </row>
    <row r="61" spans="1:16" x14ac:dyDescent="0.25">
      <c r="A61" s="132">
        <v>18</v>
      </c>
      <c r="B61" s="132"/>
      <c r="C61" s="132">
        <v>7</v>
      </c>
      <c r="D61" s="132">
        <v>1085</v>
      </c>
      <c r="E61" s="133">
        <v>1.3333333333333333</v>
      </c>
      <c r="F61" s="133">
        <v>25.359145132075483</v>
      </c>
      <c r="G61" s="133">
        <v>12.083526992329249</v>
      </c>
      <c r="H61" s="133">
        <v>0.53500752021698139</v>
      </c>
      <c r="I61" s="133"/>
      <c r="J61" s="159">
        <f t="shared" si="27"/>
        <v>75.95</v>
      </c>
      <c r="K61" s="132"/>
      <c r="L61" s="132"/>
      <c r="M61" s="132"/>
      <c r="N61" s="132"/>
      <c r="O61" s="132"/>
      <c r="P61" s="132"/>
    </row>
    <row r="62" spans="1:16" x14ac:dyDescent="0.25">
      <c r="A62" s="132">
        <v>19</v>
      </c>
      <c r="B62" s="132"/>
      <c r="C62" s="132">
        <v>4</v>
      </c>
      <c r="D62" s="132">
        <v>620</v>
      </c>
      <c r="E62" s="133">
        <v>1.3333333333333333</v>
      </c>
      <c r="F62" s="133">
        <v>21.870387000000012</v>
      </c>
      <c r="G62" s="133">
        <v>5.954941873650001</v>
      </c>
      <c r="H62" s="133">
        <v>0.26365966550000014</v>
      </c>
      <c r="I62" s="133"/>
      <c r="J62" s="159">
        <f t="shared" si="27"/>
        <v>24.8</v>
      </c>
      <c r="K62" s="132"/>
      <c r="L62" s="132"/>
      <c r="M62" s="132"/>
      <c r="N62" s="132"/>
      <c r="O62" s="132"/>
      <c r="P62" s="132"/>
    </row>
    <row r="63" spans="1:16" x14ac:dyDescent="0.25">
      <c r="A63" s="132">
        <v>20</v>
      </c>
      <c r="B63" s="132"/>
      <c r="C63" s="132">
        <v>3</v>
      </c>
      <c r="D63" s="132">
        <v>465</v>
      </c>
      <c r="E63" s="133">
        <v>1.3333333333333333</v>
      </c>
      <c r="F63" s="133">
        <v>20.911430851485157</v>
      </c>
      <c r="G63" s="133">
        <v>4.2703755727589128</v>
      </c>
      <c r="H63" s="133">
        <v>0.18907418728217831</v>
      </c>
      <c r="I63" s="133"/>
      <c r="J63" s="159">
        <f t="shared" si="27"/>
        <v>13.950000000000001</v>
      </c>
      <c r="K63" s="132"/>
      <c r="L63" s="132"/>
      <c r="M63" s="132"/>
      <c r="N63" s="132"/>
      <c r="O63" s="132"/>
      <c r="P63" s="132"/>
    </row>
    <row r="64" spans="1:16" x14ac:dyDescent="0.25">
      <c r="A64" s="132">
        <v>21</v>
      </c>
      <c r="B64" s="132"/>
      <c r="C64" s="132">
        <v>2</v>
      </c>
      <c r="D64" s="132">
        <v>310</v>
      </c>
      <c r="E64" s="133">
        <v>1.3333333333333333</v>
      </c>
      <c r="F64" s="133">
        <v>20.033037414634155</v>
      </c>
      <c r="G64" s="133">
        <v>2.7273311020239843</v>
      </c>
      <c r="H64" s="133">
        <v>0.12075469774932256</v>
      </c>
      <c r="I64" s="133"/>
      <c r="J64" s="159">
        <f t="shared" si="27"/>
        <v>6.2</v>
      </c>
      <c r="K64" s="132"/>
      <c r="L64" s="132"/>
      <c r="M64" s="132"/>
      <c r="N64" s="132"/>
      <c r="O64" s="132"/>
      <c r="P64" s="132"/>
    </row>
    <row r="65" spans="1:16" x14ac:dyDescent="0.25">
      <c r="A65" s="132">
        <v>22</v>
      </c>
      <c r="B65" s="132"/>
      <c r="C65" s="132">
        <v>1.25</v>
      </c>
      <c r="D65" s="132">
        <v>193.75</v>
      </c>
      <c r="E65" s="133">
        <v>1.3333333333333333</v>
      </c>
      <c r="F65" s="133">
        <v>19.421190951724149</v>
      </c>
      <c r="G65" s="133">
        <v>1.6525208155120699</v>
      </c>
      <c r="H65" s="133">
        <v>7.3166639522988561E-2</v>
      </c>
      <c r="I65" s="133"/>
      <c r="J65" s="159">
        <f t="shared" si="27"/>
        <v>2.421875</v>
      </c>
      <c r="K65" s="132"/>
      <c r="L65" s="132"/>
      <c r="M65" s="132"/>
      <c r="N65" s="132"/>
      <c r="O65" s="132"/>
      <c r="P65" s="132"/>
    </row>
    <row r="66" spans="1:16" x14ac:dyDescent="0.25">
      <c r="A66" s="132">
        <v>23</v>
      </c>
      <c r="B66" s="132"/>
      <c r="C66" s="132">
        <v>1</v>
      </c>
      <c r="D66" s="132">
        <v>155</v>
      </c>
      <c r="E66" s="133">
        <v>1.3333333333333333</v>
      </c>
      <c r="F66" s="133">
        <v>19.225463734720424</v>
      </c>
      <c r="G66" s="133">
        <v>1.3086933376421981</v>
      </c>
      <c r="H66" s="133">
        <v>5.794341153381017E-2</v>
      </c>
      <c r="I66" s="133"/>
      <c r="J66" s="159">
        <f t="shared" si="27"/>
        <v>1.55</v>
      </c>
      <c r="K66" s="132"/>
      <c r="L66" s="132"/>
      <c r="M66" s="132"/>
      <c r="N66" s="132"/>
      <c r="O66" s="132"/>
      <c r="P66" s="132"/>
    </row>
    <row r="67" spans="1:16" ht="15.75" thickBot="1" x14ac:dyDescent="0.3">
      <c r="A67" s="132"/>
      <c r="B67" s="132"/>
      <c r="C67" s="132"/>
      <c r="D67" s="132"/>
      <c r="E67" s="132"/>
      <c r="F67" s="132"/>
      <c r="G67" s="132"/>
      <c r="H67" s="132"/>
      <c r="I67" s="132"/>
      <c r="J67" s="160"/>
      <c r="K67" s="132"/>
      <c r="L67" s="132"/>
      <c r="M67" s="132"/>
      <c r="N67" s="132"/>
      <c r="O67" s="132"/>
      <c r="P67" s="132"/>
    </row>
    <row r="68" spans="1:16" ht="15.75" thickBot="1" x14ac:dyDescent="0.3">
      <c r="A68" s="132"/>
      <c r="B68" s="132"/>
      <c r="C68" s="132"/>
      <c r="D68" s="132">
        <f>SUM(D43:D66)</f>
        <v>15500</v>
      </c>
      <c r="E68" s="132"/>
      <c r="F68" s="132"/>
      <c r="G68" s="191">
        <f>SUM(G43:G66)</f>
        <v>170.27384615603776</v>
      </c>
      <c r="H68" s="191">
        <f>SUM(H43:H66)</f>
        <v>7.5390064711718203</v>
      </c>
      <c r="I68" s="132"/>
      <c r="J68" s="160">
        <f>SUM(J43:J66)</f>
        <v>990.0625</v>
      </c>
      <c r="K68" s="169">
        <f>J68/D68</f>
        <v>6.3875000000000001E-2</v>
      </c>
      <c r="L68" s="132"/>
      <c r="M68" s="132"/>
      <c r="N68" s="132"/>
      <c r="O68" s="132"/>
      <c r="P68" s="132"/>
    </row>
    <row r="69" spans="1:16" x14ac:dyDescent="0.25">
      <c r="A69" s="132"/>
      <c r="B69" s="132"/>
      <c r="C69" s="132"/>
      <c r="D69" s="132"/>
      <c r="E69" s="132"/>
      <c r="F69" s="132"/>
      <c r="G69" s="132"/>
      <c r="H69" s="132"/>
      <c r="I69" s="132"/>
      <c r="J69" s="132"/>
      <c r="K69" s="132"/>
      <c r="L69" s="132"/>
      <c r="M69" s="132"/>
      <c r="N69" s="132"/>
      <c r="O69" s="132"/>
      <c r="P69" s="132"/>
    </row>
    <row r="72" spans="1:16" x14ac:dyDescent="0.25">
      <c r="A72" s="67"/>
      <c r="C72" s="67"/>
      <c r="D72" s="67"/>
      <c r="E72" s="214"/>
      <c r="F72" s="68"/>
      <c r="G72" s="68"/>
      <c r="H72" s="68"/>
    </row>
    <row r="73" spans="1:16" x14ac:dyDescent="0.25">
      <c r="A73" s="67"/>
      <c r="C73" s="67"/>
      <c r="D73" s="67"/>
      <c r="E73" s="214"/>
      <c r="F73" s="68"/>
      <c r="G73" s="68"/>
      <c r="H73" s="68"/>
    </row>
    <row r="74" spans="1:16" x14ac:dyDescent="0.25">
      <c r="A74" s="67"/>
      <c r="C74" s="67"/>
      <c r="D74" s="67"/>
      <c r="E74" s="214"/>
      <c r="F74" s="68"/>
      <c r="G74" s="68"/>
      <c r="H74" s="68"/>
    </row>
    <row r="75" spans="1:16" x14ac:dyDescent="0.25">
      <c r="A75" s="67"/>
      <c r="C75" s="67"/>
      <c r="D75" s="67"/>
      <c r="E75" s="214"/>
      <c r="F75" s="68"/>
      <c r="G75" s="68"/>
      <c r="H75" s="68"/>
    </row>
    <row r="76" spans="1:16" x14ac:dyDescent="0.25">
      <c r="A76" s="67"/>
      <c r="C76" s="67"/>
      <c r="D76" s="67"/>
      <c r="E76" s="214"/>
      <c r="F76" s="68"/>
      <c r="G76" s="68"/>
      <c r="H76" s="68"/>
    </row>
    <row r="77" spans="1:16" x14ac:dyDescent="0.25">
      <c r="A77" s="67"/>
      <c r="C77" s="67"/>
      <c r="D77" s="67"/>
      <c r="E77" s="214"/>
      <c r="F77" s="68"/>
      <c r="G77" s="68"/>
      <c r="H77" s="68"/>
    </row>
    <row r="78" spans="1:16" x14ac:dyDescent="0.25">
      <c r="A78" s="67"/>
      <c r="C78" s="67"/>
      <c r="D78" s="67"/>
      <c r="E78" s="214"/>
      <c r="F78" s="68"/>
      <c r="G78" s="68"/>
      <c r="H78" s="68"/>
    </row>
    <row r="79" spans="1:16" x14ac:dyDescent="0.25">
      <c r="A79" s="67"/>
      <c r="C79" s="67"/>
      <c r="D79" s="67"/>
      <c r="E79" s="214"/>
      <c r="F79" s="68"/>
      <c r="G79" s="68"/>
      <c r="H79" s="68"/>
    </row>
    <row r="80" spans="1:16" x14ac:dyDescent="0.25">
      <c r="A80" s="67"/>
      <c r="C80" s="67"/>
      <c r="D80" s="67"/>
      <c r="E80" s="214"/>
      <c r="F80" s="68"/>
      <c r="G80" s="68"/>
      <c r="H80" s="68"/>
    </row>
    <row r="81" spans="1:8" x14ac:dyDescent="0.25">
      <c r="A81" s="67"/>
      <c r="C81" s="67"/>
      <c r="D81" s="67"/>
      <c r="E81" s="214"/>
      <c r="F81" s="68"/>
      <c r="G81" s="68"/>
      <c r="H81" s="68"/>
    </row>
    <row r="82" spans="1:8" x14ac:dyDescent="0.25">
      <c r="A82" s="67"/>
      <c r="C82" s="67"/>
      <c r="D82" s="67"/>
      <c r="E82" s="214"/>
      <c r="F82" s="68"/>
      <c r="G82" s="68"/>
      <c r="H82" s="68"/>
    </row>
    <row r="83" spans="1:8" x14ac:dyDescent="0.25">
      <c r="A83" s="67"/>
      <c r="C83" s="67"/>
      <c r="D83" s="67"/>
      <c r="E83" s="214"/>
      <c r="F83" s="68"/>
      <c r="G83" s="68"/>
      <c r="H83" s="68"/>
    </row>
    <row r="84" spans="1:8" x14ac:dyDescent="0.25">
      <c r="A84" s="67"/>
      <c r="C84" s="67"/>
      <c r="D84" s="67"/>
      <c r="E84" s="214"/>
      <c r="F84" s="68"/>
      <c r="G84" s="68"/>
      <c r="H84" s="68"/>
    </row>
    <row r="85" spans="1:8" x14ac:dyDescent="0.25">
      <c r="A85" s="67"/>
      <c r="C85" s="67"/>
      <c r="D85" s="67"/>
      <c r="E85" s="214"/>
      <c r="F85" s="68"/>
      <c r="G85" s="68"/>
      <c r="H85" s="68"/>
    </row>
    <row r="86" spans="1:8" x14ac:dyDescent="0.25">
      <c r="A86" s="67"/>
      <c r="C86" s="67"/>
      <c r="D86" s="67"/>
      <c r="E86" s="214"/>
      <c r="F86" s="68"/>
      <c r="G86" s="68"/>
      <c r="H86" s="68"/>
    </row>
    <row r="87" spans="1:8" x14ac:dyDescent="0.25">
      <c r="A87" s="67"/>
      <c r="C87" s="67"/>
      <c r="D87" s="67"/>
      <c r="E87" s="214"/>
      <c r="F87" s="68"/>
      <c r="G87" s="68"/>
      <c r="H87" s="68"/>
    </row>
    <row r="88" spans="1:8" x14ac:dyDescent="0.25">
      <c r="A88" s="67"/>
      <c r="C88" s="67"/>
      <c r="D88" s="67"/>
      <c r="E88" s="214"/>
      <c r="F88" s="68"/>
      <c r="G88" s="68"/>
      <c r="H88" s="68"/>
    </row>
    <row r="89" spans="1:8" x14ac:dyDescent="0.25">
      <c r="A89" s="67"/>
      <c r="C89" s="67"/>
      <c r="D89" s="67"/>
      <c r="E89" s="214"/>
      <c r="F89" s="68"/>
      <c r="G89" s="68"/>
      <c r="H89" s="68"/>
    </row>
    <row r="90" spans="1:8" x14ac:dyDescent="0.25">
      <c r="A90" s="67"/>
      <c r="C90" s="67"/>
      <c r="D90" s="67"/>
      <c r="E90" s="214"/>
      <c r="F90" s="68"/>
      <c r="G90" s="68"/>
      <c r="H90" s="68"/>
    </row>
    <row r="91" spans="1:8" x14ac:dyDescent="0.25">
      <c r="A91" s="67"/>
      <c r="C91" s="67"/>
      <c r="D91" s="67"/>
      <c r="E91" s="214"/>
      <c r="F91" s="68"/>
      <c r="G91" s="68"/>
      <c r="H91" s="68"/>
    </row>
    <row r="92" spans="1:8" x14ac:dyDescent="0.25">
      <c r="A92" s="67"/>
      <c r="C92" s="67"/>
      <c r="D92" s="67"/>
      <c r="E92" s="214"/>
      <c r="F92" s="68"/>
      <c r="G92" s="68"/>
      <c r="H92" s="68"/>
    </row>
    <row r="93" spans="1:8" x14ac:dyDescent="0.25">
      <c r="A93" s="67"/>
      <c r="C93" s="67"/>
      <c r="D93" s="67"/>
      <c r="E93" s="214"/>
      <c r="F93" s="68"/>
      <c r="G93" s="68"/>
      <c r="H93" s="68"/>
    </row>
    <row r="94" spans="1:8" x14ac:dyDescent="0.25">
      <c r="A94" s="67"/>
      <c r="C94" s="67"/>
      <c r="D94" s="67"/>
      <c r="E94" s="214"/>
      <c r="F94" s="68"/>
      <c r="G94" s="68"/>
      <c r="H94" s="68"/>
    </row>
    <row r="95" spans="1:8" x14ac:dyDescent="0.25">
      <c r="A95" s="67"/>
      <c r="C95" s="67"/>
      <c r="D95" s="67"/>
      <c r="E95" s="214"/>
      <c r="F95" s="68"/>
      <c r="G95" s="68"/>
      <c r="H95" s="68"/>
    </row>
    <row r="97" spans="4:8" x14ac:dyDescent="0.25">
      <c r="D97" s="191"/>
      <c r="E97" s="132"/>
      <c r="F97" s="132"/>
      <c r="G97" s="191"/>
      <c r="H97" s="19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E217-E1D6-4C4D-B649-6F79429AB387}">
  <sheetPr>
    <tabColor theme="9" tint="0.39997558519241921"/>
  </sheetPr>
  <dimension ref="A1:AB27"/>
  <sheetViews>
    <sheetView workbookViewId="0">
      <selection activeCell="B1" sqref="B1:B1048576"/>
    </sheetView>
  </sheetViews>
  <sheetFormatPr defaultRowHeight="15" x14ac:dyDescent="0.25"/>
  <cols>
    <col min="1" max="1" width="47.42578125" customWidth="1"/>
    <col min="2" max="2" width="8.5703125" style="67" hidden="1" customWidth="1"/>
    <col min="3" max="3" width="12.42578125" customWidth="1"/>
    <col min="4" max="27" width="10.5703125" customWidth="1"/>
  </cols>
  <sheetData>
    <row r="1" spans="1:28" ht="18.75" x14ac:dyDescent="0.3">
      <c r="A1" s="7" t="s">
        <v>133</v>
      </c>
      <c r="B1" s="7"/>
      <c r="C1" s="67"/>
      <c r="D1" s="67"/>
      <c r="E1" s="67"/>
      <c r="F1" s="67"/>
      <c r="G1" s="67"/>
      <c r="H1" s="67"/>
      <c r="I1" s="67"/>
      <c r="J1" s="67"/>
      <c r="K1" s="67"/>
      <c r="L1" s="67"/>
      <c r="M1" s="67"/>
      <c r="N1" s="67"/>
      <c r="O1" s="67"/>
      <c r="P1" s="67"/>
      <c r="Q1" s="67"/>
      <c r="R1" s="67"/>
      <c r="S1" s="67"/>
      <c r="T1" s="67"/>
      <c r="U1" s="67"/>
      <c r="V1" s="67"/>
      <c r="W1" s="67"/>
      <c r="X1" s="67"/>
      <c r="Y1" s="67"/>
      <c r="Z1" s="67"/>
      <c r="AA1" s="67"/>
    </row>
    <row r="2" spans="1:28" x14ac:dyDescent="0.25">
      <c r="A2" s="5"/>
      <c r="B2" s="5"/>
      <c r="C2" s="171">
        <v>2025</v>
      </c>
      <c r="D2" s="67">
        <f>C2+1</f>
        <v>2026</v>
      </c>
      <c r="E2" s="67">
        <f t="shared" ref="E2:AA2" si="0">D2+1</f>
        <v>2027</v>
      </c>
      <c r="F2" s="67">
        <f t="shared" si="0"/>
        <v>2028</v>
      </c>
      <c r="G2" s="67">
        <f t="shared" si="0"/>
        <v>2029</v>
      </c>
      <c r="H2" s="67">
        <f t="shared" si="0"/>
        <v>2030</v>
      </c>
      <c r="I2" s="67">
        <f t="shared" si="0"/>
        <v>2031</v>
      </c>
      <c r="J2" s="67">
        <f t="shared" si="0"/>
        <v>2032</v>
      </c>
      <c r="K2" s="67">
        <f t="shared" si="0"/>
        <v>2033</v>
      </c>
      <c r="L2" s="67">
        <f t="shared" si="0"/>
        <v>2034</v>
      </c>
      <c r="M2" s="67">
        <f t="shared" si="0"/>
        <v>2035</v>
      </c>
      <c r="N2" s="67">
        <f t="shared" si="0"/>
        <v>2036</v>
      </c>
      <c r="O2" s="67">
        <f t="shared" si="0"/>
        <v>2037</v>
      </c>
      <c r="P2" s="67">
        <f t="shared" si="0"/>
        <v>2038</v>
      </c>
      <c r="Q2" s="67">
        <f t="shared" si="0"/>
        <v>2039</v>
      </c>
      <c r="R2" s="67">
        <f t="shared" si="0"/>
        <v>2040</v>
      </c>
      <c r="S2" s="67">
        <f t="shared" si="0"/>
        <v>2041</v>
      </c>
      <c r="T2" s="67">
        <f t="shared" si="0"/>
        <v>2042</v>
      </c>
      <c r="U2" s="67">
        <f t="shared" si="0"/>
        <v>2043</v>
      </c>
      <c r="V2" s="67">
        <f t="shared" si="0"/>
        <v>2044</v>
      </c>
      <c r="W2" s="67">
        <f t="shared" si="0"/>
        <v>2045</v>
      </c>
      <c r="X2" s="67">
        <f t="shared" si="0"/>
        <v>2046</v>
      </c>
      <c r="Y2" s="67">
        <f t="shared" si="0"/>
        <v>2047</v>
      </c>
      <c r="Z2" s="67">
        <f t="shared" si="0"/>
        <v>2048</v>
      </c>
      <c r="AA2" s="67">
        <f t="shared" si="0"/>
        <v>2049</v>
      </c>
      <c r="AB2" s="67"/>
    </row>
    <row r="3" spans="1:28" x14ac:dyDescent="0.25">
      <c r="A3" s="5" t="s">
        <v>126</v>
      </c>
      <c r="B3" s="5"/>
      <c r="I3" s="43">
        <f>'Travel Time - vehicles'!E24</f>
        <v>0</v>
      </c>
      <c r="AB3" s="67"/>
    </row>
    <row r="4" spans="1:28" x14ac:dyDescent="0.25">
      <c r="A4" t="s">
        <v>121</v>
      </c>
      <c r="C4" s="43">
        <f>'Travel Time - vehicles'!C24*(1-'Travel Time - vehicles'!C28)</f>
        <v>14414.999999999998</v>
      </c>
      <c r="D4" s="43">
        <f>C4*'Travel Time - vehicles'!$C$26</f>
        <v>14523.178897786673</v>
      </c>
      <c r="E4" s="43">
        <f>D4*'Travel Time - vehicles'!$C$26</f>
        <v>14632.169635595987</v>
      </c>
      <c r="F4" s="43">
        <f>E4*'Travel Time - vehicles'!$C$26</f>
        <v>14741.978305967574</v>
      </c>
      <c r="G4" s="43">
        <f>F4*'Travel Time - vehicles'!$C$26</f>
        <v>14852.611047163178</v>
      </c>
      <c r="H4" s="43">
        <f>G4*'Travel Time - vehicles'!$C$26</f>
        <v>14964.074043509783</v>
      </c>
      <c r="I4" s="43">
        <f>H4*'Travel Time - vehicles'!$C$26</f>
        <v>15076.373525745308</v>
      </c>
      <c r="J4" s="43">
        <f>I4*'Travel Time - vehicles'!$C$26</f>
        <v>15189.515771366907</v>
      </c>
      <c r="K4" s="43">
        <f>J4*'Travel Time - vehicles'!$C$26</f>
        <v>15303.507104981876</v>
      </c>
      <c r="L4" s="43">
        <f>K4*'Travel Time - vehicles'!$C$26</f>
        <v>15418.353898661202</v>
      </c>
      <c r="M4" s="43">
        <f>L4*'Travel Time - vehicles'!$C$26</f>
        <v>15534.062572295754</v>
      </c>
      <c r="N4" s="43">
        <f>M4*'Travel Time - vehicles'!$C$26</f>
        <v>15650.639593955149</v>
      </c>
      <c r="O4" s="43">
        <f>N4*'Travel Time - vehicles'!$C$26</f>
        <v>15768.091480249326</v>
      </c>
      <c r="P4" s="43">
        <f>O4*'Travel Time - vehicles'!$C$26</f>
        <v>15886.424796692811</v>
      </c>
      <c r="Q4" s="43">
        <f>P4*'Travel Time - vehicles'!$C$26</f>
        <v>16005.64615807173</v>
      </c>
      <c r="R4" s="43">
        <f>Q4*'Travel Time - vehicles'!$C$26</f>
        <v>16125.762228813577</v>
      </c>
      <c r="S4" s="43">
        <f>R4*'Travel Time - vehicles'!$C$26</f>
        <v>16246.779723359748</v>
      </c>
      <c r="T4" s="43">
        <f>S4*'Travel Time - vehicles'!$C$26</f>
        <v>16368.705406540876</v>
      </c>
      <c r="U4" s="43">
        <f>T4*'Travel Time - vehicles'!$C$26</f>
        <v>16491.546093954985</v>
      </c>
      <c r="V4" s="43">
        <f>U4*'Travel Time - vehicles'!$C$26</f>
        <v>16615.308652348478</v>
      </c>
      <c r="W4" s="43">
        <f>V4*'Travel Time - vehicles'!$C$26</f>
        <v>16739.999999999985</v>
      </c>
      <c r="X4" s="43">
        <f>W4*'Travel Time - vehicles'!$C$26</f>
        <v>16865.627107107091</v>
      </c>
      <c r="Y4" s="43">
        <f>X4*'Travel Time - vehicles'!$C$26</f>
        <v>16992.196996175971</v>
      </c>
      <c r="Z4" s="43">
        <f>Y4*'Travel Time - vehicles'!$C$26</f>
        <v>17119.716742413944</v>
      </c>
      <c r="AA4" s="43">
        <f>Z4*'Travel Time - vehicles'!$C$26</f>
        <v>17248.193474124968</v>
      </c>
      <c r="AB4" s="43"/>
    </row>
    <row r="5" spans="1:28" x14ac:dyDescent="0.25">
      <c r="A5" t="s">
        <v>123</v>
      </c>
      <c r="C5" s="43">
        <f>C$4*'Travel Time - vehicles'!$K$68</f>
        <v>920.75812499999995</v>
      </c>
      <c r="D5" s="43">
        <f>D$4*'Travel Time - vehicles'!$K$68</f>
        <v>927.66805209612369</v>
      </c>
      <c r="E5" s="43">
        <f>E$4*'Travel Time - vehicles'!$K$68</f>
        <v>934.62983547369367</v>
      </c>
      <c r="F5" s="43">
        <f>F$4*'Travel Time - vehicles'!$K$68</f>
        <v>941.6438642936788</v>
      </c>
      <c r="G5" s="43">
        <f>G$4*'Travel Time - vehicles'!$K$68</f>
        <v>948.710530637548</v>
      </c>
      <c r="H5" s="43">
        <f>H$4*'Travel Time - vehicles'!$K$68</f>
        <v>955.83022952918748</v>
      </c>
      <c r="I5" s="43">
        <f>I$4*'Travel Time - vehicles'!$K$68</f>
        <v>963.00335895698163</v>
      </c>
      <c r="J5" s="43">
        <f>J$4*'Travel Time - vehicles'!$K$68</f>
        <v>970.23031989606125</v>
      </c>
      <c r="K5" s="43">
        <f>K$4*'Travel Time - vehicles'!$K$68</f>
        <v>977.51151633071731</v>
      </c>
      <c r="L5" s="43">
        <f>L$4*'Travel Time - vehicles'!$K$68</f>
        <v>984.84735527698433</v>
      </c>
      <c r="M5" s="43">
        <f>M$4*'Travel Time - vehicles'!$K$68</f>
        <v>992.23824680539133</v>
      </c>
      <c r="N5" s="43">
        <f>N$4*'Travel Time - vehicles'!$K$68</f>
        <v>999.68460406388522</v>
      </c>
      <c r="O5" s="43">
        <f>O$4*'Travel Time - vehicles'!$K$68</f>
        <v>1007.1868433009257</v>
      </c>
      <c r="P5" s="43">
        <f>P$4*'Travel Time - vehicles'!$K$68</f>
        <v>1014.7453838887533</v>
      </c>
      <c r="Q5" s="43">
        <f>Q$4*'Travel Time - vehicles'!$K$68</f>
        <v>1022.3606483468318</v>
      </c>
      <c r="R5" s="43">
        <f>R$4*'Travel Time - vehicles'!$K$68</f>
        <v>1030.0330623654672</v>
      </c>
      <c r="S5" s="43">
        <f>S$4*'Travel Time - vehicles'!$K$68</f>
        <v>1037.763054829604</v>
      </c>
      <c r="T5" s="43">
        <f>T$4*'Travel Time - vehicles'!$K$68</f>
        <v>1045.5510578427984</v>
      </c>
      <c r="U5" s="43">
        <f>U$4*'Travel Time - vehicles'!$K$68</f>
        <v>1053.3975067513747</v>
      </c>
      <c r="V5" s="43">
        <f>V$4*'Travel Time - vehicles'!$K$68</f>
        <v>1061.3028401687591</v>
      </c>
      <c r="W5" s="43">
        <f>W$4*'Travel Time - vehicles'!$K$68</f>
        <v>1069.267499999999</v>
      </c>
      <c r="X5" s="43">
        <f>X$4*'Travel Time - vehicles'!$K$68</f>
        <v>1077.2919314664655</v>
      </c>
      <c r="Y5" s="43">
        <f>Y$4*'Travel Time - vehicles'!$K$68</f>
        <v>1085.3765831307403</v>
      </c>
      <c r="Z5" s="43">
        <f>Z$4*'Travel Time - vehicles'!$K$68</f>
        <v>1093.5219069216907</v>
      </c>
      <c r="AA5" s="43">
        <f>AA$4*'Travel Time - vehicles'!$K$68</f>
        <v>1101.7283581597324</v>
      </c>
      <c r="AB5" s="43"/>
    </row>
    <row r="6" spans="1:28" x14ac:dyDescent="0.25">
      <c r="A6" t="s">
        <v>124</v>
      </c>
      <c r="C6" s="43">
        <f>C4-C5</f>
        <v>13494.241874999998</v>
      </c>
      <c r="D6" s="43">
        <f>D4-D5</f>
        <v>13595.510845690549</v>
      </c>
      <c r="E6" s="43">
        <f t="shared" ref="E6:AA6" si="1">E4-E5</f>
        <v>13697.539800122293</v>
      </c>
      <c r="F6" s="43">
        <f t="shared" si="1"/>
        <v>13800.334441673895</v>
      </c>
      <c r="G6" s="43">
        <f t="shared" si="1"/>
        <v>13903.900516525629</v>
      </c>
      <c r="H6" s="43">
        <f t="shared" si="1"/>
        <v>14008.243813980596</v>
      </c>
      <c r="I6" s="43">
        <f t="shared" si="1"/>
        <v>14113.370166788327</v>
      </c>
      <c r="J6" s="43">
        <f t="shared" si="1"/>
        <v>14219.285451470845</v>
      </c>
      <c r="K6" s="43">
        <f t="shared" si="1"/>
        <v>14325.99558865116</v>
      </c>
      <c r="L6" s="43">
        <f t="shared" si="1"/>
        <v>14433.506543384217</v>
      </c>
      <c r="M6" s="43">
        <f t="shared" si="1"/>
        <v>14541.824325490363</v>
      </c>
      <c r="N6" s="43">
        <f t="shared" si="1"/>
        <v>14650.954989891265</v>
      </c>
      <c r="O6" s="43">
        <f t="shared" si="1"/>
        <v>14760.9046369484</v>
      </c>
      <c r="P6" s="43">
        <f t="shared" si="1"/>
        <v>14871.679412804056</v>
      </c>
      <c r="Q6" s="43">
        <f t="shared" si="1"/>
        <v>14983.285509724898</v>
      </c>
      <c r="R6" s="43">
        <f t="shared" si="1"/>
        <v>15095.729166448109</v>
      </c>
      <c r="S6" s="43">
        <f t="shared" si="1"/>
        <v>15209.016668530145</v>
      </c>
      <c r="T6" s="43">
        <f t="shared" si="1"/>
        <v>15323.154348698077</v>
      </c>
      <c r="U6" s="43">
        <f t="shared" si="1"/>
        <v>15438.14858720361</v>
      </c>
      <c r="V6" s="43">
        <f t="shared" si="1"/>
        <v>15554.005812179719</v>
      </c>
      <c r="W6" s="43">
        <f t="shared" si="1"/>
        <v>15670.732499999987</v>
      </c>
      <c r="X6" s="43">
        <f t="shared" si="1"/>
        <v>15788.335175640626</v>
      </c>
      <c r="Y6" s="43">
        <f t="shared" si="1"/>
        <v>15906.82041304523</v>
      </c>
      <c r="Z6" s="43">
        <f t="shared" si="1"/>
        <v>16026.194835492253</v>
      </c>
      <c r="AA6" s="43">
        <f t="shared" si="1"/>
        <v>16146.465115965235</v>
      </c>
      <c r="AB6" s="43"/>
    </row>
    <row r="7" spans="1:28" x14ac:dyDescent="0.25">
      <c r="A7" t="s">
        <v>128</v>
      </c>
      <c r="C7">
        <f>'Travel Time - vehicles'!$C$35</f>
        <v>3.9</v>
      </c>
      <c r="D7" s="67">
        <f>'Travel Time - vehicles'!$C$35</f>
        <v>3.9</v>
      </c>
      <c r="E7" s="67">
        <f>'Travel Time - vehicles'!$C$35</f>
        <v>3.9</v>
      </c>
      <c r="F7" s="67">
        <f>'Travel Time - vehicles'!$C$35</f>
        <v>3.9</v>
      </c>
      <c r="G7" s="67">
        <f>'Travel Time - vehicles'!$C$35</f>
        <v>3.9</v>
      </c>
      <c r="H7" s="67">
        <f>'Travel Time - vehicles'!$C$35</f>
        <v>3.9</v>
      </c>
      <c r="I7" s="67">
        <f>'Travel Time - vehicles'!$C$35</f>
        <v>3.9</v>
      </c>
      <c r="J7" s="67">
        <f>'Travel Time - vehicles'!$C$35</f>
        <v>3.9</v>
      </c>
      <c r="K7" s="67">
        <f>'Travel Time - vehicles'!$C$35</f>
        <v>3.9</v>
      </c>
      <c r="L7" s="67">
        <f>'Travel Time - vehicles'!$C$35</f>
        <v>3.9</v>
      </c>
      <c r="M7" s="67">
        <f>'Travel Time - vehicles'!$C$35</f>
        <v>3.9</v>
      </c>
      <c r="N7" s="67">
        <f>'Travel Time - vehicles'!$C$35</f>
        <v>3.9</v>
      </c>
      <c r="O7" s="67">
        <f>'Travel Time - vehicles'!$C$35</f>
        <v>3.9</v>
      </c>
      <c r="P7" s="67">
        <f>'Travel Time - vehicles'!$C$35</f>
        <v>3.9</v>
      </c>
      <c r="Q7" s="67">
        <f>'Travel Time - vehicles'!$C$35</f>
        <v>3.9</v>
      </c>
      <c r="R7" s="67">
        <f>'Travel Time - vehicles'!$C$35</f>
        <v>3.9</v>
      </c>
      <c r="S7" s="67">
        <f>'Travel Time - vehicles'!$C$35</f>
        <v>3.9</v>
      </c>
      <c r="T7" s="67">
        <f>'Travel Time - vehicles'!$C$35</f>
        <v>3.9</v>
      </c>
      <c r="U7" s="67">
        <f>'Travel Time - vehicles'!$C$35</f>
        <v>3.9</v>
      </c>
      <c r="V7" s="67">
        <f>'Travel Time - vehicles'!$C$35</f>
        <v>3.9</v>
      </c>
      <c r="W7" s="67">
        <f>'Travel Time - vehicles'!$C$35</f>
        <v>3.9</v>
      </c>
      <c r="X7" s="67">
        <f>'Travel Time - vehicles'!$C$35</f>
        <v>3.9</v>
      </c>
      <c r="Y7" s="67">
        <f>'Travel Time - vehicles'!$C$35</f>
        <v>3.9</v>
      </c>
      <c r="Z7" s="67">
        <f>'Travel Time - vehicles'!$C$35</f>
        <v>3.9</v>
      </c>
      <c r="AA7" s="67">
        <f>'Travel Time - vehicles'!$C$35</f>
        <v>3.9</v>
      </c>
      <c r="AB7" s="67"/>
    </row>
    <row r="8" spans="1:28" x14ac:dyDescent="0.25">
      <c r="A8" t="s">
        <v>132</v>
      </c>
      <c r="C8" s="33">
        <f>C6*'Travel Time - vehicles'!$K$68*C7/60</f>
        <v>56.026405484765618</v>
      </c>
      <c r="D8" s="33">
        <f>D6*'Travel Time - vehicles'!$K$68*D7/60</f>
        <v>56.446861592451448</v>
      </c>
      <c r="E8" s="33">
        <f>E6*'Travel Time - vehicles'!$K$68*E7/60</f>
        <v>56.870473057632744</v>
      </c>
      <c r="F8" s="33">
        <f>F6*'Travel Time - vehicles'!$K$68*F7/60</f>
        <v>57.297263560024803</v>
      </c>
      <c r="G8" s="33">
        <f>G6*'Travel Time - vehicles'!$K$68*G7/60</f>
        <v>57.727256957049839</v>
      </c>
      <c r="H8" s="33">
        <f>H6*'Travel Time - vehicles'!$K$68*H7/60</f>
        <v>58.160477285170693</v>
      </c>
      <c r="I8" s="33">
        <f>I6*'Travel Time - vehicles'!$K$68*I7/60</f>
        <v>58.596948761234287</v>
      </c>
      <c r="J8" s="33">
        <f>J6*'Travel Time - vehicles'!$K$68*J7/60</f>
        <v>59.036695783825508</v>
      </c>
      <c r="K8" s="33">
        <f>K6*'Travel Time - vehicles'!$K$68*K7/60</f>
        <v>59.479742934631034</v>
      </c>
      <c r="L8" s="33">
        <f>L6*'Travel Time - vehicles'!$K$68*L7/60</f>
        <v>59.926114979813342</v>
      </c>
      <c r="M8" s="33">
        <f>M6*'Travel Time - vehicles'!$K$68*M7/60</f>
        <v>60.3758368713953</v>
      </c>
      <c r="N8" s="33">
        <f>N6*'Travel Time - vehicles'!$K$68*N7/60</f>
        <v>60.828933748654791</v>
      </c>
      <c r="O8" s="33">
        <f>O6*'Travel Time - vehicles'!$K$68*O7/60</f>
        <v>61.285430939530137</v>
      </c>
      <c r="P8" s="33">
        <f>P6*'Travel Time - vehicles'!$K$68*P7/60</f>
        <v>61.745353962035843</v>
      </c>
      <c r="Q8" s="33">
        <f>Q6*'Travel Time - vehicles'!$K$68*Q7/60</f>
        <v>62.208728525689054</v>
      </c>
      <c r="R8" s="33">
        <f>R6*'Travel Time - vehicles'!$K$68*R7/60</f>
        <v>62.675580532946739</v>
      </c>
      <c r="S8" s="33">
        <f>S6*'Travel Time - vehicles'!$K$68*S7/60</f>
        <v>63.145936080653591</v>
      </c>
      <c r="T8" s="33">
        <f>T6*'Travel Time - vehicles'!$K$68*T7/60</f>
        <v>63.619821461500827</v>
      </c>
      <c r="U8" s="33">
        <f>U6*'Travel Time - vehicles'!$K$68*U7/60</f>
        <v>64.097263165495988</v>
      </c>
      <c r="V8" s="33">
        <f>V6*'Travel Time - vehicles'!$K$68*V7/60</f>
        <v>64.578287881443671</v>
      </c>
      <c r="W8" s="33">
        <f>W6*'Travel Time - vehicles'!$K$68*W7/60</f>
        <v>65.062922498437445</v>
      </c>
      <c r="X8" s="33">
        <f>X6*'Travel Time - vehicles'!$K$68*X7/60</f>
        <v>65.551194107362932</v>
      </c>
      <c r="Y8" s="33">
        <f>Y6*'Travel Time - vehicles'!$K$68*Y7/60</f>
        <v>66.04313000241217</v>
      </c>
      <c r="Z8" s="33">
        <f>Z6*'Travel Time - vehicles'!$K$68*Z7/60</f>
        <v>66.5387576826094</v>
      </c>
      <c r="AA8" s="33">
        <f>AA6*'Travel Time - vehicles'!$K$68*AA7/60</f>
        <v>67.038104853348145</v>
      </c>
      <c r="AB8" s="33"/>
    </row>
    <row r="9" spans="1:28" x14ac:dyDescent="0.25">
      <c r="A9" t="s">
        <v>125</v>
      </c>
      <c r="C9" s="161">
        <f>C8*' Look Up Data'!H48</f>
        <v>997.2700176288281</v>
      </c>
      <c r="D9" s="161">
        <f>D8*' Look Up Data'!I48</f>
        <v>1004.7541363456359</v>
      </c>
      <c r="E9" s="161">
        <f>E8*' Look Up Data'!J48</f>
        <v>1012.2944204258629</v>
      </c>
      <c r="F9" s="161">
        <f>F8*' Look Up Data'!K48</f>
        <v>1019.8912913684416</v>
      </c>
      <c r="G9" s="161">
        <f>G8*' Look Up Data'!L48</f>
        <v>1027.5451738354873</v>
      </c>
      <c r="H9" s="161">
        <f>H8*' Look Up Data'!M48</f>
        <v>1035.2564956760384</v>
      </c>
      <c r="I9" s="161">
        <f>I8*' Look Up Data'!N48</f>
        <v>1043.0256879499705</v>
      </c>
      <c r="J9" s="161">
        <f>J8*' Look Up Data'!O48</f>
        <v>1050.8531849520941</v>
      </c>
      <c r="K9" s="161">
        <f>K8*' Look Up Data'!P48</f>
        <v>1058.7394242364323</v>
      </c>
      <c r="L9" s="161">
        <f>L8*' Look Up Data'!Q48</f>
        <v>1066.6848466406775</v>
      </c>
      <c r="M9" s="161">
        <f>M8*' Look Up Data'!R48</f>
        <v>1074.6898963108365</v>
      </c>
      <c r="N9" s="161">
        <f>N8*' Look Up Data'!S48</f>
        <v>1082.7550207260554</v>
      </c>
      <c r="O9" s="161">
        <f>O8*' Look Up Data'!T48</f>
        <v>1090.8806707236365</v>
      </c>
      <c r="P9" s="161">
        <f>P8*' Look Up Data'!U48</f>
        <v>1099.0673005242381</v>
      </c>
      <c r="Q9" s="161">
        <f>Q8*' Look Up Data'!V48</f>
        <v>1107.3153677572652</v>
      </c>
      <c r="R9" s="161">
        <f>R8*' Look Up Data'!W48</f>
        <v>1115.6253334864521</v>
      </c>
      <c r="S9" s="161">
        <f>S8*' Look Up Data'!X48</f>
        <v>1123.9976622356339</v>
      </c>
      <c r="T9" s="161">
        <f>T8*' Look Up Data'!Y48</f>
        <v>1132.4328220147147</v>
      </c>
      <c r="U9" s="161">
        <f>U8*' Look Up Data'!Z48</f>
        <v>1140.9312843458285</v>
      </c>
      <c r="V9" s="161">
        <f>V8*' Look Up Data'!AA48</f>
        <v>1149.4935242896975</v>
      </c>
      <c r="W9" s="161">
        <f>W8*' Look Up Data'!AB48</f>
        <v>1158.1200204721865</v>
      </c>
      <c r="X9" s="161">
        <f>X8*' Look Up Data'!AC48</f>
        <v>1166.8112551110603</v>
      </c>
      <c r="Y9" s="161">
        <f>Y8*' Look Up Data'!AD48</f>
        <v>1175.5677140429366</v>
      </c>
      <c r="Z9" s="161">
        <f>Z8*' Look Up Data'!AE48</f>
        <v>1184.3898867504474</v>
      </c>
      <c r="AA9" s="161">
        <f>AA8*' Look Up Data'!AF48</f>
        <v>1193.2782663895971</v>
      </c>
      <c r="AB9" s="161"/>
    </row>
    <row r="10" spans="1:28" x14ac:dyDescent="0.25">
      <c r="A10" t="s">
        <v>141</v>
      </c>
      <c r="C10" s="161">
        <f>C9*' Look Up Data'!$B$5</f>
        <v>364003.55643452227</v>
      </c>
      <c r="D10" s="161">
        <f>D9*' Look Up Data'!$B$5</f>
        <v>366735.25976615708</v>
      </c>
      <c r="E10" s="161">
        <f>E9*' Look Up Data'!$B$5</f>
        <v>369487.46345543995</v>
      </c>
      <c r="F10" s="161">
        <f>F9*' Look Up Data'!$B$5</f>
        <v>372260.32134948118</v>
      </c>
      <c r="G10" s="161">
        <f>G9*' Look Up Data'!$B$5</f>
        <v>375053.98844995286</v>
      </c>
      <c r="H10" s="161">
        <f>H9*' Look Up Data'!$B$5</f>
        <v>377868.62092175405</v>
      </c>
      <c r="I10" s="161">
        <f>I9*' Look Up Data'!$B$5</f>
        <v>380704.37610173924</v>
      </c>
      <c r="J10" s="161">
        <f>J9*' Look Up Data'!$B$5</f>
        <v>383561.41250751435</v>
      </c>
      <c r="K10" s="161">
        <f>K9*' Look Up Data'!$B$5</f>
        <v>386439.8898462978</v>
      </c>
      <c r="L10" s="161">
        <f>L9*' Look Up Data'!$B$5</f>
        <v>389339.96902384731</v>
      </c>
      <c r="M10" s="161">
        <f>M9*' Look Up Data'!$B$5</f>
        <v>392261.81215345534</v>
      </c>
      <c r="N10" s="161">
        <f>N9*' Look Up Data'!$B$5</f>
        <v>395205.58256501023</v>
      </c>
      <c r="O10" s="161">
        <f>O9*' Look Up Data'!$B$5</f>
        <v>398171.44481412735</v>
      </c>
      <c r="P10" s="161">
        <f>P9*' Look Up Data'!$B$5</f>
        <v>401159.5646913469</v>
      </c>
      <c r="Q10" s="161">
        <f>Q9*' Look Up Data'!$B$5</f>
        <v>404170.10923140182</v>
      </c>
      <c r="R10" s="161">
        <f>R9*' Look Up Data'!$B$5</f>
        <v>407203.24672255502</v>
      </c>
      <c r="S10" s="161">
        <f>S9*' Look Up Data'!$B$5</f>
        <v>410259.14671600639</v>
      </c>
      <c r="T10" s="161">
        <f>T9*' Look Up Data'!$B$5</f>
        <v>413337.98003537086</v>
      </c>
      <c r="U10" s="161">
        <f>U9*' Look Up Data'!$B$5</f>
        <v>416439.91878622741</v>
      </c>
      <c r="V10" s="161">
        <f>V9*' Look Up Data'!$B$5</f>
        <v>419565.13636573957</v>
      </c>
      <c r="W10" s="161">
        <f>W9*' Look Up Data'!$B$5</f>
        <v>422713.8074723481</v>
      </c>
      <c r="X10" s="161">
        <f>X9*' Look Up Data'!$B$5</f>
        <v>425886.10811553703</v>
      </c>
      <c r="Y10" s="161">
        <f>Y9*' Look Up Data'!$B$5</f>
        <v>429082.21562567184</v>
      </c>
      <c r="Z10" s="161">
        <f>Z9*' Look Up Data'!$B$5</f>
        <v>432302.30866391334</v>
      </c>
      <c r="AA10" s="161">
        <f>AA9*' Look Up Data'!$B$5</f>
        <v>435546.56723220291</v>
      </c>
      <c r="AB10" s="161"/>
    </row>
    <row r="11" spans="1:28" x14ac:dyDescent="0.25">
      <c r="AB11" s="67"/>
    </row>
    <row r="12" spans="1:28" x14ac:dyDescent="0.25">
      <c r="AB12" s="67"/>
    </row>
    <row r="13" spans="1:28" x14ac:dyDescent="0.25">
      <c r="A13" s="5" t="s">
        <v>32</v>
      </c>
      <c r="B13" s="5"/>
      <c r="AB13" s="67"/>
    </row>
    <row r="14" spans="1:28" x14ac:dyDescent="0.25">
      <c r="A14" s="67" t="s">
        <v>122</v>
      </c>
      <c r="C14" s="43">
        <f>'Travel Time - vehicles'!C24*0.07</f>
        <v>1085</v>
      </c>
      <c r="D14" s="43">
        <f>C14*'Travel Time - vehicles'!$C$26</f>
        <v>1093.142497682868</v>
      </c>
      <c r="E14" s="43">
        <f>D14*'Travel Time - vehicles'!$C$26</f>
        <v>1101.3461016039992</v>
      </c>
      <c r="F14" s="43">
        <f>E14*'Travel Time - vehicles'!$C$26</f>
        <v>1109.6112703416454</v>
      </c>
      <c r="G14" s="43">
        <f>F14*'Travel Time - vehicles'!$C$26</f>
        <v>1117.9384659155082</v>
      </c>
      <c r="H14" s="43">
        <f>G14*'Travel Time - vehicles'!$C$26</f>
        <v>1126.3281538125646</v>
      </c>
      <c r="I14" s="43">
        <f>H14*'Travel Time - vehicles'!$C$26</f>
        <v>1134.780803013088</v>
      </c>
      <c r="J14" s="43">
        <f>I14*'Travel Time - vehicles'!$C$26</f>
        <v>1143.2968860168642</v>
      </c>
      <c r="K14" s="43">
        <f>J14*'Travel Time - vehicles'!$C$26</f>
        <v>1151.8768788696038</v>
      </c>
      <c r="L14" s="43">
        <f>K14*'Travel Time - vehicles'!$C$26</f>
        <v>1160.5212611895531</v>
      </c>
      <c r="M14" s="43">
        <f>L14*'Travel Time - vehicles'!$C$26</f>
        <v>1169.2305161943043</v>
      </c>
      <c r="N14" s="43">
        <f>M14*'Travel Time - vehicles'!$C$26</f>
        <v>1178.0051307278072</v>
      </c>
      <c r="O14" s="43">
        <f>N14*'Travel Time - vehicles'!$C$26</f>
        <v>1186.845595287584</v>
      </c>
      <c r="P14" s="43">
        <f>O14*'Travel Time - vehicles'!$C$26</f>
        <v>1195.7524040521473</v>
      </c>
      <c r="Q14" s="43">
        <f>P14*'Travel Time - vehicles'!$C$26</f>
        <v>1204.7260549086252</v>
      </c>
      <c r="R14" s="43">
        <f>Q14*'Travel Time - vehicles'!$C$26</f>
        <v>1213.7670494805923</v>
      </c>
      <c r="S14" s="43">
        <f>R14*'Travel Time - vehicles'!$C$26</f>
        <v>1222.8758931561106</v>
      </c>
      <c r="T14" s="43">
        <f>S14*'Travel Time - vehicles'!$C$26</f>
        <v>1232.0530951159803</v>
      </c>
      <c r="U14" s="43">
        <f>T14*'Travel Time - vehicles'!$C$26</f>
        <v>1241.2991683622035</v>
      </c>
      <c r="V14" s="43">
        <f>U14*'Travel Time - vehicles'!$C$26</f>
        <v>1250.6146297466601</v>
      </c>
      <c r="W14" s="43">
        <f>V14*'Travel Time - vehicles'!$C$26</f>
        <v>1259.9999999999993</v>
      </c>
      <c r="X14" s="43">
        <f>W14*'Travel Time - vehicles'!$C$26</f>
        <v>1269.4558037607492</v>
      </c>
      <c r="Y14" s="43">
        <f>X14*'Travel Time - vehicles'!$C$26</f>
        <v>1278.9825696046435</v>
      </c>
      <c r="Z14" s="43">
        <f>Y14*'Travel Time - vehicles'!$C$26</f>
        <v>1288.5808300741683</v>
      </c>
      <c r="AA14" s="43">
        <f>Z14*'Travel Time - vehicles'!$C$26</f>
        <v>1298.2511217083315</v>
      </c>
      <c r="AB14" s="43"/>
    </row>
    <row r="15" spans="1:28" x14ac:dyDescent="0.25">
      <c r="A15" s="67" t="s">
        <v>136</v>
      </c>
      <c r="C15" s="43">
        <f>C$14*'Travel Time - vehicles'!$K$68</f>
        <v>69.304375000000007</v>
      </c>
      <c r="D15" s="43">
        <f>D$14*'Travel Time - vehicles'!$K$68</f>
        <v>69.824477039493189</v>
      </c>
      <c r="E15" s="43">
        <f>E$14*'Travel Time - vehicles'!$K$68</f>
        <v>70.348482239955445</v>
      </c>
      <c r="F15" s="43">
        <f>F$14*'Travel Time - vehicles'!$K$68</f>
        <v>70.876419893072608</v>
      </c>
      <c r="G15" s="43">
        <f>G$14*'Travel Time - vehicles'!$K$68</f>
        <v>71.408319510353095</v>
      </c>
      <c r="H15" s="43">
        <f>H$14*'Travel Time - vehicles'!$K$68</f>
        <v>71.944210824777556</v>
      </c>
      <c r="I15" s="43">
        <f>I$14*'Travel Time - vehicles'!$K$68</f>
        <v>72.484123792460991</v>
      </c>
      <c r="J15" s="43">
        <f>J$14*'Travel Time - vehicles'!$K$68</f>
        <v>73.028088594327201</v>
      </c>
      <c r="K15" s="43">
        <f>K$14*'Travel Time - vehicles'!$K$68</f>
        <v>73.576135637795943</v>
      </c>
      <c r="L15" s="43">
        <f>L$14*'Travel Time - vehicles'!$K$68</f>
        <v>74.128295558482705</v>
      </c>
      <c r="M15" s="43">
        <f>M$14*'Travel Time - vehicles'!$K$68</f>
        <v>74.684599221911185</v>
      </c>
      <c r="N15" s="43">
        <f>N$14*'Travel Time - vehicles'!$K$68</f>
        <v>75.245077725238687</v>
      </c>
      <c r="O15" s="43">
        <f>O$14*'Travel Time - vehicles'!$K$68</f>
        <v>75.809762398994437</v>
      </c>
      <c r="P15" s="43">
        <f>P$14*'Travel Time - vehicles'!$K$68</f>
        <v>76.378684808830911</v>
      </c>
      <c r="Q15" s="43">
        <f>Q$14*'Travel Time - vehicles'!$K$68</f>
        <v>76.951876757288431</v>
      </c>
      <c r="R15" s="43">
        <f>R$14*'Travel Time - vehicles'!$K$68</f>
        <v>77.529370285572838</v>
      </c>
      <c r="S15" s="43">
        <f>S$14*'Travel Time - vehicles'!$K$68</f>
        <v>78.11119767534656</v>
      </c>
      <c r="T15" s="43">
        <f>T$14*'Travel Time - vehicles'!$K$68</f>
        <v>78.697391450533246</v>
      </c>
      <c r="U15" s="43">
        <f>U$14*'Travel Time - vehicles'!$K$68</f>
        <v>79.28798437913575</v>
      </c>
      <c r="V15" s="43">
        <f>V$14*'Travel Time - vehicles'!$K$68</f>
        <v>79.883009475067908</v>
      </c>
      <c r="W15" s="43">
        <f>W$14*'Travel Time - vehicles'!$K$68</f>
        <v>80.482499999999959</v>
      </c>
      <c r="X15" s="43">
        <f>X$14*'Travel Time - vehicles'!$K$68</f>
        <v>81.086489465217852</v>
      </c>
      <c r="Y15" s="43">
        <f>Y$14*'Travel Time - vehicles'!$K$68</f>
        <v>81.695011633496605</v>
      </c>
      <c r="Z15" s="43">
        <f>Z$14*'Travel Time - vehicles'!$K$68</f>
        <v>82.308100520987495</v>
      </c>
      <c r="AA15" s="43">
        <f>AA$14*'Travel Time - vehicles'!$K$68</f>
        <v>82.925790399119677</v>
      </c>
      <c r="AB15" s="43"/>
    </row>
    <row r="16" spans="1:28" x14ac:dyDescent="0.25">
      <c r="A16" s="67" t="s">
        <v>137</v>
      </c>
      <c r="C16" s="43">
        <f>C14-C15</f>
        <v>1015.6956249999999</v>
      </c>
      <c r="D16" s="43">
        <f t="shared" ref="D16" si="2">D14-D15</f>
        <v>1023.3180206433748</v>
      </c>
      <c r="E16" s="43">
        <f t="shared" ref="E16" si="3">E14-E15</f>
        <v>1030.9976193640437</v>
      </c>
      <c r="F16" s="43">
        <f t="shared" ref="F16" si="4">F14-F15</f>
        <v>1038.7348504485728</v>
      </c>
      <c r="G16" s="43">
        <f t="shared" ref="G16" si="5">G14-G15</f>
        <v>1046.5301464051552</v>
      </c>
      <c r="H16" s="43">
        <f t="shared" ref="H16" si="6">H14-H15</f>
        <v>1054.3839429877869</v>
      </c>
      <c r="I16" s="43">
        <f t="shared" ref="I16" si="7">I14-I15</f>
        <v>1062.2966792206271</v>
      </c>
      <c r="J16" s="43">
        <f t="shared" ref="J16" si="8">J14-J15</f>
        <v>1070.2687974225369</v>
      </c>
      <c r="K16" s="43">
        <f t="shared" ref="K16" si="9">K14-K15</f>
        <v>1078.3007432318079</v>
      </c>
      <c r="L16" s="43">
        <f t="shared" ref="L16" si="10">L14-L15</f>
        <v>1086.3929656310704</v>
      </c>
      <c r="M16" s="43">
        <f t="shared" ref="M16" si="11">M14-M15</f>
        <v>1094.5459169723931</v>
      </c>
      <c r="N16" s="43">
        <f t="shared" ref="N16" si="12">N14-N15</f>
        <v>1102.7600530025686</v>
      </c>
      <c r="O16" s="43">
        <f t="shared" ref="O16" si="13">O14-O15</f>
        <v>1111.0358328885895</v>
      </c>
      <c r="P16" s="43">
        <f t="shared" ref="P16" si="14">P14-P15</f>
        <v>1119.3737192433164</v>
      </c>
      <c r="Q16" s="43">
        <f t="shared" ref="Q16" si="15">Q14-Q15</f>
        <v>1127.7741781513369</v>
      </c>
      <c r="R16" s="43">
        <f t="shared" ref="R16" si="16">R14-R15</f>
        <v>1136.2376791950194</v>
      </c>
      <c r="S16" s="43">
        <f t="shared" ref="S16" si="17">S14-S15</f>
        <v>1144.764695480764</v>
      </c>
      <c r="T16" s="43">
        <f t="shared" ref="T16" si="18">T14-T15</f>
        <v>1153.355703665447</v>
      </c>
      <c r="U16" s="43">
        <f t="shared" ref="U16" si="19">U14-U15</f>
        <v>1162.0111839830679</v>
      </c>
      <c r="V16" s="43">
        <f t="shared" ref="V16" si="20">V14-V15</f>
        <v>1170.7316202715922</v>
      </c>
      <c r="W16" s="43">
        <f t="shared" ref="W16" si="21">W14-W15</f>
        <v>1179.5174999999995</v>
      </c>
      <c r="X16" s="43">
        <f t="shared" ref="X16" si="22">X14-X15</f>
        <v>1188.3693142955312</v>
      </c>
      <c r="Y16" s="43">
        <f t="shared" ref="Y16" si="23">Y14-Y15</f>
        <v>1197.287557971147</v>
      </c>
      <c r="Z16" s="43">
        <f t="shared" ref="Z16" si="24">Z14-Z15</f>
        <v>1206.2727295531809</v>
      </c>
      <c r="AA16" s="43">
        <f t="shared" ref="AA16" si="25">AA14-AA15</f>
        <v>1215.3253313092118</v>
      </c>
      <c r="AB16" s="43"/>
    </row>
    <row r="17" spans="1:28" x14ac:dyDescent="0.25">
      <c r="A17" s="67" t="s">
        <v>128</v>
      </c>
      <c r="C17" s="67">
        <f>'Travel Time - vehicles'!$C$35</f>
        <v>3.9</v>
      </c>
      <c r="D17" s="67">
        <f>'Travel Time - vehicles'!$C$35</f>
        <v>3.9</v>
      </c>
      <c r="E17" s="67">
        <f>'Travel Time - vehicles'!$C$35</f>
        <v>3.9</v>
      </c>
      <c r="F17" s="67">
        <f>'Travel Time - vehicles'!$C$35</f>
        <v>3.9</v>
      </c>
      <c r="G17" s="67">
        <f>'Travel Time - vehicles'!$C$35</f>
        <v>3.9</v>
      </c>
      <c r="H17" s="67">
        <f>'Travel Time - vehicles'!$C$35</f>
        <v>3.9</v>
      </c>
      <c r="I17" s="67">
        <f>'Travel Time - vehicles'!$C$35</f>
        <v>3.9</v>
      </c>
      <c r="J17" s="67">
        <f>'Travel Time - vehicles'!$C$35</f>
        <v>3.9</v>
      </c>
      <c r="K17" s="67">
        <f>'Travel Time - vehicles'!$C$35</f>
        <v>3.9</v>
      </c>
      <c r="L17" s="67">
        <f>'Travel Time - vehicles'!$C$35</f>
        <v>3.9</v>
      </c>
      <c r="M17" s="67">
        <f>'Travel Time - vehicles'!$C$35</f>
        <v>3.9</v>
      </c>
      <c r="N17" s="67">
        <f>'Travel Time - vehicles'!$C$35</f>
        <v>3.9</v>
      </c>
      <c r="O17" s="67">
        <f>'Travel Time - vehicles'!$C$35</f>
        <v>3.9</v>
      </c>
      <c r="P17" s="67">
        <f>'Travel Time - vehicles'!$C$35</f>
        <v>3.9</v>
      </c>
      <c r="Q17" s="67">
        <f>'Travel Time - vehicles'!$C$35</f>
        <v>3.9</v>
      </c>
      <c r="R17" s="67">
        <f>'Travel Time - vehicles'!$C$35</f>
        <v>3.9</v>
      </c>
      <c r="S17" s="67">
        <f>'Travel Time - vehicles'!$C$35</f>
        <v>3.9</v>
      </c>
      <c r="T17" s="67">
        <f>'Travel Time - vehicles'!$C$35</f>
        <v>3.9</v>
      </c>
      <c r="U17" s="67">
        <f>'Travel Time - vehicles'!$C$35</f>
        <v>3.9</v>
      </c>
      <c r="V17" s="67">
        <f>'Travel Time - vehicles'!$C$35</f>
        <v>3.9</v>
      </c>
      <c r="W17" s="67">
        <f>'Travel Time - vehicles'!$C$35</f>
        <v>3.9</v>
      </c>
      <c r="X17" s="67">
        <f>'Travel Time - vehicles'!$C$35</f>
        <v>3.9</v>
      </c>
      <c r="Y17" s="67">
        <f>'Travel Time - vehicles'!$C$35</f>
        <v>3.9</v>
      </c>
      <c r="Z17" s="67">
        <f>'Travel Time - vehicles'!$C$35</f>
        <v>3.9</v>
      </c>
      <c r="AA17" s="67">
        <f>'Travel Time - vehicles'!$C$35</f>
        <v>3.9</v>
      </c>
      <c r="AB17" s="67"/>
    </row>
    <row r="18" spans="1:28" s="67" customFormat="1" x14ac:dyDescent="0.25">
      <c r="A18" s="67" t="s">
        <v>138</v>
      </c>
      <c r="C18" s="33">
        <f>C16*'Travel Time - vehicles'!$K$68*C17/60</f>
        <v>4.2170412730468749</v>
      </c>
      <c r="D18" s="33">
        <f>D16*'Travel Time - vehicles'!$K$68*D17/60</f>
        <v>4.248688506958711</v>
      </c>
      <c r="E18" s="33">
        <f>E16*'Travel Time - vehicles'!$K$68*E17/60</f>
        <v>4.2805732408970885</v>
      </c>
      <c r="F18" s="33">
        <f>F16*'Travel Time - vehicles'!$K$68*F17/60</f>
        <v>4.3126972572061684</v>
      </c>
      <c r="G18" s="33">
        <f>G16*'Travel Time - vehicles'!$K$68*G17/60</f>
        <v>4.3450623516059039</v>
      </c>
      <c r="H18" s="33">
        <f>H16*'Travel Time - vehicles'!$K$68*H17/60</f>
        <v>4.3776703332924169</v>
      </c>
      <c r="I18" s="33">
        <f>I16*'Travel Time - vehicles'!$K$68*I17/60</f>
        <v>4.410523025039141</v>
      </c>
      <c r="J18" s="33">
        <f>J16*'Travel Time - vehicles'!$K$68*J17/60</f>
        <v>4.4436222632986953</v>
      </c>
      <c r="K18" s="33">
        <f>K16*'Travel Time - vehicles'!$K$68*K17/60</f>
        <v>4.4769698983055628</v>
      </c>
      <c r="L18" s="33">
        <f>L16*'Travel Time - vehicles'!$K$68*L17/60</f>
        <v>4.5105677941795017</v>
      </c>
      <c r="M18" s="33">
        <f>M16*'Travel Time - vehicles'!$K$68*M17/60</f>
        <v>4.5444178290297543</v>
      </c>
      <c r="N18" s="33">
        <f>N16*'Travel Time - vehicles'!$K$68*N17/60</f>
        <v>4.5785218950600397</v>
      </c>
      <c r="O18" s="33">
        <f>O16*'Travel Time - vehicles'!$K$68*O17/60</f>
        <v>4.6128818986743125</v>
      </c>
      <c r="P18" s="33">
        <f>P16*'Travel Time - vehicles'!$K$68*P17/60</f>
        <v>4.6474997605833446</v>
      </c>
      <c r="Q18" s="33">
        <f>Q16*'Travel Time - vehicles'!$K$68*Q17/60</f>
        <v>4.6823774159120823</v>
      </c>
      <c r="R18" s="33">
        <f>R16*'Travel Time - vehicles'!$K$68*R17/60</f>
        <v>4.7175168143078201</v>
      </c>
      <c r="S18" s="33">
        <f>S16*'Travel Time - vehicles'!$K$68*S17/60</f>
        <v>4.7529199200491972</v>
      </c>
      <c r="T18" s="33">
        <f>T16*'Travel Time - vehicles'!$K$68*T17/60</f>
        <v>4.7885887121559785</v>
      </c>
      <c r="U18" s="33">
        <f>U16*'Travel Time - vehicles'!$K$68*U17/60</f>
        <v>4.8245251844997004</v>
      </c>
      <c r="V18" s="33">
        <f>V16*'Travel Time - vehicles'!$K$68*V17/60</f>
        <v>4.8607313459151165</v>
      </c>
      <c r="W18" s="33">
        <f>W16*'Travel Time - vehicles'!$K$68*W17/60</f>
        <v>4.8972092203124991</v>
      </c>
      <c r="X18" s="33">
        <f>X16*'Travel Time - vehicles'!$K$68*X17/60</f>
        <v>4.9339608467907583</v>
      </c>
      <c r="Y18" s="33">
        <f>Y16*'Travel Time - vehicles'!$K$68*Y17/60</f>
        <v>4.9709882797514551</v>
      </c>
      <c r="Z18" s="33">
        <f>Z16*'Travel Time - vehicles'!$K$68*Z17/60</f>
        <v>5.0082935890136131</v>
      </c>
      <c r="AA18" s="33">
        <f>AA16*'Travel Time - vehicles'!$K$68*AA17/60</f>
        <v>5.0458788599294344</v>
      </c>
      <c r="AB18" s="33"/>
    </row>
    <row r="19" spans="1:28" s="67" customFormat="1" x14ac:dyDescent="0.25">
      <c r="A19" s="67" t="s">
        <v>139</v>
      </c>
      <c r="C19" s="161">
        <f>C18*' Look Up Data'!H49</f>
        <v>134.9453207375</v>
      </c>
      <c r="D19" s="161">
        <f>D18*' Look Up Data'!I49</f>
        <v>135.95803222267875</v>
      </c>
      <c r="E19" s="161">
        <f>E18*' Look Up Data'!J49</f>
        <v>136.97834370870683</v>
      </c>
      <c r="F19" s="161">
        <f>F18*' Look Up Data'!K49</f>
        <v>138.00631223059739</v>
      </c>
      <c r="G19" s="161">
        <f>G18*' Look Up Data'!L49</f>
        <v>139.04199525138893</v>
      </c>
      <c r="H19" s="161">
        <f>H18*' Look Up Data'!M49</f>
        <v>140.08545066535734</v>
      </c>
      <c r="I19" s="161">
        <f>I18*' Look Up Data'!N49</f>
        <v>141.13673680125251</v>
      </c>
      <c r="J19" s="161">
        <f>J18*' Look Up Data'!O49</f>
        <v>142.19591242555825</v>
      </c>
      <c r="K19" s="161">
        <f>K18*' Look Up Data'!P49</f>
        <v>143.26303674577801</v>
      </c>
      <c r="L19" s="161">
        <f>L18*' Look Up Data'!Q49</f>
        <v>144.33816941374405</v>
      </c>
      <c r="M19" s="161">
        <f>M18*' Look Up Data'!R49</f>
        <v>145.42137052895214</v>
      </c>
      <c r="N19" s="161">
        <f>N18*' Look Up Data'!S49</f>
        <v>146.51270064192127</v>
      </c>
      <c r="O19" s="161">
        <f>O18*' Look Up Data'!T49</f>
        <v>147.612220757578</v>
      </c>
      <c r="P19" s="161">
        <f>P18*' Look Up Data'!U49</f>
        <v>148.71999233866703</v>
      </c>
      <c r="Q19" s="161">
        <f>Q18*' Look Up Data'!V49</f>
        <v>149.83607730918663</v>
      </c>
      <c r="R19" s="161">
        <f>R18*' Look Up Data'!W49</f>
        <v>150.96053805785024</v>
      </c>
      <c r="S19" s="161">
        <f>S18*' Look Up Data'!X49</f>
        <v>152.09343744157431</v>
      </c>
      <c r="T19" s="161">
        <f>T18*' Look Up Data'!Y49</f>
        <v>153.23483878899131</v>
      </c>
      <c r="U19" s="161">
        <f>U18*' Look Up Data'!Z49</f>
        <v>154.38480590399041</v>
      </c>
      <c r="V19" s="161">
        <f>V18*' Look Up Data'!AA49</f>
        <v>155.54340306928373</v>
      </c>
      <c r="W19" s="161">
        <f>W18*' Look Up Data'!AB49</f>
        <v>156.71069504999997</v>
      </c>
      <c r="X19" s="161">
        <f>X18*' Look Up Data'!AC49</f>
        <v>157.88674709730427</v>
      </c>
      <c r="Y19" s="161">
        <f>Y18*' Look Up Data'!AD49</f>
        <v>159.07162495204656</v>
      </c>
      <c r="Z19" s="161">
        <f>Z18*' Look Up Data'!AE49</f>
        <v>160.26539484843562</v>
      </c>
      <c r="AA19" s="161">
        <f>AA18*' Look Up Data'!AF49</f>
        <v>161.4681235177419</v>
      </c>
      <c r="AB19" s="161"/>
    </row>
    <row r="20" spans="1:28" x14ac:dyDescent="0.25">
      <c r="A20" s="67" t="s">
        <v>140</v>
      </c>
      <c r="C20" s="161">
        <f>C19*' Look Up Data'!$B$5</f>
        <v>49255.042069187497</v>
      </c>
      <c r="D20" s="161">
        <f>D19*' Look Up Data'!$B$5</f>
        <v>49624.681761277745</v>
      </c>
      <c r="E20" s="161">
        <f>E19*' Look Up Data'!$B$5</f>
        <v>49997.09545367799</v>
      </c>
      <c r="F20" s="161">
        <f>F19*' Look Up Data'!$B$5</f>
        <v>50372.303964168044</v>
      </c>
      <c r="G20" s="161">
        <f>G19*' Look Up Data'!$B$5</f>
        <v>50750.328266756958</v>
      </c>
      <c r="H20" s="161">
        <f>H19*' Look Up Data'!$B$5</f>
        <v>51131.189492855432</v>
      </c>
      <c r="I20" s="161">
        <f>I19*' Look Up Data'!$B$5</f>
        <v>51514.908932457169</v>
      </c>
      <c r="J20" s="161">
        <f>J19*' Look Up Data'!$B$5</f>
        <v>51901.508035328763</v>
      </c>
      <c r="K20" s="161">
        <f>K19*' Look Up Data'!$B$5</f>
        <v>52291.008412208976</v>
      </c>
      <c r="L20" s="161">
        <f>L19*' Look Up Data'!$B$5</f>
        <v>52683.431836016578</v>
      </c>
      <c r="M20" s="161">
        <f>M19*' Look Up Data'!$B$5</f>
        <v>53078.800243067533</v>
      </c>
      <c r="N20" s="161">
        <f>N19*' Look Up Data'!$B$5</f>
        <v>53477.135734301264</v>
      </c>
      <c r="O20" s="161">
        <f>O19*' Look Up Data'!$B$5</f>
        <v>53878.460576515972</v>
      </c>
      <c r="P20" s="161">
        <f>P19*' Look Up Data'!$B$5</f>
        <v>54282.797203613467</v>
      </c>
      <c r="Q20" s="161">
        <f>Q19*' Look Up Data'!$B$5</f>
        <v>54690.168217853119</v>
      </c>
      <c r="R20" s="161">
        <f>R19*' Look Up Data'!$B$5</f>
        <v>55100.596391115338</v>
      </c>
      <c r="S20" s="161">
        <f>S19*' Look Up Data'!$B$5</f>
        <v>55514.104666174622</v>
      </c>
      <c r="T20" s="161">
        <f>T19*' Look Up Data'!$B$5</f>
        <v>55930.716157981828</v>
      </c>
      <c r="U20" s="161">
        <f>U19*' Look Up Data'!$B$5</f>
        <v>56350.454154956504</v>
      </c>
      <c r="V20" s="161">
        <f>V19*' Look Up Data'!$B$5</f>
        <v>56773.342120288558</v>
      </c>
      <c r="W20" s="161">
        <f>W19*' Look Up Data'!$B$5</f>
        <v>57199.403693249988</v>
      </c>
      <c r="X20" s="161">
        <f>X19*' Look Up Data'!$B$5</f>
        <v>57628.662690516059</v>
      </c>
      <c r="Y20" s="161">
        <f>Y19*' Look Up Data'!$B$5</f>
        <v>58061.143107496995</v>
      </c>
      <c r="Z20" s="161">
        <f>Z19*' Look Up Data'!$B$5</f>
        <v>58496.869119679002</v>
      </c>
      <c r="AA20" s="161">
        <f>AA19*' Look Up Data'!$B$5</f>
        <v>58935.865083975797</v>
      </c>
      <c r="AB20" s="161"/>
    </row>
    <row r="21" spans="1:28" x14ac:dyDescent="0.25">
      <c r="D21" s="67"/>
      <c r="E21" s="67"/>
      <c r="F21" s="67"/>
      <c r="G21" s="67"/>
      <c r="H21" s="67"/>
      <c r="I21" s="67"/>
      <c r="J21" s="67"/>
      <c r="K21" s="67"/>
      <c r="L21" s="67"/>
      <c r="M21" s="67"/>
      <c r="N21" s="67"/>
      <c r="O21" s="67"/>
      <c r="P21" s="67"/>
      <c r="Q21" s="67"/>
      <c r="R21" s="67"/>
      <c r="S21" s="67"/>
      <c r="T21" s="67"/>
      <c r="U21" s="67"/>
      <c r="V21" s="67"/>
      <c r="W21" s="67"/>
      <c r="X21" s="67"/>
      <c r="Y21" s="67"/>
      <c r="Z21" s="67"/>
      <c r="AA21" s="67"/>
      <c r="AB21" s="67"/>
    </row>
    <row r="22" spans="1:28" x14ac:dyDescent="0.25">
      <c r="A22" s="69" t="s">
        <v>127</v>
      </c>
      <c r="B22" s="69"/>
      <c r="C22" s="161">
        <f>C10+C20</f>
        <v>413258.59850370977</v>
      </c>
      <c r="D22" s="161">
        <f t="shared" ref="D22:AA22" si="26">D10+D20</f>
        <v>416359.9415274348</v>
      </c>
      <c r="E22" s="161">
        <f t="shared" si="26"/>
        <v>419484.55890911794</v>
      </c>
      <c r="F22" s="161">
        <f t="shared" si="26"/>
        <v>422632.62531364925</v>
      </c>
      <c r="G22" s="161">
        <f t="shared" si="26"/>
        <v>425804.31671670981</v>
      </c>
      <c r="H22" s="161">
        <f t="shared" si="26"/>
        <v>428999.8104146095</v>
      </c>
      <c r="I22" s="161">
        <f t="shared" si="26"/>
        <v>432219.28503419639</v>
      </c>
      <c r="J22" s="161">
        <f t="shared" si="26"/>
        <v>435462.92054284312</v>
      </c>
      <c r="K22" s="161">
        <f t="shared" si="26"/>
        <v>438730.89825850679</v>
      </c>
      <c r="L22" s="161">
        <f t="shared" si="26"/>
        <v>442023.4008598639</v>
      </c>
      <c r="M22" s="161">
        <f t="shared" si="26"/>
        <v>445340.61239652289</v>
      </c>
      <c r="N22" s="161">
        <f t="shared" si="26"/>
        <v>448682.71829931147</v>
      </c>
      <c r="O22" s="161">
        <f t="shared" si="26"/>
        <v>452049.90539064334</v>
      </c>
      <c r="P22" s="161">
        <f t="shared" si="26"/>
        <v>455442.36189496034</v>
      </c>
      <c r="Q22" s="161">
        <f t="shared" si="26"/>
        <v>458860.27744925494</v>
      </c>
      <c r="R22" s="161">
        <f t="shared" si="26"/>
        <v>462303.84311367036</v>
      </c>
      <c r="S22" s="161">
        <f t="shared" si="26"/>
        <v>465773.25138218101</v>
      </c>
      <c r="T22" s="161">
        <f t="shared" si="26"/>
        <v>469268.69619335269</v>
      </c>
      <c r="U22" s="161">
        <f t="shared" si="26"/>
        <v>472790.37294118392</v>
      </c>
      <c r="V22" s="161">
        <f t="shared" si="26"/>
        <v>476338.47848602815</v>
      </c>
      <c r="W22" s="161">
        <f t="shared" si="26"/>
        <v>479913.21116559807</v>
      </c>
      <c r="X22" s="161">
        <f t="shared" si="26"/>
        <v>483514.77080605307</v>
      </c>
      <c r="Y22" s="161">
        <f t="shared" si="26"/>
        <v>487143.35873316886</v>
      </c>
      <c r="Z22" s="161">
        <f t="shared" si="26"/>
        <v>490799.17778359237</v>
      </c>
      <c r="AA22" s="161">
        <f t="shared" si="26"/>
        <v>494482.43231617869</v>
      </c>
      <c r="AB22" s="161"/>
    </row>
    <row r="26" spans="1:28" x14ac:dyDescent="0.25">
      <c r="A26" t="s">
        <v>134</v>
      </c>
    </row>
    <row r="27" spans="1:28" x14ac:dyDescent="0.25">
      <c r="A27"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0A01D-8C91-4E01-A778-7EB6E0BC84D3}">
  <sheetPr>
    <tabColor rgb="FF92D050"/>
  </sheetPr>
  <dimension ref="A1:AC22"/>
  <sheetViews>
    <sheetView workbookViewId="0">
      <selection activeCell="F18" sqref="F18"/>
    </sheetView>
  </sheetViews>
  <sheetFormatPr defaultRowHeight="15" x14ac:dyDescent="0.25"/>
  <cols>
    <col min="1" max="1" width="2.5703125" style="67" customWidth="1"/>
    <col min="2" max="2" width="35.5703125" customWidth="1"/>
    <col min="3" max="4" width="12.5703125" customWidth="1"/>
  </cols>
  <sheetData>
    <row r="1" spans="2:29" ht="18.75" x14ac:dyDescent="0.3">
      <c r="B1" s="7" t="s">
        <v>162</v>
      </c>
    </row>
    <row r="2" spans="2:29" s="67" customFormat="1" ht="19.5" thickBot="1" x14ac:dyDescent="0.35">
      <c r="B2" s="7"/>
    </row>
    <row r="3" spans="2:29" x14ac:dyDescent="0.25">
      <c r="B3" s="175" t="s">
        <v>175</v>
      </c>
      <c r="C3" s="176"/>
      <c r="D3" s="177">
        <v>68907</v>
      </c>
    </row>
    <row r="4" spans="2:29" ht="15.75" thickBot="1" x14ac:dyDescent="0.3">
      <c r="B4" s="178" t="s">
        <v>176</v>
      </c>
      <c r="C4" s="179"/>
      <c r="D4" s="180">
        <f>D3/365</f>
        <v>188.78630136986303</v>
      </c>
    </row>
    <row r="5" spans="2:29" ht="45" x14ac:dyDescent="0.25">
      <c r="B5" s="175"/>
      <c r="C5" s="181" t="s">
        <v>161</v>
      </c>
      <c r="D5" s="182" t="s">
        <v>172</v>
      </c>
    </row>
    <row r="6" spans="2:29" x14ac:dyDescent="0.25">
      <c r="B6" s="183" t="s">
        <v>160</v>
      </c>
      <c r="C6" s="29">
        <f>14-6</f>
        <v>8</v>
      </c>
      <c r="D6" s="184">
        <v>50</v>
      </c>
    </row>
    <row r="7" spans="2:29" ht="15.75" thickBot="1" x14ac:dyDescent="0.3">
      <c r="B7" s="178" t="s">
        <v>159</v>
      </c>
      <c r="C7" s="179">
        <f>4-1.75</f>
        <v>2.25</v>
      </c>
      <c r="D7" s="185">
        <v>50</v>
      </c>
    </row>
    <row r="12" spans="2:29" x14ac:dyDescent="0.25">
      <c r="E12" s="171">
        <v>2025</v>
      </c>
      <c r="F12" s="67">
        <f>E12+1</f>
        <v>2026</v>
      </c>
      <c r="G12" s="67">
        <f t="shared" ref="G12:AC12" si="0">F12+1</f>
        <v>2027</v>
      </c>
      <c r="H12" s="67">
        <f t="shared" si="0"/>
        <v>2028</v>
      </c>
      <c r="I12" s="67">
        <f t="shared" si="0"/>
        <v>2029</v>
      </c>
      <c r="J12" s="67">
        <f t="shared" si="0"/>
        <v>2030</v>
      </c>
      <c r="K12" s="67">
        <f t="shared" si="0"/>
        <v>2031</v>
      </c>
      <c r="L12" s="67">
        <f t="shared" si="0"/>
        <v>2032</v>
      </c>
      <c r="M12" s="67">
        <f t="shared" si="0"/>
        <v>2033</v>
      </c>
      <c r="N12" s="67">
        <f t="shared" si="0"/>
        <v>2034</v>
      </c>
      <c r="O12" s="67">
        <f t="shared" si="0"/>
        <v>2035</v>
      </c>
      <c r="P12" s="67">
        <f t="shared" si="0"/>
        <v>2036</v>
      </c>
      <c r="Q12" s="67">
        <f t="shared" si="0"/>
        <v>2037</v>
      </c>
      <c r="R12" s="67">
        <f t="shared" si="0"/>
        <v>2038</v>
      </c>
      <c r="S12" s="67">
        <f t="shared" si="0"/>
        <v>2039</v>
      </c>
      <c r="T12" s="67">
        <f t="shared" si="0"/>
        <v>2040</v>
      </c>
      <c r="U12" s="67">
        <f t="shared" si="0"/>
        <v>2041</v>
      </c>
      <c r="V12" s="67">
        <f t="shared" si="0"/>
        <v>2042</v>
      </c>
      <c r="W12" s="67">
        <f t="shared" si="0"/>
        <v>2043</v>
      </c>
      <c r="X12" s="67">
        <f t="shared" si="0"/>
        <v>2044</v>
      </c>
      <c r="Y12" s="67">
        <f t="shared" si="0"/>
        <v>2045</v>
      </c>
      <c r="Z12" s="67">
        <f t="shared" si="0"/>
        <v>2046</v>
      </c>
      <c r="AA12" s="67">
        <f t="shared" si="0"/>
        <v>2047</v>
      </c>
      <c r="AB12" s="67">
        <f t="shared" si="0"/>
        <v>2048</v>
      </c>
      <c r="AC12" s="67">
        <f t="shared" si="0"/>
        <v>2049</v>
      </c>
    </row>
    <row r="13" spans="2:29" x14ac:dyDescent="0.25">
      <c r="B13" t="s">
        <v>166</v>
      </c>
      <c r="E13" s="28">
        <f>$C$6/60*$D$6*2*' Look Up Data'!$B$5</f>
        <v>4866.666666666667</v>
      </c>
      <c r="F13" s="15">
        <f>E13</f>
        <v>4866.666666666667</v>
      </c>
      <c r="G13" s="15">
        <f t="shared" ref="G13:AC13" si="1">F13</f>
        <v>4866.666666666667</v>
      </c>
      <c r="H13" s="15">
        <f>G13</f>
        <v>4866.666666666667</v>
      </c>
      <c r="I13" s="15">
        <f t="shared" si="1"/>
        <v>4866.666666666667</v>
      </c>
      <c r="J13" s="15">
        <f t="shared" si="1"/>
        <v>4866.666666666667</v>
      </c>
      <c r="K13" s="15">
        <f t="shared" si="1"/>
        <v>4866.666666666667</v>
      </c>
      <c r="L13" s="15">
        <f t="shared" si="1"/>
        <v>4866.666666666667</v>
      </c>
      <c r="M13" s="15">
        <f t="shared" si="1"/>
        <v>4866.666666666667</v>
      </c>
      <c r="N13" s="15">
        <f t="shared" si="1"/>
        <v>4866.666666666667</v>
      </c>
      <c r="O13" s="15">
        <f t="shared" si="1"/>
        <v>4866.666666666667</v>
      </c>
      <c r="P13" s="15">
        <f t="shared" si="1"/>
        <v>4866.666666666667</v>
      </c>
      <c r="Q13" s="15">
        <f t="shared" si="1"/>
        <v>4866.666666666667</v>
      </c>
      <c r="R13" s="15">
        <f t="shared" si="1"/>
        <v>4866.666666666667</v>
      </c>
      <c r="S13" s="15">
        <f t="shared" si="1"/>
        <v>4866.666666666667</v>
      </c>
      <c r="T13" s="15">
        <f t="shared" si="1"/>
        <v>4866.666666666667</v>
      </c>
      <c r="U13" s="15">
        <f t="shared" si="1"/>
        <v>4866.666666666667</v>
      </c>
      <c r="V13" s="15">
        <f t="shared" si="1"/>
        <v>4866.666666666667</v>
      </c>
      <c r="W13" s="15">
        <f t="shared" si="1"/>
        <v>4866.666666666667</v>
      </c>
      <c r="X13" s="15">
        <f t="shared" si="1"/>
        <v>4866.666666666667</v>
      </c>
      <c r="Y13" s="15">
        <f t="shared" si="1"/>
        <v>4866.666666666667</v>
      </c>
      <c r="Z13" s="15">
        <f t="shared" si="1"/>
        <v>4866.666666666667</v>
      </c>
      <c r="AA13" s="15">
        <f t="shared" si="1"/>
        <v>4866.666666666667</v>
      </c>
      <c r="AB13" s="15">
        <f t="shared" si="1"/>
        <v>4866.666666666667</v>
      </c>
      <c r="AC13" s="15">
        <f t="shared" si="1"/>
        <v>4866.666666666667</v>
      </c>
    </row>
    <row r="14" spans="2:29" x14ac:dyDescent="0.25">
      <c r="B14" t="s">
        <v>167</v>
      </c>
      <c r="E14" s="28">
        <f>C7/60*D7*2*' Look Up Data'!$B$5</f>
        <v>1368.75</v>
      </c>
      <c r="F14" s="15">
        <f>E14</f>
        <v>1368.75</v>
      </c>
      <c r="G14" s="15">
        <f t="shared" ref="G14:AC14" si="2">F14</f>
        <v>1368.75</v>
      </c>
      <c r="H14" s="15">
        <f t="shared" si="2"/>
        <v>1368.75</v>
      </c>
      <c r="I14" s="15">
        <f t="shared" si="2"/>
        <v>1368.75</v>
      </c>
      <c r="J14" s="15">
        <f t="shared" si="2"/>
        <v>1368.75</v>
      </c>
      <c r="K14" s="15">
        <f t="shared" si="2"/>
        <v>1368.75</v>
      </c>
      <c r="L14" s="15">
        <f t="shared" si="2"/>
        <v>1368.75</v>
      </c>
      <c r="M14" s="15">
        <f t="shared" si="2"/>
        <v>1368.75</v>
      </c>
      <c r="N14" s="15">
        <f t="shared" si="2"/>
        <v>1368.75</v>
      </c>
      <c r="O14" s="15">
        <f t="shared" si="2"/>
        <v>1368.75</v>
      </c>
      <c r="P14" s="15">
        <f>O14</f>
        <v>1368.75</v>
      </c>
      <c r="Q14" s="15">
        <f t="shared" si="2"/>
        <v>1368.75</v>
      </c>
      <c r="R14" s="15">
        <f t="shared" si="2"/>
        <v>1368.75</v>
      </c>
      <c r="S14" s="15">
        <f t="shared" si="2"/>
        <v>1368.75</v>
      </c>
      <c r="T14" s="15">
        <f t="shared" si="2"/>
        <v>1368.75</v>
      </c>
      <c r="U14" s="15">
        <f t="shared" si="2"/>
        <v>1368.75</v>
      </c>
      <c r="V14" s="15">
        <f t="shared" si="2"/>
        <v>1368.75</v>
      </c>
      <c r="W14" s="15">
        <f t="shared" si="2"/>
        <v>1368.75</v>
      </c>
      <c r="X14" s="15">
        <f t="shared" si="2"/>
        <v>1368.75</v>
      </c>
      <c r="Y14" s="15">
        <f t="shared" si="2"/>
        <v>1368.75</v>
      </c>
      <c r="Z14" s="15">
        <f t="shared" si="2"/>
        <v>1368.75</v>
      </c>
      <c r="AA14" s="15">
        <f t="shared" si="2"/>
        <v>1368.75</v>
      </c>
      <c r="AB14" s="15">
        <f t="shared" si="2"/>
        <v>1368.75</v>
      </c>
      <c r="AC14" s="15">
        <f t="shared" si="2"/>
        <v>1368.75</v>
      </c>
    </row>
    <row r="15" spans="2:29" s="67" customFormat="1" x14ac:dyDescent="0.25">
      <c r="E15" s="28"/>
      <c r="F15" s="15"/>
      <c r="G15" s="15"/>
      <c r="H15" s="15"/>
      <c r="I15" s="15"/>
      <c r="J15" s="28"/>
      <c r="K15" s="15"/>
      <c r="L15" s="15"/>
      <c r="M15" s="15"/>
      <c r="N15" s="15"/>
      <c r="O15" s="28"/>
      <c r="P15" s="15"/>
      <c r="Q15" s="15"/>
      <c r="R15" s="15"/>
      <c r="S15" s="15"/>
      <c r="T15" s="28"/>
      <c r="U15" s="15"/>
      <c r="V15" s="15"/>
      <c r="W15" s="15"/>
      <c r="X15" s="15"/>
      <c r="Y15" s="28"/>
      <c r="Z15" s="15"/>
      <c r="AA15" s="15"/>
      <c r="AB15" s="15"/>
      <c r="AC15" s="15"/>
    </row>
    <row r="16" spans="2:29" x14ac:dyDescent="0.25">
      <c r="B16" s="69" t="s">
        <v>163</v>
      </c>
      <c r="E16" s="28"/>
      <c r="F16" s="15"/>
      <c r="G16" s="15"/>
      <c r="H16" s="15"/>
      <c r="I16" s="15"/>
      <c r="J16" s="28"/>
      <c r="K16" s="15"/>
      <c r="L16" s="15"/>
      <c r="M16" s="15"/>
      <c r="N16" s="15"/>
      <c r="O16" s="28"/>
      <c r="P16" s="15"/>
      <c r="Q16" s="15"/>
      <c r="R16" s="15"/>
      <c r="S16" s="15"/>
      <c r="T16" s="28"/>
      <c r="U16" s="15"/>
      <c r="V16" s="15"/>
      <c r="W16" s="15"/>
      <c r="X16" s="15"/>
      <c r="Y16" s="28"/>
      <c r="Z16" s="15"/>
      <c r="AA16" s="15"/>
      <c r="AB16" s="15"/>
      <c r="AC16" s="15"/>
    </row>
    <row r="17" spans="2:29" x14ac:dyDescent="0.25">
      <c r="B17" t="s">
        <v>165</v>
      </c>
      <c r="E17" s="28">
        <f>E13*' Look Up Data'!$D$50</f>
        <v>157680</v>
      </c>
      <c r="F17" s="28">
        <f>F13*' Look Up Data'!$D$50</f>
        <v>157680</v>
      </c>
      <c r="G17" s="28">
        <f>G13*' Look Up Data'!$D$50</f>
        <v>157680</v>
      </c>
      <c r="H17" s="28">
        <f>H13*' Look Up Data'!$D$50</f>
        <v>157680</v>
      </c>
      <c r="I17" s="28">
        <f>I13*' Look Up Data'!$D$50</f>
        <v>157680</v>
      </c>
      <c r="J17" s="28">
        <f>J13*' Look Up Data'!$D$50</f>
        <v>157680</v>
      </c>
      <c r="K17" s="28">
        <f>K13*' Look Up Data'!$D$50</f>
        <v>157680</v>
      </c>
      <c r="L17" s="28">
        <f>L13*' Look Up Data'!$D$50</f>
        <v>157680</v>
      </c>
      <c r="M17" s="28">
        <f>M13*' Look Up Data'!$D$50</f>
        <v>157680</v>
      </c>
      <c r="N17" s="28">
        <f>N13*' Look Up Data'!$D$50</f>
        <v>157680</v>
      </c>
      <c r="O17" s="28">
        <f>O13*' Look Up Data'!$D$50</f>
        <v>157680</v>
      </c>
      <c r="P17" s="28">
        <f>P13*' Look Up Data'!$D$50</f>
        <v>157680</v>
      </c>
      <c r="Q17" s="28">
        <f>Q13*' Look Up Data'!$D$50</f>
        <v>157680</v>
      </c>
      <c r="R17" s="28">
        <f>R13*' Look Up Data'!$D$50</f>
        <v>157680</v>
      </c>
      <c r="S17" s="28">
        <f>S13*' Look Up Data'!$D$50</f>
        <v>157680</v>
      </c>
      <c r="T17" s="28">
        <f>T13*' Look Up Data'!$D$50</f>
        <v>157680</v>
      </c>
      <c r="U17" s="28">
        <f>U13*' Look Up Data'!$D$50</f>
        <v>157680</v>
      </c>
      <c r="V17" s="28">
        <f>V13*' Look Up Data'!$D$50</f>
        <v>157680</v>
      </c>
      <c r="W17" s="28">
        <f>W13*' Look Up Data'!$D$50</f>
        <v>157680</v>
      </c>
      <c r="X17" s="28">
        <f>X13*' Look Up Data'!$D$50</f>
        <v>157680</v>
      </c>
      <c r="Y17" s="28">
        <f>Y13*' Look Up Data'!$D$50</f>
        <v>157680</v>
      </c>
      <c r="Z17" s="28">
        <f>Z13*' Look Up Data'!$D$50</f>
        <v>157680</v>
      </c>
      <c r="AA17" s="28">
        <f>AA13*' Look Up Data'!$D$50</f>
        <v>157680</v>
      </c>
      <c r="AB17" s="28">
        <f>AB13*' Look Up Data'!$D$50</f>
        <v>157680</v>
      </c>
      <c r="AC17" s="28">
        <f>AC13*' Look Up Data'!$D$50</f>
        <v>157680</v>
      </c>
    </row>
    <row r="18" spans="2:29" x14ac:dyDescent="0.25">
      <c r="B18" t="s">
        <v>164</v>
      </c>
      <c r="E18" s="28">
        <f>E14*' Look Up Data'!$D$50</f>
        <v>44347.5</v>
      </c>
      <c r="F18" s="28">
        <f>F14*' Look Up Data'!$D$50</f>
        <v>44347.5</v>
      </c>
      <c r="G18" s="28">
        <f>G14*' Look Up Data'!$D$50</f>
        <v>44347.5</v>
      </c>
      <c r="H18" s="28">
        <f>H14*' Look Up Data'!$D$50</f>
        <v>44347.5</v>
      </c>
      <c r="I18" s="28">
        <f>I14*' Look Up Data'!$D$50</f>
        <v>44347.5</v>
      </c>
      <c r="J18" s="28">
        <f>J14*' Look Up Data'!$D$50</f>
        <v>44347.5</v>
      </c>
      <c r="K18" s="28">
        <f>K14*' Look Up Data'!$D$50</f>
        <v>44347.5</v>
      </c>
      <c r="L18" s="28">
        <f>L14*' Look Up Data'!$D$50</f>
        <v>44347.5</v>
      </c>
      <c r="M18" s="28">
        <f>M14*' Look Up Data'!$D$50</f>
        <v>44347.5</v>
      </c>
      <c r="N18" s="28">
        <f>N14*' Look Up Data'!$D$50</f>
        <v>44347.5</v>
      </c>
      <c r="O18" s="28">
        <f>O14*' Look Up Data'!$D$50</f>
        <v>44347.5</v>
      </c>
      <c r="P18" s="28">
        <f>P14*' Look Up Data'!$D$50</f>
        <v>44347.5</v>
      </c>
      <c r="Q18" s="28">
        <f>Q14*' Look Up Data'!$D$50</f>
        <v>44347.5</v>
      </c>
      <c r="R18" s="28">
        <f>R14*' Look Up Data'!$D$50</f>
        <v>44347.5</v>
      </c>
      <c r="S18" s="28">
        <f>S14*' Look Up Data'!$D$50</f>
        <v>44347.5</v>
      </c>
      <c r="T18" s="28">
        <f>T14*' Look Up Data'!$D$50</f>
        <v>44347.5</v>
      </c>
      <c r="U18" s="28">
        <f>U14*' Look Up Data'!$D$50</f>
        <v>44347.5</v>
      </c>
      <c r="V18" s="28">
        <f>V14*' Look Up Data'!$D$50</f>
        <v>44347.5</v>
      </c>
      <c r="W18" s="28">
        <f>W14*' Look Up Data'!$D$50</f>
        <v>44347.5</v>
      </c>
      <c r="X18" s="28">
        <f>X14*' Look Up Data'!$D$50</f>
        <v>44347.5</v>
      </c>
      <c r="Y18" s="28">
        <f>Y14*' Look Up Data'!$D$50</f>
        <v>44347.5</v>
      </c>
      <c r="Z18" s="28">
        <f>Z14*' Look Up Data'!$D$50</f>
        <v>44347.5</v>
      </c>
      <c r="AA18" s="28">
        <f>AA14*' Look Up Data'!$D$50</f>
        <v>44347.5</v>
      </c>
      <c r="AB18" s="28">
        <f>AB14*' Look Up Data'!$D$50</f>
        <v>44347.5</v>
      </c>
      <c r="AC18" s="28">
        <f>AC14*' Look Up Data'!$D$50</f>
        <v>44347.5</v>
      </c>
    </row>
    <row r="19" spans="2:29" x14ac:dyDescent="0.25">
      <c r="B19" t="s">
        <v>168</v>
      </c>
      <c r="E19" s="17">
        <f>E17+E18</f>
        <v>202027.5</v>
      </c>
      <c r="F19" s="17">
        <f t="shared" ref="F19:AC19" si="3">F17+F18</f>
        <v>202027.5</v>
      </c>
      <c r="G19" s="17">
        <f t="shared" si="3"/>
        <v>202027.5</v>
      </c>
      <c r="H19" s="17">
        <f t="shared" si="3"/>
        <v>202027.5</v>
      </c>
      <c r="I19" s="17">
        <f t="shared" si="3"/>
        <v>202027.5</v>
      </c>
      <c r="J19" s="17">
        <f t="shared" si="3"/>
        <v>202027.5</v>
      </c>
      <c r="K19" s="17">
        <f t="shared" si="3"/>
        <v>202027.5</v>
      </c>
      <c r="L19" s="17">
        <f t="shared" si="3"/>
        <v>202027.5</v>
      </c>
      <c r="M19" s="17">
        <f t="shared" si="3"/>
        <v>202027.5</v>
      </c>
      <c r="N19" s="17">
        <f t="shared" si="3"/>
        <v>202027.5</v>
      </c>
      <c r="O19" s="17">
        <f t="shared" si="3"/>
        <v>202027.5</v>
      </c>
      <c r="P19" s="17">
        <f t="shared" si="3"/>
        <v>202027.5</v>
      </c>
      <c r="Q19" s="17">
        <f t="shared" si="3"/>
        <v>202027.5</v>
      </c>
      <c r="R19" s="17">
        <f t="shared" si="3"/>
        <v>202027.5</v>
      </c>
      <c r="S19" s="17">
        <f t="shared" si="3"/>
        <v>202027.5</v>
      </c>
      <c r="T19" s="17">
        <f t="shared" si="3"/>
        <v>202027.5</v>
      </c>
      <c r="U19" s="17">
        <f t="shared" si="3"/>
        <v>202027.5</v>
      </c>
      <c r="V19" s="17">
        <f t="shared" si="3"/>
        <v>202027.5</v>
      </c>
      <c r="W19" s="17">
        <f t="shared" si="3"/>
        <v>202027.5</v>
      </c>
      <c r="X19" s="17">
        <f t="shared" si="3"/>
        <v>202027.5</v>
      </c>
      <c r="Y19" s="17">
        <f t="shared" si="3"/>
        <v>202027.5</v>
      </c>
      <c r="Z19" s="17">
        <f t="shared" si="3"/>
        <v>202027.5</v>
      </c>
      <c r="AA19" s="17">
        <f t="shared" si="3"/>
        <v>202027.5</v>
      </c>
      <c r="AB19" s="17">
        <f t="shared" si="3"/>
        <v>202027.5</v>
      </c>
      <c r="AC19" s="17">
        <f t="shared" si="3"/>
        <v>202027.5</v>
      </c>
    </row>
    <row r="20" spans="2:29" x14ac:dyDescent="0.25">
      <c r="E20" s="67"/>
      <c r="F20" s="67"/>
      <c r="G20" s="67"/>
      <c r="H20" s="67"/>
      <c r="I20" s="67"/>
      <c r="J20" s="67"/>
      <c r="K20" s="67"/>
      <c r="L20" s="67"/>
      <c r="M20" s="67"/>
      <c r="N20" s="67"/>
      <c r="O20" s="67"/>
      <c r="P20" s="67"/>
      <c r="Q20" s="67"/>
      <c r="R20" s="67"/>
      <c r="S20" s="67"/>
      <c r="T20" s="67"/>
      <c r="U20" s="67"/>
      <c r="V20" s="67"/>
      <c r="W20" s="67"/>
      <c r="X20" s="67"/>
      <c r="Y20" s="67"/>
      <c r="Z20" s="67"/>
      <c r="AA20" s="67"/>
      <c r="AB20" s="67"/>
      <c r="AC20" s="67"/>
    </row>
    <row r="21" spans="2:29" x14ac:dyDescent="0.25">
      <c r="E21" s="28"/>
      <c r="F21" s="28"/>
      <c r="G21" s="28"/>
      <c r="H21" s="28"/>
      <c r="I21" s="28"/>
      <c r="J21" s="28"/>
      <c r="K21" s="28"/>
      <c r="L21" s="28"/>
      <c r="M21" s="28"/>
      <c r="N21" s="28"/>
      <c r="O21" s="28"/>
      <c r="P21" s="28"/>
      <c r="Q21" s="28"/>
      <c r="R21" s="28"/>
      <c r="S21" s="28"/>
      <c r="T21" s="28"/>
      <c r="U21" s="28"/>
      <c r="V21" s="28"/>
      <c r="W21" s="28"/>
      <c r="X21" s="28"/>
      <c r="Y21" s="28"/>
      <c r="Z21" s="28"/>
      <c r="AA21" s="28"/>
      <c r="AB21" s="28"/>
      <c r="AC21" s="28"/>
    </row>
    <row r="22" spans="2:29" x14ac:dyDescent="0.25">
      <c r="E22" s="28"/>
      <c r="F22" s="28"/>
      <c r="G22" s="28"/>
      <c r="H22" s="28"/>
      <c r="I22" s="28"/>
      <c r="J22" s="28"/>
      <c r="K22" s="28"/>
      <c r="L22" s="28"/>
      <c r="M22" s="28"/>
      <c r="N22" s="28"/>
      <c r="O22" s="28"/>
      <c r="P22" s="28"/>
      <c r="Q22" s="28"/>
      <c r="R22" s="28"/>
      <c r="S22" s="28"/>
      <c r="T22" s="28"/>
      <c r="U22" s="28"/>
      <c r="V22" s="28"/>
      <c r="W22" s="28"/>
      <c r="X22" s="28"/>
      <c r="Y22" s="28"/>
      <c r="Z22" s="28"/>
      <c r="AA22" s="28"/>
      <c r="AB22" s="28"/>
      <c r="AC22" s="2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703D-ED93-41EB-9D14-566556B86CAE}">
  <sheetPr>
    <tabColor theme="9" tint="0.39997558519241921"/>
  </sheetPr>
  <dimension ref="A1:Z27"/>
  <sheetViews>
    <sheetView workbookViewId="0">
      <selection activeCell="L13" sqref="L13"/>
    </sheetView>
  </sheetViews>
  <sheetFormatPr defaultRowHeight="15" x14ac:dyDescent="0.25"/>
  <cols>
    <col min="1" max="1" width="35.85546875" customWidth="1"/>
    <col min="2" max="2" width="11.42578125" bestFit="1" customWidth="1"/>
  </cols>
  <sheetData>
    <row r="1" spans="1:26" ht="18.75" x14ac:dyDescent="0.3">
      <c r="A1" s="7" t="s">
        <v>201</v>
      </c>
      <c r="B1" s="67"/>
      <c r="C1" s="67"/>
      <c r="D1" s="67"/>
      <c r="E1" s="67"/>
      <c r="F1" s="67"/>
      <c r="G1" s="67"/>
      <c r="H1" s="67"/>
      <c r="I1" s="67"/>
      <c r="J1" s="67"/>
      <c r="K1" s="67"/>
      <c r="L1" s="67"/>
      <c r="M1" s="67"/>
      <c r="N1" s="67"/>
      <c r="O1" s="67"/>
      <c r="P1" s="67"/>
      <c r="Q1" s="67"/>
      <c r="R1" s="67"/>
      <c r="S1" s="67"/>
      <c r="T1" s="67"/>
      <c r="U1" s="67"/>
      <c r="V1" s="67"/>
      <c r="W1" s="67"/>
      <c r="X1" s="67"/>
      <c r="Y1" s="67"/>
      <c r="Z1" s="67"/>
    </row>
    <row r="2" spans="1:26" x14ac:dyDescent="0.25">
      <c r="B2">
        <v>2025</v>
      </c>
      <c r="C2">
        <f>B2+1</f>
        <v>2026</v>
      </c>
      <c r="D2" s="67">
        <f t="shared" ref="D2:Z2" si="0">C2+1</f>
        <v>2027</v>
      </c>
      <c r="E2" s="67">
        <f t="shared" si="0"/>
        <v>2028</v>
      </c>
      <c r="F2" s="67">
        <f t="shared" si="0"/>
        <v>2029</v>
      </c>
      <c r="G2" s="67">
        <f t="shared" si="0"/>
        <v>2030</v>
      </c>
      <c r="H2" s="67">
        <f t="shared" si="0"/>
        <v>2031</v>
      </c>
      <c r="I2" s="67">
        <f t="shared" si="0"/>
        <v>2032</v>
      </c>
      <c r="J2" s="67">
        <f t="shared" si="0"/>
        <v>2033</v>
      </c>
      <c r="K2" s="67">
        <f t="shared" si="0"/>
        <v>2034</v>
      </c>
      <c r="L2" s="67">
        <f t="shared" si="0"/>
        <v>2035</v>
      </c>
      <c r="M2" s="67">
        <f t="shared" si="0"/>
        <v>2036</v>
      </c>
      <c r="N2" s="67">
        <f t="shared" si="0"/>
        <v>2037</v>
      </c>
      <c r="O2" s="67">
        <f t="shared" si="0"/>
        <v>2038</v>
      </c>
      <c r="P2" s="67">
        <f t="shared" si="0"/>
        <v>2039</v>
      </c>
      <c r="Q2" s="67">
        <f t="shared" si="0"/>
        <v>2040</v>
      </c>
      <c r="R2" s="67">
        <f t="shared" si="0"/>
        <v>2041</v>
      </c>
      <c r="S2" s="67">
        <f t="shared" si="0"/>
        <v>2042</v>
      </c>
      <c r="T2" s="67">
        <f t="shared" si="0"/>
        <v>2043</v>
      </c>
      <c r="U2" s="67">
        <f t="shared" si="0"/>
        <v>2044</v>
      </c>
      <c r="V2" s="67">
        <f t="shared" si="0"/>
        <v>2045</v>
      </c>
      <c r="W2" s="67">
        <f t="shared" si="0"/>
        <v>2046</v>
      </c>
      <c r="X2" s="67">
        <f t="shared" si="0"/>
        <v>2047</v>
      </c>
      <c r="Y2" s="67">
        <f t="shared" si="0"/>
        <v>2048</v>
      </c>
      <c r="Z2" s="67">
        <f t="shared" si="0"/>
        <v>2049</v>
      </c>
    </row>
    <row r="3" spans="1:26" x14ac:dyDescent="0.25">
      <c r="A3" t="s">
        <v>235</v>
      </c>
      <c r="B3" s="171">
        <v>115</v>
      </c>
      <c r="C3" s="67">
        <f>B3</f>
        <v>115</v>
      </c>
      <c r="D3" s="67">
        <f t="shared" ref="D3:Z3" si="1">C3</f>
        <v>115</v>
      </c>
      <c r="E3" s="67">
        <f t="shared" si="1"/>
        <v>115</v>
      </c>
      <c r="F3" s="67">
        <f t="shared" si="1"/>
        <v>115</v>
      </c>
      <c r="G3" s="67">
        <f t="shared" si="1"/>
        <v>115</v>
      </c>
      <c r="H3" s="67">
        <f t="shared" si="1"/>
        <v>115</v>
      </c>
      <c r="I3" s="67">
        <f t="shared" si="1"/>
        <v>115</v>
      </c>
      <c r="J3" s="67">
        <f t="shared" si="1"/>
        <v>115</v>
      </c>
      <c r="K3" s="67">
        <f t="shared" si="1"/>
        <v>115</v>
      </c>
      <c r="L3" s="67">
        <f t="shared" si="1"/>
        <v>115</v>
      </c>
      <c r="M3" s="67">
        <f t="shared" si="1"/>
        <v>115</v>
      </c>
      <c r="N3" s="67">
        <f t="shared" si="1"/>
        <v>115</v>
      </c>
      <c r="O3" s="67">
        <f t="shared" si="1"/>
        <v>115</v>
      </c>
      <c r="P3" s="67">
        <f t="shared" si="1"/>
        <v>115</v>
      </c>
      <c r="Q3" s="67">
        <f t="shared" si="1"/>
        <v>115</v>
      </c>
      <c r="R3" s="67">
        <f t="shared" si="1"/>
        <v>115</v>
      </c>
      <c r="S3" s="67">
        <f t="shared" si="1"/>
        <v>115</v>
      </c>
      <c r="T3" s="67">
        <f t="shared" si="1"/>
        <v>115</v>
      </c>
      <c r="U3" s="67">
        <f t="shared" si="1"/>
        <v>115</v>
      </c>
      <c r="V3" s="67">
        <f t="shared" si="1"/>
        <v>115</v>
      </c>
      <c r="W3" s="67">
        <f t="shared" si="1"/>
        <v>115</v>
      </c>
      <c r="X3" s="67">
        <f t="shared" si="1"/>
        <v>115</v>
      </c>
      <c r="Y3" s="67">
        <f t="shared" si="1"/>
        <v>115</v>
      </c>
      <c r="Z3" s="67">
        <f t="shared" si="1"/>
        <v>115</v>
      </c>
    </row>
    <row r="4" spans="1:26" s="67" customFormat="1" ht="30" x14ac:dyDescent="0.25">
      <c r="A4" s="75" t="s">
        <v>181</v>
      </c>
      <c r="B4" s="187">
        <v>0.01</v>
      </c>
      <c r="C4" s="187">
        <v>0.01</v>
      </c>
      <c r="D4" s="187">
        <v>0.01</v>
      </c>
      <c r="E4" s="187">
        <v>0.01</v>
      </c>
      <c r="F4" s="187">
        <v>0.01</v>
      </c>
      <c r="G4" s="187">
        <v>0.01</v>
      </c>
      <c r="H4" s="187">
        <v>0.01</v>
      </c>
      <c r="I4" s="187">
        <v>0.01</v>
      </c>
      <c r="J4" s="187">
        <v>0.01</v>
      </c>
      <c r="K4" s="187">
        <v>0.01</v>
      </c>
      <c r="L4" s="187">
        <v>0.01</v>
      </c>
      <c r="M4" s="187">
        <v>0.01</v>
      </c>
      <c r="N4" s="187">
        <v>0.01</v>
      </c>
      <c r="O4" s="187">
        <v>0.01</v>
      </c>
      <c r="P4" s="187">
        <v>0.01</v>
      </c>
      <c r="Q4" s="187">
        <v>0.01</v>
      </c>
      <c r="R4" s="187">
        <v>0.01</v>
      </c>
      <c r="S4" s="187">
        <v>0.01</v>
      </c>
      <c r="T4" s="187">
        <v>0.01</v>
      </c>
      <c r="U4" s="187">
        <v>0.01</v>
      </c>
      <c r="V4" s="187">
        <v>0.01</v>
      </c>
      <c r="W4" s="187">
        <v>0.01</v>
      </c>
      <c r="X4" s="187">
        <v>0.01</v>
      </c>
      <c r="Y4" s="187">
        <v>0.01</v>
      </c>
      <c r="Z4" s="187">
        <v>0.01</v>
      </c>
    </row>
    <row r="5" spans="1:26" x14ac:dyDescent="0.25">
      <c r="A5" t="s">
        <v>178</v>
      </c>
      <c r="B5" s="187">
        <v>2</v>
      </c>
      <c r="C5" s="187">
        <v>2</v>
      </c>
      <c r="D5" s="187">
        <v>2</v>
      </c>
      <c r="E5" s="187">
        <v>2</v>
      </c>
      <c r="F5" s="187">
        <v>2</v>
      </c>
      <c r="G5" s="187">
        <v>2</v>
      </c>
      <c r="H5" s="187">
        <v>2</v>
      </c>
      <c r="I5" s="187">
        <v>2</v>
      </c>
      <c r="J5" s="187">
        <v>2</v>
      </c>
      <c r="K5" s="187">
        <v>2</v>
      </c>
      <c r="L5" s="187">
        <v>2</v>
      </c>
      <c r="M5" s="187">
        <v>2</v>
      </c>
      <c r="N5" s="187">
        <v>2</v>
      </c>
      <c r="O5" s="187">
        <v>2</v>
      </c>
      <c r="P5" s="187">
        <v>2</v>
      </c>
      <c r="Q5" s="187">
        <v>2</v>
      </c>
      <c r="R5" s="187">
        <v>2</v>
      </c>
      <c r="S5" s="187">
        <v>2</v>
      </c>
      <c r="T5" s="187">
        <v>2</v>
      </c>
      <c r="U5" s="187">
        <v>2</v>
      </c>
      <c r="V5" s="187">
        <v>2</v>
      </c>
      <c r="W5" s="187">
        <v>2</v>
      </c>
      <c r="X5" s="187">
        <v>2</v>
      </c>
      <c r="Y5" s="187">
        <v>2</v>
      </c>
      <c r="Z5" s="187">
        <v>2</v>
      </c>
    </row>
    <row r="6" spans="1:26" x14ac:dyDescent="0.25">
      <c r="A6" t="s">
        <v>184</v>
      </c>
      <c r="B6">
        <v>0.11070000000000001</v>
      </c>
      <c r="C6" s="67">
        <v>0.11070000000000001</v>
      </c>
      <c r="D6" s="67">
        <v>0.11070000000000001</v>
      </c>
      <c r="E6" s="67">
        <v>0.11070000000000001</v>
      </c>
      <c r="F6" s="67">
        <v>0.11070000000000001</v>
      </c>
      <c r="G6" s="67">
        <v>0.11070000000000001</v>
      </c>
      <c r="H6" s="67">
        <v>0.11070000000000001</v>
      </c>
      <c r="I6" s="67">
        <v>0.11070000000000001</v>
      </c>
      <c r="J6" s="67">
        <v>0.11070000000000001</v>
      </c>
      <c r="K6" s="67">
        <v>0.11070000000000001</v>
      </c>
      <c r="L6" s="67">
        <v>0.11070000000000001</v>
      </c>
      <c r="M6" s="67">
        <v>0.11070000000000001</v>
      </c>
      <c r="N6" s="67">
        <v>0.11070000000000001</v>
      </c>
      <c r="O6" s="67">
        <v>0.11070000000000001</v>
      </c>
      <c r="P6" s="67">
        <v>0.11070000000000001</v>
      </c>
      <c r="Q6" s="67">
        <v>0.11070000000000001</v>
      </c>
      <c r="R6" s="67">
        <v>0.11070000000000001</v>
      </c>
      <c r="S6" s="67">
        <v>0.11070000000000001</v>
      </c>
      <c r="T6" s="67">
        <v>0.11070000000000001</v>
      </c>
      <c r="U6" s="67">
        <v>0.11070000000000001</v>
      </c>
      <c r="V6" s="67">
        <v>0.11070000000000001</v>
      </c>
      <c r="W6" s="67">
        <v>0.11070000000000001</v>
      </c>
      <c r="X6" s="67">
        <v>0.11070000000000001</v>
      </c>
      <c r="Y6" s="67">
        <v>0.11070000000000001</v>
      </c>
      <c r="Z6" s="67">
        <v>0.11070000000000001</v>
      </c>
    </row>
    <row r="7" spans="1:26" s="67" customFormat="1" ht="30" x14ac:dyDescent="0.25">
      <c r="A7" s="75" t="s">
        <v>199</v>
      </c>
      <c r="B7" s="162">
        <v>0.06</v>
      </c>
      <c r="C7" s="162">
        <v>0.06</v>
      </c>
      <c r="D7" s="162">
        <v>0.06</v>
      </c>
      <c r="E7" s="162">
        <v>0.06</v>
      </c>
      <c r="F7" s="162">
        <v>0.06</v>
      </c>
      <c r="G7" s="162">
        <v>0.06</v>
      </c>
      <c r="H7" s="162">
        <v>0.06</v>
      </c>
      <c r="I7" s="162">
        <v>0.06</v>
      </c>
      <c r="J7" s="162">
        <v>0.06</v>
      </c>
      <c r="K7" s="162">
        <v>0.06</v>
      </c>
      <c r="L7" s="162">
        <v>0.06</v>
      </c>
      <c r="M7" s="162">
        <v>0.06</v>
      </c>
      <c r="N7" s="162">
        <v>0.06</v>
      </c>
      <c r="O7" s="162">
        <v>0.06</v>
      </c>
      <c r="P7" s="162">
        <v>0.06</v>
      </c>
      <c r="Q7" s="162">
        <v>0.06</v>
      </c>
      <c r="R7" s="162">
        <v>0.06</v>
      </c>
      <c r="S7" s="162">
        <v>0.06</v>
      </c>
      <c r="T7" s="162">
        <v>0.06</v>
      </c>
      <c r="U7" s="162">
        <v>0.06</v>
      </c>
      <c r="V7" s="162">
        <v>0.06</v>
      </c>
      <c r="W7" s="162">
        <v>0.06</v>
      </c>
      <c r="X7" s="162">
        <v>0.06</v>
      </c>
      <c r="Y7" s="162">
        <v>0.06</v>
      </c>
      <c r="Z7" s="162">
        <v>0.06</v>
      </c>
    </row>
    <row r="8" spans="1:26" x14ac:dyDescent="0.25">
      <c r="A8" s="75" t="s">
        <v>185</v>
      </c>
      <c r="B8" s="188">
        <f>B6*(1-B7)</f>
        <v>0.104058</v>
      </c>
      <c r="C8" s="188">
        <f t="shared" ref="C8:Z8" si="2">C6*(1-C7)</f>
        <v>0.104058</v>
      </c>
      <c r="D8" s="188">
        <f t="shared" si="2"/>
        <v>0.104058</v>
      </c>
      <c r="E8" s="188">
        <f t="shared" si="2"/>
        <v>0.104058</v>
      </c>
      <c r="F8" s="188">
        <f t="shared" si="2"/>
        <v>0.104058</v>
      </c>
      <c r="G8" s="188">
        <f t="shared" si="2"/>
        <v>0.104058</v>
      </c>
      <c r="H8" s="188">
        <f t="shared" si="2"/>
        <v>0.104058</v>
      </c>
      <c r="I8" s="188">
        <f t="shared" si="2"/>
        <v>0.104058</v>
      </c>
      <c r="J8" s="188">
        <f t="shared" si="2"/>
        <v>0.104058</v>
      </c>
      <c r="K8" s="188">
        <f t="shared" si="2"/>
        <v>0.104058</v>
      </c>
      <c r="L8" s="188">
        <f t="shared" si="2"/>
        <v>0.104058</v>
      </c>
      <c r="M8" s="188">
        <f t="shared" si="2"/>
        <v>0.104058</v>
      </c>
      <c r="N8" s="188">
        <f t="shared" si="2"/>
        <v>0.104058</v>
      </c>
      <c r="O8" s="188">
        <f t="shared" si="2"/>
        <v>0.104058</v>
      </c>
      <c r="P8" s="188">
        <f t="shared" si="2"/>
        <v>0.104058</v>
      </c>
      <c r="Q8" s="188">
        <f t="shared" si="2"/>
        <v>0.104058</v>
      </c>
      <c r="R8" s="188">
        <f t="shared" si="2"/>
        <v>0.104058</v>
      </c>
      <c r="S8" s="188">
        <f t="shared" si="2"/>
        <v>0.104058</v>
      </c>
      <c r="T8" s="188">
        <f t="shared" si="2"/>
        <v>0.104058</v>
      </c>
      <c r="U8" s="188">
        <f t="shared" si="2"/>
        <v>0.104058</v>
      </c>
      <c r="V8" s="188">
        <f t="shared" si="2"/>
        <v>0.104058</v>
      </c>
      <c r="W8" s="188">
        <f t="shared" si="2"/>
        <v>0.104058</v>
      </c>
      <c r="X8" s="188">
        <f t="shared" si="2"/>
        <v>0.104058</v>
      </c>
      <c r="Y8" s="188">
        <f t="shared" si="2"/>
        <v>0.104058</v>
      </c>
      <c r="Z8" s="188">
        <f t="shared" si="2"/>
        <v>0.104058</v>
      </c>
    </row>
    <row r="9" spans="1:26" ht="30" x14ac:dyDescent="0.25">
      <c r="A9" s="75" t="s">
        <v>180</v>
      </c>
      <c r="B9" s="189">
        <f>B6-B8</f>
        <v>6.642000000000009E-3</v>
      </c>
      <c r="C9" s="189">
        <f>C6-C8</f>
        <v>6.642000000000009E-3</v>
      </c>
      <c r="D9" s="189">
        <f t="shared" ref="D9:Z9" si="3">D6-D8</f>
        <v>6.642000000000009E-3</v>
      </c>
      <c r="E9" s="189">
        <f t="shared" si="3"/>
        <v>6.642000000000009E-3</v>
      </c>
      <c r="F9" s="189">
        <f t="shared" si="3"/>
        <v>6.642000000000009E-3</v>
      </c>
      <c r="G9" s="189">
        <f t="shared" si="3"/>
        <v>6.642000000000009E-3</v>
      </c>
      <c r="H9" s="189">
        <f t="shared" si="3"/>
        <v>6.642000000000009E-3</v>
      </c>
      <c r="I9" s="189">
        <f t="shared" si="3"/>
        <v>6.642000000000009E-3</v>
      </c>
      <c r="J9" s="189">
        <f t="shared" si="3"/>
        <v>6.642000000000009E-3</v>
      </c>
      <c r="K9" s="189">
        <f t="shared" si="3"/>
        <v>6.642000000000009E-3</v>
      </c>
      <c r="L9" s="189">
        <f t="shared" si="3"/>
        <v>6.642000000000009E-3</v>
      </c>
      <c r="M9" s="189">
        <f t="shared" si="3"/>
        <v>6.642000000000009E-3</v>
      </c>
      <c r="N9" s="189">
        <f t="shared" si="3"/>
        <v>6.642000000000009E-3</v>
      </c>
      <c r="O9" s="189">
        <f t="shared" si="3"/>
        <v>6.642000000000009E-3</v>
      </c>
      <c r="P9" s="189">
        <f t="shared" si="3"/>
        <v>6.642000000000009E-3</v>
      </c>
      <c r="Q9" s="189">
        <f t="shared" si="3"/>
        <v>6.642000000000009E-3</v>
      </c>
      <c r="R9" s="189">
        <f t="shared" si="3"/>
        <v>6.642000000000009E-3</v>
      </c>
      <c r="S9" s="189">
        <f t="shared" si="3"/>
        <v>6.642000000000009E-3</v>
      </c>
      <c r="T9" s="189">
        <f t="shared" si="3"/>
        <v>6.642000000000009E-3</v>
      </c>
      <c r="U9" s="189">
        <f t="shared" si="3"/>
        <v>6.642000000000009E-3</v>
      </c>
      <c r="V9" s="189">
        <f t="shared" si="3"/>
        <v>6.642000000000009E-3</v>
      </c>
      <c r="W9" s="189">
        <f t="shared" si="3"/>
        <v>6.642000000000009E-3</v>
      </c>
      <c r="X9" s="189">
        <f t="shared" si="3"/>
        <v>6.642000000000009E-3</v>
      </c>
      <c r="Y9" s="189">
        <f t="shared" si="3"/>
        <v>6.642000000000009E-3</v>
      </c>
      <c r="Z9" s="189">
        <f t="shared" si="3"/>
        <v>6.642000000000009E-3</v>
      </c>
    </row>
    <row r="10" spans="1:26" x14ac:dyDescent="0.25">
      <c r="A10" t="s">
        <v>179</v>
      </c>
      <c r="B10" s="112">
        <f>B3*B4*B9*' Look Up Data'!D45</f>
        <v>88604.28000000013</v>
      </c>
      <c r="C10" s="112">
        <f>C3*C4*C9*' Look Up Data'!E45</f>
        <v>88604.28000000013</v>
      </c>
      <c r="D10" s="112">
        <f>D3*D4*D9*' Look Up Data'!F45</f>
        <v>88604.28000000013</v>
      </c>
      <c r="E10" s="112">
        <f>E3*E4*E9*' Look Up Data'!G45</f>
        <v>88604.28000000013</v>
      </c>
      <c r="F10" s="112">
        <f>F3*F4*F9*' Look Up Data'!H45</f>
        <v>88604.28000000013</v>
      </c>
      <c r="G10" s="112">
        <f>G3*G4*G9*' Look Up Data'!I45</f>
        <v>88604.28000000013</v>
      </c>
      <c r="H10" s="112">
        <f>H3*H4*H9*' Look Up Data'!J45</f>
        <v>88604.28000000013</v>
      </c>
      <c r="I10" s="112">
        <f>I3*I4*I9*' Look Up Data'!K45</f>
        <v>88604.28000000013</v>
      </c>
      <c r="J10" s="112">
        <f>J3*J4*J9*' Look Up Data'!L45</f>
        <v>88604.28000000013</v>
      </c>
      <c r="K10" s="112">
        <f>K3*K4*K9*' Look Up Data'!M45</f>
        <v>88604.28000000013</v>
      </c>
      <c r="L10" s="112">
        <f>L3*L4*L9*' Look Up Data'!N45</f>
        <v>88604.28000000013</v>
      </c>
      <c r="M10" s="112">
        <f>M3*M4*M9*' Look Up Data'!O45</f>
        <v>88604.28000000013</v>
      </c>
      <c r="N10" s="112">
        <f>N3*N4*N9*' Look Up Data'!P45</f>
        <v>88604.28000000013</v>
      </c>
      <c r="O10" s="112">
        <f>O3*O4*O9*' Look Up Data'!Q45</f>
        <v>88604.28000000013</v>
      </c>
      <c r="P10" s="112">
        <f>P3*P4*P9*' Look Up Data'!R45</f>
        <v>88604.28000000013</v>
      </c>
      <c r="Q10" s="112">
        <f>Q3*Q4*Q9*' Look Up Data'!S45</f>
        <v>88604.28000000013</v>
      </c>
      <c r="R10" s="112">
        <f>R3*R4*R9*' Look Up Data'!T45</f>
        <v>88604.28000000013</v>
      </c>
      <c r="S10" s="112">
        <f>S3*S4*S9*' Look Up Data'!U45</f>
        <v>88604.28000000013</v>
      </c>
      <c r="T10" s="112">
        <f>T3*T4*T9*' Look Up Data'!V45</f>
        <v>88604.28000000013</v>
      </c>
      <c r="U10" s="112">
        <f>U3*U4*U9*' Look Up Data'!W45</f>
        <v>88604.28000000013</v>
      </c>
      <c r="V10" s="112">
        <f>V3*V4*V9*' Look Up Data'!X45</f>
        <v>88604.28000000013</v>
      </c>
      <c r="W10" s="112">
        <f>W3*W4*W9*' Look Up Data'!Y45</f>
        <v>88604.28000000013</v>
      </c>
      <c r="X10" s="112">
        <f>X3*X4*X9*' Look Up Data'!Z45</f>
        <v>88604.28000000013</v>
      </c>
      <c r="Y10" s="112">
        <f>Y3*Y4*Y9*' Look Up Data'!AA45</f>
        <v>88604.28000000013</v>
      </c>
      <c r="Z10" s="112">
        <f>Z3*Z4*Z9*' Look Up Data'!AB45</f>
        <v>88604.28000000013</v>
      </c>
    </row>
    <row r="13" spans="1:26" x14ac:dyDescent="0.25">
      <c r="A13" t="s">
        <v>234</v>
      </c>
    </row>
    <row r="27" spans="1:1" x14ac:dyDescent="0.25">
      <c r="A27" s="4" t="s">
        <v>183</v>
      </c>
    </row>
  </sheetData>
  <hyperlinks>
    <hyperlink ref="A27" r:id="rId1" xr:uid="{DA05C2AF-5F64-42DC-8522-CA9D126CF89F}"/>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2C21-C5B9-4F80-BD6C-55634832158D}">
  <sheetPr>
    <tabColor rgb="FF92D050"/>
  </sheetPr>
  <dimension ref="A1:Z44"/>
  <sheetViews>
    <sheetView workbookViewId="0">
      <selection activeCell="B3" sqref="B3"/>
    </sheetView>
  </sheetViews>
  <sheetFormatPr defaultRowHeight="15" x14ac:dyDescent="0.25"/>
  <cols>
    <col min="1" max="1" width="32.5703125" customWidth="1"/>
  </cols>
  <sheetData>
    <row r="1" spans="1:26" ht="18.75" x14ac:dyDescent="0.3">
      <c r="A1" s="7" t="s">
        <v>113</v>
      </c>
      <c r="B1" s="67"/>
      <c r="C1" s="67"/>
      <c r="D1" s="67"/>
      <c r="E1" s="67"/>
      <c r="F1" s="67"/>
      <c r="G1" s="67"/>
      <c r="H1" s="67"/>
      <c r="I1" s="67"/>
      <c r="J1" s="67"/>
      <c r="K1" s="67"/>
      <c r="L1" s="67"/>
      <c r="M1" s="67"/>
      <c r="N1" s="67"/>
      <c r="O1" s="67"/>
      <c r="P1" s="67"/>
      <c r="Q1" s="67"/>
      <c r="R1" s="67"/>
      <c r="S1" s="67"/>
      <c r="T1" s="67"/>
      <c r="U1" s="67"/>
      <c r="V1" s="67"/>
      <c r="W1" s="67"/>
      <c r="X1" s="67"/>
      <c r="Y1" s="67"/>
      <c r="Z1" s="67"/>
    </row>
    <row r="2" spans="1:26" x14ac:dyDescent="0.25">
      <c r="A2" s="5" t="s">
        <v>34</v>
      </c>
      <c r="B2" s="67">
        <v>2025</v>
      </c>
      <c r="C2" s="67">
        <f>B2+1</f>
        <v>2026</v>
      </c>
      <c r="D2" s="67">
        <f t="shared" ref="D2:Z2" si="0">C2+1</f>
        <v>2027</v>
      </c>
      <c r="E2" s="67">
        <f t="shared" si="0"/>
        <v>2028</v>
      </c>
      <c r="F2" s="67">
        <f t="shared" si="0"/>
        <v>2029</v>
      </c>
      <c r="G2" s="67">
        <f t="shared" si="0"/>
        <v>2030</v>
      </c>
      <c r="H2" s="67">
        <f t="shared" si="0"/>
        <v>2031</v>
      </c>
      <c r="I2" s="67">
        <f t="shared" si="0"/>
        <v>2032</v>
      </c>
      <c r="J2" s="67">
        <f t="shared" si="0"/>
        <v>2033</v>
      </c>
      <c r="K2" s="67">
        <f t="shared" si="0"/>
        <v>2034</v>
      </c>
      <c r="L2" s="67">
        <f t="shared" si="0"/>
        <v>2035</v>
      </c>
      <c r="M2" s="67">
        <f t="shared" si="0"/>
        <v>2036</v>
      </c>
      <c r="N2" s="67">
        <f t="shared" si="0"/>
        <v>2037</v>
      </c>
      <c r="O2" s="67">
        <f t="shared" si="0"/>
        <v>2038</v>
      </c>
      <c r="P2" s="67">
        <f t="shared" si="0"/>
        <v>2039</v>
      </c>
      <c r="Q2" s="67">
        <f t="shared" si="0"/>
        <v>2040</v>
      </c>
      <c r="R2" s="67">
        <f t="shared" si="0"/>
        <v>2041</v>
      </c>
      <c r="S2" s="67">
        <f t="shared" si="0"/>
        <v>2042</v>
      </c>
      <c r="T2" s="67">
        <f t="shared" si="0"/>
        <v>2043</v>
      </c>
      <c r="U2" s="67">
        <f t="shared" si="0"/>
        <v>2044</v>
      </c>
      <c r="V2" s="67">
        <f t="shared" si="0"/>
        <v>2045</v>
      </c>
      <c r="W2" s="67">
        <f t="shared" si="0"/>
        <v>2046</v>
      </c>
      <c r="X2" s="67">
        <f t="shared" si="0"/>
        <v>2047</v>
      </c>
      <c r="Y2" s="67">
        <f t="shared" si="0"/>
        <v>2048</v>
      </c>
      <c r="Z2" s="67">
        <f t="shared" si="0"/>
        <v>2049</v>
      </c>
    </row>
    <row r="3" spans="1:26" x14ac:dyDescent="0.25">
      <c r="A3" s="53" t="s">
        <v>112</v>
      </c>
      <c r="B3" s="28">
        <f>'Travel Time - vehicles'!C4/'Travel Time - vehicles'!$C27</f>
        <v>38059.708733570478</v>
      </c>
      <c r="C3" s="28">
        <f>'Travel Time - vehicles'!D4/'Travel Time - vehicles'!$C27</f>
        <v>38345.331858154561</v>
      </c>
      <c r="D3" s="28">
        <f>'Travel Time - vehicles'!E4/'Travel Time - vehicles'!$C27</f>
        <v>38633.098471798643</v>
      </c>
      <c r="E3" s="28">
        <f>'Travel Time - vehicles'!F4/'Travel Time - vehicles'!$C27</f>
        <v>38923.024660543924</v>
      </c>
      <c r="F3" s="28">
        <f>'Travel Time - vehicles'!G4/'Travel Time - vehicles'!$C27</f>
        <v>39215.126631151012</v>
      </c>
      <c r="G3" s="28">
        <f>'Travel Time - vehicles'!H4/'Travel Time - vehicles'!$C27</f>
        <v>39509.420712005871</v>
      </c>
      <c r="H3" s="28">
        <f>'Travel Time - vehicles'!I4/'Travel Time - vehicles'!$C27</f>
        <v>39805.923354032566</v>
      </c>
      <c r="I3" s="28">
        <f>'Travel Time - vehicles'!J4/'Travel Time - vehicles'!$C27</f>
        <v>40104.651131612874</v>
      </c>
      <c r="J3" s="28">
        <f>'Travel Time - vehicles'!K4/'Travel Time - vehicles'!$C27</f>
        <v>40405.620743512773</v>
      </c>
      <c r="K3" s="28">
        <f>'Travel Time - vehicles'!L4/'Travel Time - vehicles'!$C27</f>
        <v>40708.849013815896</v>
      </c>
      <c r="L3" s="28">
        <f>'Travel Time - vehicles'!M4/'Travel Time - vehicles'!$C27</f>
        <v>41014.352892864023</v>
      </c>
      <c r="M3" s="28">
        <f>'Travel Time - vehicles'!N4/'Travel Time - vehicles'!$C27</f>
        <v>41322.149458204556</v>
      </c>
      <c r="N3" s="28">
        <f>'Travel Time - vehicles'!O4/'Travel Time - vehicles'!$C27</f>
        <v>41632.255915545167</v>
      </c>
      <c r="O3" s="28">
        <f>'Travel Time - vehicles'!P4/'Travel Time - vehicles'!$C27</f>
        <v>41944.689599715573</v>
      </c>
      <c r="P3" s="28">
        <f>'Travel Time - vehicles'!Q4/'Travel Time - vehicles'!$C27</f>
        <v>42259.467975636588</v>
      </c>
      <c r="Q3" s="28">
        <f>'Travel Time - vehicles'!R4/'Travel Time - vehicles'!$C27</f>
        <v>42576.608639296363</v>
      </c>
      <c r="R3" s="28">
        <f>'Travel Time - vehicles'!S4/'Travel Time - vehicles'!$C27</f>
        <v>42896.129318734012</v>
      </c>
      <c r="S3" s="28">
        <f>'Travel Time - vehicles'!T4/'Travel Time - vehicles'!$C27</f>
        <v>43218.047875030599</v>
      </c>
      <c r="T3" s="28">
        <f>'Travel Time - vehicles'!U4/'Travel Time - vehicles'!$C27</f>
        <v>43542.382303307575</v>
      </c>
      <c r="U3" s="28">
        <f>'Travel Time - vehicles'!V4/'Travel Time - vehicles'!$C27</f>
        <v>43869.150733732677</v>
      </c>
      <c r="V3" s="28">
        <f>'Travel Time - vehicles'!W4/'Travel Time - vehicles'!$C27</f>
        <v>44198.371432533415</v>
      </c>
      <c r="W3" s="28">
        <f>'Travel Time - vehicles'!X4/'Travel Time - vehicles'!$C27</f>
        <v>44530.062803018162</v>
      </c>
      <c r="X3" s="28">
        <f>'Travel Time - vehicles'!Y4/'Travel Time - vehicles'!$C27</f>
        <v>44864.24338660483</v>
      </c>
      <c r="Y3" s="28">
        <f>'Travel Time - vehicles'!Z4/'Travel Time - vehicles'!$C27</f>
        <v>45200.931863857419</v>
      </c>
      <c r="Z3" s="28">
        <f>'Travel Time - vehicles'!AA4/'Travel Time - vehicles'!$C27</f>
        <v>45540.147055530164</v>
      </c>
    </row>
    <row r="4" spans="1:26" hidden="1" x14ac:dyDescent="0.25">
      <c r="A4" s="53" t="s">
        <v>15</v>
      </c>
      <c r="B4" s="28"/>
      <c r="C4" s="28"/>
      <c r="D4" s="28"/>
      <c r="E4" s="28"/>
      <c r="F4" s="28"/>
      <c r="G4" s="28"/>
      <c r="H4" s="28"/>
      <c r="I4" s="28"/>
      <c r="J4" s="28"/>
      <c r="K4" s="28"/>
      <c r="L4" s="28"/>
      <c r="M4" s="28"/>
      <c r="N4" s="28"/>
      <c r="O4" s="28"/>
      <c r="P4" s="28"/>
      <c r="Q4" s="28"/>
      <c r="R4" s="28"/>
      <c r="S4" s="28"/>
      <c r="T4" s="28"/>
      <c r="U4" s="28"/>
      <c r="V4" s="28"/>
      <c r="W4" s="28"/>
      <c r="X4" s="28"/>
      <c r="Y4" s="28"/>
      <c r="Z4" s="28"/>
    </row>
    <row r="5" spans="1:26" hidden="1" x14ac:dyDescent="0.25">
      <c r="A5" s="53" t="s">
        <v>16</v>
      </c>
      <c r="B5" s="28"/>
      <c r="C5" s="28"/>
      <c r="D5" s="28"/>
      <c r="E5" s="28"/>
      <c r="F5" s="28"/>
      <c r="G5" s="28"/>
      <c r="H5" s="28"/>
      <c r="I5" s="28"/>
      <c r="J5" s="28"/>
      <c r="K5" s="28"/>
      <c r="L5" s="28"/>
      <c r="M5" s="28"/>
      <c r="N5" s="28"/>
      <c r="O5" s="28"/>
      <c r="P5" s="28"/>
      <c r="Q5" s="28"/>
      <c r="R5" s="28"/>
      <c r="S5" s="28"/>
      <c r="T5" s="28"/>
      <c r="U5" s="28"/>
      <c r="V5" s="28"/>
      <c r="W5" s="28"/>
      <c r="X5" s="28"/>
      <c r="Y5" s="28"/>
      <c r="Z5" s="28"/>
    </row>
    <row r="6" spans="1:26" x14ac:dyDescent="0.25">
      <c r="A6" s="55" t="s">
        <v>115</v>
      </c>
      <c r="B6" s="28">
        <f>'Travel Time - vehicles'!C7</f>
        <v>2814.1555667010689</v>
      </c>
      <c r="C6" s="28">
        <f>'Travel Time - vehicles'!D7</f>
        <v>2835.2746959002334</v>
      </c>
      <c r="D6" s="28">
        <f>'Travel Time - vehicles'!E7</f>
        <v>2856.5523158464657</v>
      </c>
      <c r="E6" s="28">
        <f>'Travel Time - vehicles'!F7</f>
        <v>2877.9896159504024</v>
      </c>
      <c r="F6" s="28">
        <f>'Travel Time - vehicles'!G7</f>
        <v>2899.5877945487382</v>
      </c>
      <c r="G6" s="28">
        <f>'Travel Time - vehicles'!H7</f>
        <v>2921.3480589712135</v>
      </c>
      <c r="H6" s="28">
        <f>'Travel Time - vehicles'!I7</f>
        <v>2943.2716256081021</v>
      </c>
      <c r="I6" s="28">
        <f>'Travel Time - vehicles'!J7</f>
        <v>2965.3597199782084</v>
      </c>
      <c r="J6" s="28">
        <f>'Travel Time - vehicles'!K7</f>
        <v>2987.6135767973724</v>
      </c>
      <c r="K6" s="28">
        <f>'Travel Time - vehicles'!L7</f>
        <v>3010.0344400474901</v>
      </c>
      <c r="L6" s="28">
        <f>'Travel Time - vehicles'!M7</f>
        <v>3032.6235630460519</v>
      </c>
      <c r="M6" s="28">
        <f>'Travel Time - vehicles'!N7</f>
        <v>3055.3822085162024</v>
      </c>
      <c r="N6" s="28">
        <f>'Travel Time - vehicles'!O7</f>
        <v>3078.3116486573263</v>
      </c>
      <c r="O6" s="28">
        <f>'Travel Time - vehicles'!P7</f>
        <v>3101.4131652161632</v>
      </c>
      <c r="P6" s="28">
        <f>'Travel Time - vehicles'!Q7</f>
        <v>3124.6880495584574</v>
      </c>
      <c r="Q6" s="28">
        <f>'Travel Time - vehicles'!R7</f>
        <v>3148.1376027411443</v>
      </c>
      <c r="R6" s="28">
        <f>'Travel Time - vehicles'!S7</f>
        <v>3171.7631355850795</v>
      </c>
      <c r="S6" s="28">
        <f>'Travel Time - vehicles'!T7</f>
        <v>3195.5659687483121</v>
      </c>
      <c r="T6" s="28">
        <f>'Travel Time - vehicles'!U7</f>
        <v>3219.5474327999113</v>
      </c>
      <c r="U6" s="28">
        <f>'Travel Time - vehicles'!V7</f>
        <v>3243.7088682943418</v>
      </c>
      <c r="V6" s="28">
        <f>'Travel Time - vehicles'!W7</f>
        <v>3268.0516258464017</v>
      </c>
      <c r="W6" s="28">
        <f>'Travel Time - vehicles'!X7</f>
        <v>3292.5770662067221</v>
      </c>
      <c r="X6" s="28">
        <f>'Travel Time - vehicles'!Y7</f>
        <v>3317.2865603378305</v>
      </c>
      <c r="Y6" s="28">
        <f>'Travel Time - vehicles'!Z7</f>
        <v>3342.1814894907889</v>
      </c>
      <c r="Z6" s="28">
        <f>'Travel Time - vehicles'!AA7</f>
        <v>3367.2632452824046</v>
      </c>
    </row>
    <row r="7" spans="1:26" x14ac:dyDescent="0.25">
      <c r="A7" s="54" t="s">
        <v>1</v>
      </c>
      <c r="B7" s="17">
        <f>SUM(B3:B5)</f>
        <v>38059.708733570478</v>
      </c>
      <c r="C7" s="17">
        <f t="shared" ref="C7:Z7" si="1">SUM(C3:C5)</f>
        <v>38345.331858154561</v>
      </c>
      <c r="D7" s="17">
        <f t="shared" si="1"/>
        <v>38633.098471798643</v>
      </c>
      <c r="E7" s="17">
        <f t="shared" si="1"/>
        <v>38923.024660543924</v>
      </c>
      <c r="F7" s="17">
        <f t="shared" si="1"/>
        <v>39215.126631151012</v>
      </c>
      <c r="G7" s="17">
        <f t="shared" si="1"/>
        <v>39509.420712005871</v>
      </c>
      <c r="H7" s="17">
        <f t="shared" si="1"/>
        <v>39805.923354032566</v>
      </c>
      <c r="I7" s="17">
        <f t="shared" si="1"/>
        <v>40104.651131612874</v>
      </c>
      <c r="J7" s="17">
        <f t="shared" si="1"/>
        <v>40405.620743512773</v>
      </c>
      <c r="K7" s="17">
        <f t="shared" si="1"/>
        <v>40708.849013815896</v>
      </c>
      <c r="L7" s="17">
        <f t="shared" si="1"/>
        <v>41014.352892864023</v>
      </c>
      <c r="M7" s="17">
        <f t="shared" si="1"/>
        <v>41322.149458204556</v>
      </c>
      <c r="N7" s="17">
        <f t="shared" si="1"/>
        <v>41632.255915545167</v>
      </c>
      <c r="O7" s="17">
        <f t="shared" si="1"/>
        <v>41944.689599715573</v>
      </c>
      <c r="P7" s="17">
        <f t="shared" si="1"/>
        <v>42259.467975636588</v>
      </c>
      <c r="Q7" s="17">
        <f t="shared" si="1"/>
        <v>42576.608639296363</v>
      </c>
      <c r="R7" s="17">
        <f t="shared" si="1"/>
        <v>42896.129318734012</v>
      </c>
      <c r="S7" s="17">
        <f t="shared" si="1"/>
        <v>43218.047875030599</v>
      </c>
      <c r="T7" s="17">
        <f t="shared" si="1"/>
        <v>43542.382303307575</v>
      </c>
      <c r="U7" s="17">
        <f t="shared" si="1"/>
        <v>43869.150733732677</v>
      </c>
      <c r="V7" s="17">
        <f t="shared" si="1"/>
        <v>44198.371432533415</v>
      </c>
      <c r="W7" s="17">
        <f t="shared" si="1"/>
        <v>44530.062803018162</v>
      </c>
      <c r="X7" s="17">
        <f t="shared" si="1"/>
        <v>44864.24338660483</v>
      </c>
      <c r="Y7" s="17">
        <f t="shared" si="1"/>
        <v>45200.931863857419</v>
      </c>
      <c r="Z7" s="17">
        <f t="shared" si="1"/>
        <v>45540.147055530164</v>
      </c>
    </row>
    <row r="9" spans="1:26" x14ac:dyDescent="0.25">
      <c r="A9" s="32" t="s">
        <v>242</v>
      </c>
      <c r="B9" s="67">
        <v>2024</v>
      </c>
      <c r="C9" s="67">
        <f>B9+1</f>
        <v>2025</v>
      </c>
      <c r="D9" s="67">
        <f t="shared" ref="D9:Z9" si="2">C9+1</f>
        <v>2026</v>
      </c>
      <c r="E9" s="67">
        <f t="shared" si="2"/>
        <v>2027</v>
      </c>
      <c r="F9" s="67">
        <f t="shared" si="2"/>
        <v>2028</v>
      </c>
      <c r="G9" s="67">
        <f t="shared" si="2"/>
        <v>2029</v>
      </c>
      <c r="H9" s="67">
        <f t="shared" si="2"/>
        <v>2030</v>
      </c>
      <c r="I9" s="67">
        <f t="shared" si="2"/>
        <v>2031</v>
      </c>
      <c r="J9" s="67">
        <f t="shared" si="2"/>
        <v>2032</v>
      </c>
      <c r="K9" s="67">
        <f t="shared" si="2"/>
        <v>2033</v>
      </c>
      <c r="L9" s="67">
        <f t="shared" si="2"/>
        <v>2034</v>
      </c>
      <c r="M9" s="67">
        <f t="shared" si="2"/>
        <v>2035</v>
      </c>
      <c r="N9" s="67">
        <f t="shared" si="2"/>
        <v>2036</v>
      </c>
      <c r="O9" s="67">
        <f t="shared" si="2"/>
        <v>2037</v>
      </c>
      <c r="P9" s="67">
        <f t="shared" si="2"/>
        <v>2038</v>
      </c>
      <c r="Q9" s="67">
        <f t="shared" si="2"/>
        <v>2039</v>
      </c>
      <c r="R9" s="67">
        <f t="shared" si="2"/>
        <v>2040</v>
      </c>
      <c r="S9" s="67">
        <f t="shared" si="2"/>
        <v>2041</v>
      </c>
      <c r="T9" s="67">
        <f t="shared" si="2"/>
        <v>2042</v>
      </c>
      <c r="U9" s="67">
        <f t="shared" si="2"/>
        <v>2043</v>
      </c>
      <c r="V9" s="67">
        <f t="shared" si="2"/>
        <v>2044</v>
      </c>
      <c r="W9" s="67">
        <f t="shared" si="2"/>
        <v>2045</v>
      </c>
      <c r="X9" s="67">
        <f t="shared" si="2"/>
        <v>2046</v>
      </c>
      <c r="Y9" s="67">
        <f t="shared" si="2"/>
        <v>2047</v>
      </c>
      <c r="Z9" s="67">
        <f t="shared" si="2"/>
        <v>2048</v>
      </c>
    </row>
    <row r="10" spans="1:26" x14ac:dyDescent="0.25">
      <c r="A10" s="53" t="s">
        <v>114</v>
      </c>
      <c r="B10" s="28">
        <f>B3*' Look Up Data'!$B11*' Look Up Data'!$B13</f>
        <v>20038.436648224855</v>
      </c>
      <c r="C10" s="28">
        <f>C3*' Look Up Data'!$B11*' Look Up Data'!$B13</f>
        <v>20188.817223318376</v>
      </c>
      <c r="D10" s="28">
        <f>D3*' Look Up Data'!$B11*' Look Up Data'!$B13</f>
        <v>20340.326345401983</v>
      </c>
      <c r="E10" s="28">
        <f>E3*' Look Up Data'!$B11*' Look Up Data'!$B13</f>
        <v>20492.972483776375</v>
      </c>
      <c r="F10" s="28">
        <f>F3*' Look Up Data'!$B11*' Look Up Data'!$B13</f>
        <v>20646.764171301005</v>
      </c>
      <c r="G10" s="28">
        <f>G3*' Look Up Data'!$B11*' Look Up Data'!$B13</f>
        <v>20801.710004871089</v>
      </c>
      <c r="H10" s="28">
        <f>H3*' Look Up Data'!$B11*' Look Up Data'!$B13</f>
        <v>20957.818645898144</v>
      </c>
      <c r="I10" s="28">
        <f>I3*' Look Up Data'!$B11*' Look Up Data'!$B13</f>
        <v>21115.098820794177</v>
      </c>
      <c r="J10" s="28">
        <f>J3*' Look Up Data'!$B11*' Look Up Data'!$B13</f>
        <v>21273.559321459474</v>
      </c>
      <c r="K10" s="28">
        <f>K3*' Look Up Data'!$B11*' Look Up Data'!$B13</f>
        <v>21433.209005774068</v>
      </c>
      <c r="L10" s="28">
        <f>L3*' Look Up Data'!$B11*' Look Up Data'!$B13</f>
        <v>21594.056798092908</v>
      </c>
      <c r="M10" s="28">
        <f>M3*' Look Up Data'!$B11*' Look Up Data'!$B13</f>
        <v>21756.111689744699</v>
      </c>
      <c r="N10" s="28">
        <f>N3*' Look Up Data'!$B11*' Look Up Data'!$B13</f>
        <v>21919.382739534529</v>
      </c>
      <c r="O10" s="28">
        <f>O3*' Look Up Data'!$B11*' Look Up Data'!$B13</f>
        <v>22083.87907425025</v>
      </c>
      <c r="P10" s="28">
        <f>P3*' Look Up Data'!$B11*' Look Up Data'!$B13</f>
        <v>22249.609889172661</v>
      </c>
      <c r="Q10" s="28">
        <f>Q3*' Look Up Data'!$B11*' Look Up Data'!$B13</f>
        <v>22416.584448589532</v>
      </c>
      <c r="R10" s="28">
        <f>R3*' Look Up Data'!$B11*' Look Up Data'!$B13</f>
        <v>22584.812086313457</v>
      </c>
      <c r="S10" s="28">
        <f>S3*' Look Up Data'!$B11*' Look Up Data'!$B13</f>
        <v>22754.302206203611</v>
      </c>
      <c r="T10" s="28">
        <f>T3*' Look Up Data'!$B11*' Look Up Data'!$B13</f>
        <v>22925.064282691437</v>
      </c>
      <c r="U10" s="28">
        <f>U3*' Look Up Data'!$B11*' Look Up Data'!$B13</f>
        <v>23097.107861310255</v>
      </c>
      <c r="V10" s="28">
        <f>V3*' Look Up Data'!$B11*' Look Up Data'!$B13</f>
        <v>23270.442559228843</v>
      </c>
      <c r="W10" s="28">
        <f>W3*' Look Up Data'!$B11*' Look Up Data'!$B13</f>
        <v>23445.078065789061</v>
      </c>
      <c r="X10" s="28">
        <f>X3*' Look Up Data'!$B11*' Look Up Data'!$B13</f>
        <v>23621.024143047442</v>
      </c>
      <c r="Y10" s="28">
        <f>Y3*' Look Up Data'!$B11*' Look Up Data'!$B13</f>
        <v>23798.29062632093</v>
      </c>
      <c r="Z10" s="28">
        <f>Z3*' Look Up Data'!$B11*' Look Up Data'!$B13</f>
        <v>23976.887424736629</v>
      </c>
    </row>
    <row r="11" spans="1:26" hidden="1" x14ac:dyDescent="0.25">
      <c r="A11" s="53" t="s">
        <v>15</v>
      </c>
      <c r="B11" s="28">
        <f>B4*' Look Up Data'!$D$49</f>
        <v>0</v>
      </c>
      <c r="C11" s="28">
        <f>C4*' Look Up Data'!$D$49</f>
        <v>0</v>
      </c>
      <c r="D11" s="28">
        <f>D4*' Look Up Data'!$D$49</f>
        <v>0</v>
      </c>
      <c r="E11" s="28">
        <f>E4*' Look Up Data'!$D$49</f>
        <v>0</v>
      </c>
      <c r="F11" s="28">
        <f>F4*' Look Up Data'!$D$49</f>
        <v>0</v>
      </c>
      <c r="G11" s="28">
        <f>G4*' Look Up Data'!$D$49</f>
        <v>0</v>
      </c>
      <c r="H11" s="28">
        <f>H4*' Look Up Data'!$D$49</f>
        <v>0</v>
      </c>
      <c r="I11" s="28">
        <f>I4*' Look Up Data'!$D$49</f>
        <v>0</v>
      </c>
      <c r="J11" s="28">
        <f>J4*' Look Up Data'!$D$49</f>
        <v>0</v>
      </c>
      <c r="K11" s="28">
        <f>K4*' Look Up Data'!$D$49</f>
        <v>0</v>
      </c>
      <c r="L11" s="28">
        <f>L4*' Look Up Data'!$D$49</f>
        <v>0</v>
      </c>
      <c r="M11" s="28">
        <f>M4*' Look Up Data'!$D$49</f>
        <v>0</v>
      </c>
      <c r="N11" s="28">
        <f>N4*' Look Up Data'!$D$49</f>
        <v>0</v>
      </c>
      <c r="O11" s="28">
        <f>O4*' Look Up Data'!$D$49</f>
        <v>0</v>
      </c>
      <c r="P11" s="28">
        <f>P4*' Look Up Data'!$D$49</f>
        <v>0</v>
      </c>
      <c r="Q11" s="28">
        <f>Q4*' Look Up Data'!$D$49</f>
        <v>0</v>
      </c>
      <c r="R11" s="28">
        <f>R4*' Look Up Data'!$D$49</f>
        <v>0</v>
      </c>
      <c r="S11" s="28">
        <f>S4*' Look Up Data'!$D$49</f>
        <v>0</v>
      </c>
      <c r="T11" s="28">
        <f>T4*' Look Up Data'!$D$49</f>
        <v>0</v>
      </c>
      <c r="U11" s="28">
        <f>U4*' Look Up Data'!$D$49</f>
        <v>0</v>
      </c>
      <c r="V11" s="28">
        <f>V4*' Look Up Data'!$D$49</f>
        <v>0</v>
      </c>
      <c r="W11" s="28">
        <f>W4*' Look Up Data'!$D$49</f>
        <v>0</v>
      </c>
      <c r="X11" s="28">
        <f>X4*' Look Up Data'!$D$49</f>
        <v>0</v>
      </c>
      <c r="Y11" s="28">
        <f>Y4*' Look Up Data'!$D$49</f>
        <v>0</v>
      </c>
      <c r="Z11" s="28">
        <f>Z4*' Look Up Data'!$D$49</f>
        <v>0</v>
      </c>
    </row>
    <row r="12" spans="1:26" hidden="1" x14ac:dyDescent="0.25">
      <c r="A12" s="53" t="s">
        <v>16</v>
      </c>
      <c r="B12" s="28">
        <f>B5*' Look Up Data'!$D$49</f>
        <v>0</v>
      </c>
      <c r="C12" s="28">
        <f>C5*' Look Up Data'!$D$49</f>
        <v>0</v>
      </c>
      <c r="D12" s="28">
        <f>D5*' Look Up Data'!$D$49</f>
        <v>0</v>
      </c>
      <c r="E12" s="28">
        <f>E5*' Look Up Data'!$D$49</f>
        <v>0</v>
      </c>
      <c r="F12" s="28">
        <f>F5*' Look Up Data'!$D$49</f>
        <v>0</v>
      </c>
      <c r="G12" s="28">
        <f>G5*' Look Up Data'!$D$49</f>
        <v>0</v>
      </c>
      <c r="H12" s="28">
        <f>H5*' Look Up Data'!$D$49</f>
        <v>0</v>
      </c>
      <c r="I12" s="28">
        <f>I5*' Look Up Data'!$D$49</f>
        <v>0</v>
      </c>
      <c r="J12" s="28">
        <f>J5*' Look Up Data'!$D$49</f>
        <v>0</v>
      </c>
      <c r="K12" s="28">
        <f>K5*' Look Up Data'!$D$49</f>
        <v>0</v>
      </c>
      <c r="L12" s="28">
        <f>L5*' Look Up Data'!$D$49</f>
        <v>0</v>
      </c>
      <c r="M12" s="28">
        <f>M5*' Look Up Data'!$D$49</f>
        <v>0</v>
      </c>
      <c r="N12" s="28">
        <f>N5*' Look Up Data'!$D$49</f>
        <v>0</v>
      </c>
      <c r="O12" s="28">
        <f>O5*' Look Up Data'!$D$49</f>
        <v>0</v>
      </c>
      <c r="P12" s="28">
        <f>P5*' Look Up Data'!$D$49</f>
        <v>0</v>
      </c>
      <c r="Q12" s="28">
        <f>Q5*' Look Up Data'!$D$49</f>
        <v>0</v>
      </c>
      <c r="R12" s="28">
        <f>R5*' Look Up Data'!$D$49</f>
        <v>0</v>
      </c>
      <c r="S12" s="28">
        <f>S5*' Look Up Data'!$D$49</f>
        <v>0</v>
      </c>
      <c r="T12" s="28">
        <f>T5*' Look Up Data'!$D$49</f>
        <v>0</v>
      </c>
      <c r="U12" s="28">
        <f>U5*' Look Up Data'!$D$49</f>
        <v>0</v>
      </c>
      <c r="V12" s="28">
        <f>V5*' Look Up Data'!$D$49</f>
        <v>0</v>
      </c>
      <c r="W12" s="28">
        <f>W5*' Look Up Data'!$D$49</f>
        <v>0</v>
      </c>
      <c r="X12" s="28">
        <f>X5*' Look Up Data'!$D$49</f>
        <v>0</v>
      </c>
      <c r="Y12" s="28">
        <f>Y5*' Look Up Data'!$D$49</f>
        <v>0</v>
      </c>
      <c r="Z12" s="28">
        <f>Z5*' Look Up Data'!$D$49</f>
        <v>0</v>
      </c>
    </row>
    <row r="13" spans="1:26" x14ac:dyDescent="0.25">
      <c r="A13" s="55" t="s">
        <v>33</v>
      </c>
      <c r="B13" s="28">
        <f>B6*' Look Up Data'!$B12*' Look Up Data'!$B14</f>
        <v>2532.7400100309619</v>
      </c>
      <c r="C13" s="28">
        <f>C6*' Look Up Data'!$B12*' Look Up Data'!$B14</f>
        <v>2551.74722631021</v>
      </c>
      <c r="D13" s="28">
        <f>D6*' Look Up Data'!$B12*' Look Up Data'!$B14</f>
        <v>2570.8970842618191</v>
      </c>
      <c r="E13" s="28">
        <f>E6*' Look Up Data'!$B12*' Look Up Data'!$B14</f>
        <v>2590.1906543553623</v>
      </c>
      <c r="F13" s="28">
        <f>F6*' Look Up Data'!$B12*' Look Up Data'!$B14</f>
        <v>2609.6290150938644</v>
      </c>
      <c r="G13" s="28">
        <f>G6*' Look Up Data'!$B12*' Look Up Data'!$B14</f>
        <v>2629.2132530740923</v>
      </c>
      <c r="H13" s="28">
        <f>H6*' Look Up Data'!$B12*' Look Up Data'!$B14</f>
        <v>2648.9444630472922</v>
      </c>
      <c r="I13" s="28">
        <f>I6*' Look Up Data'!$B12*' Look Up Data'!$B14</f>
        <v>2668.8237479803875</v>
      </c>
      <c r="J13" s="28">
        <f>J6*' Look Up Data'!$B12*' Look Up Data'!$B14</f>
        <v>2688.8522191176353</v>
      </c>
      <c r="K13" s="28">
        <f>K6*' Look Up Data'!$B12*' Look Up Data'!$B14</f>
        <v>2709.0309960427412</v>
      </c>
      <c r="L13" s="28">
        <f>L6*' Look Up Data'!$B12*' Look Up Data'!$B14</f>
        <v>2729.3612067414469</v>
      </c>
      <c r="M13" s="28">
        <f>M6*' Look Up Data'!$B12*' Look Up Data'!$B14</f>
        <v>2749.8439876645821</v>
      </c>
      <c r="N13" s="28">
        <f>N6*' Look Up Data'!$B12*' Look Up Data'!$B14</f>
        <v>2770.4804837915935</v>
      </c>
      <c r="O13" s="28">
        <f>O6*' Look Up Data'!$B12*' Look Up Data'!$B14</f>
        <v>2791.2718486945469</v>
      </c>
      <c r="P13" s="28">
        <f>P6*' Look Up Data'!$B12*' Look Up Data'!$B14</f>
        <v>2812.2192446026115</v>
      </c>
      <c r="Q13" s="28">
        <f>Q6*' Look Up Data'!$B12*' Look Up Data'!$B14</f>
        <v>2833.3238424670299</v>
      </c>
      <c r="R13" s="28">
        <f>R6*' Look Up Data'!$B12*' Look Up Data'!$B14</f>
        <v>2854.5868220265716</v>
      </c>
      <c r="S13" s="28">
        <f>S6*' Look Up Data'!$B12*' Look Up Data'!$B14</f>
        <v>2876.0093718734811</v>
      </c>
      <c r="T13" s="28">
        <f>T6*' Look Up Data'!$B12*' Look Up Data'!$B14</f>
        <v>2897.5926895199204</v>
      </c>
      <c r="U13" s="28">
        <f>U6*' Look Up Data'!$B12*' Look Up Data'!$B14</f>
        <v>2919.3379814649074</v>
      </c>
      <c r="V13" s="28">
        <f>V6*' Look Up Data'!$B12*' Look Up Data'!$B14</f>
        <v>2941.2464632617616</v>
      </c>
      <c r="W13" s="28">
        <f>W6*' Look Up Data'!$B12*' Look Up Data'!$B14</f>
        <v>2963.3193595860498</v>
      </c>
      <c r="X13" s="28">
        <f>X6*' Look Up Data'!$B12*' Look Up Data'!$B14</f>
        <v>2985.5579043040475</v>
      </c>
      <c r="Y13" s="28">
        <f>Y6*' Look Up Data'!$B12*' Look Up Data'!$B14</f>
        <v>3007.9633405417098</v>
      </c>
      <c r="Z13" s="28">
        <f>Z6*' Look Up Data'!$B12*' Look Up Data'!$B14</f>
        <v>3030.5369207541644</v>
      </c>
    </row>
    <row r="14" spans="1:26" x14ac:dyDescent="0.25">
      <c r="A14" s="54" t="s">
        <v>1</v>
      </c>
      <c r="B14" s="17">
        <f>B10+B13</f>
        <v>22571.176658255816</v>
      </c>
      <c r="C14" s="17">
        <f t="shared" ref="C14:Z14" si="3">C10+C13</f>
        <v>22740.564449628586</v>
      </c>
      <c r="D14" s="17">
        <f t="shared" si="3"/>
        <v>22911.223429663802</v>
      </c>
      <c r="E14" s="17">
        <f t="shared" si="3"/>
        <v>23083.163138131738</v>
      </c>
      <c r="F14" s="17">
        <f t="shared" si="3"/>
        <v>23256.393186394871</v>
      </c>
      <c r="G14" s="17">
        <f t="shared" si="3"/>
        <v>23430.923257945182</v>
      </c>
      <c r="H14" s="17">
        <f t="shared" si="3"/>
        <v>23606.763108945437</v>
      </c>
      <c r="I14" s="17">
        <f t="shared" si="3"/>
        <v>23783.922568774564</v>
      </c>
      <c r="J14" s="17">
        <f t="shared" si="3"/>
        <v>23962.411540577108</v>
      </c>
      <c r="K14" s="17">
        <f t="shared" si="3"/>
        <v>24142.240001816808</v>
      </c>
      <c r="L14" s="17">
        <f t="shared" si="3"/>
        <v>24323.418004834355</v>
      </c>
      <c r="M14" s="17">
        <f t="shared" si="3"/>
        <v>24505.955677409282</v>
      </c>
      <c r="N14" s="17">
        <f t="shared" si="3"/>
        <v>24689.863223326123</v>
      </c>
      <c r="O14" s="17">
        <f t="shared" si="3"/>
        <v>24875.150922944798</v>
      </c>
      <c r="P14" s="17">
        <f t="shared" si="3"/>
        <v>25061.829133775274</v>
      </c>
      <c r="Q14" s="17">
        <f t="shared" si="3"/>
        <v>25249.908291056563</v>
      </c>
      <c r="R14" s="17">
        <f t="shared" si="3"/>
        <v>25439.39890834003</v>
      </c>
      <c r="S14" s="17">
        <f t="shared" si="3"/>
        <v>25630.311578077093</v>
      </c>
      <c r="T14" s="17">
        <f t="shared" si="3"/>
        <v>25822.656972211356</v>
      </c>
      <c r="U14" s="17">
        <f t="shared" si="3"/>
        <v>26016.445842775163</v>
      </c>
      <c r="V14" s="17">
        <f t="shared" si="3"/>
        <v>26211.689022490606</v>
      </c>
      <c r="W14" s="17">
        <f t="shared" si="3"/>
        <v>26408.397425375111</v>
      </c>
      <c r="X14" s="17">
        <f t="shared" si="3"/>
        <v>26606.58204735149</v>
      </c>
      <c r="Y14" s="17">
        <f t="shared" si="3"/>
        <v>26806.253966862641</v>
      </c>
      <c r="Z14" s="17">
        <f t="shared" si="3"/>
        <v>27007.424345490792</v>
      </c>
    </row>
    <row r="18" spans="1:1" x14ac:dyDescent="0.25">
      <c r="A18" t="s">
        <v>241</v>
      </c>
    </row>
    <row r="44" spans="2:2" x14ac:dyDescent="0.25">
      <c r="B44"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68E0-443F-4E8D-A3AE-5C16C0B21695}">
  <sheetPr>
    <tabColor rgb="FF92D050"/>
  </sheetPr>
  <dimension ref="A1:AN55"/>
  <sheetViews>
    <sheetView topLeftCell="V1" zoomScale="84" zoomScaleNormal="84" workbookViewId="0">
      <selection activeCell="AJ8" sqref="AJ8"/>
    </sheetView>
  </sheetViews>
  <sheetFormatPr defaultColWidth="8.5703125" defaultRowHeight="15" x14ac:dyDescent="0.25"/>
  <cols>
    <col min="1" max="1" width="45.5703125" customWidth="1"/>
    <col min="2" max="4" width="13.5703125" bestFit="1" customWidth="1"/>
    <col min="5" max="5" width="16" bestFit="1" customWidth="1"/>
    <col min="6" max="31" width="13.5703125" bestFit="1" customWidth="1"/>
    <col min="32" max="34" width="9.42578125" bestFit="1" customWidth="1"/>
  </cols>
  <sheetData>
    <row r="1" spans="1:40" ht="18.75" x14ac:dyDescent="0.3">
      <c r="A1" s="7" t="s">
        <v>28</v>
      </c>
      <c r="B1" s="18"/>
      <c r="C1" s="18"/>
      <c r="D1" s="18"/>
      <c r="E1" s="18"/>
      <c r="F1" s="18"/>
      <c r="G1" s="18"/>
      <c r="H1" s="18"/>
      <c r="I1" s="18"/>
      <c r="J1" s="18"/>
      <c r="K1" s="18"/>
      <c r="L1" s="18"/>
    </row>
    <row r="2" spans="1:40" ht="18.75" x14ac:dyDescent="0.3">
      <c r="A2" s="7"/>
    </row>
    <row r="3" spans="1:40" x14ac:dyDescent="0.25">
      <c r="A3" s="163" t="s">
        <v>151</v>
      </c>
      <c r="B3" s="85">
        <v>2021</v>
      </c>
      <c r="C3" s="85">
        <v>2022</v>
      </c>
      <c r="D3" s="102">
        <v>2023</v>
      </c>
      <c r="E3" s="102">
        <v>2024</v>
      </c>
      <c r="F3" s="102">
        <v>2025</v>
      </c>
      <c r="G3" s="102">
        <f>F3+1</f>
        <v>2026</v>
      </c>
      <c r="H3" s="102">
        <f t="shared" ref="H3:AD3" si="0">G3+1</f>
        <v>2027</v>
      </c>
      <c r="I3" s="102">
        <f t="shared" si="0"/>
        <v>2028</v>
      </c>
      <c r="J3" s="102">
        <f t="shared" si="0"/>
        <v>2029</v>
      </c>
      <c r="K3" s="102">
        <f t="shared" si="0"/>
        <v>2030</v>
      </c>
      <c r="L3" s="102">
        <f t="shared" si="0"/>
        <v>2031</v>
      </c>
      <c r="M3" s="102">
        <f t="shared" si="0"/>
        <v>2032</v>
      </c>
      <c r="N3" s="102">
        <f t="shared" si="0"/>
        <v>2033</v>
      </c>
      <c r="O3" s="102">
        <f t="shared" si="0"/>
        <v>2034</v>
      </c>
      <c r="P3" s="102">
        <f t="shared" si="0"/>
        <v>2035</v>
      </c>
      <c r="Q3" s="102">
        <f t="shared" si="0"/>
        <v>2036</v>
      </c>
      <c r="R3" s="102">
        <f t="shared" si="0"/>
        <v>2037</v>
      </c>
      <c r="S3" s="102">
        <f t="shared" si="0"/>
        <v>2038</v>
      </c>
      <c r="T3" s="102">
        <f t="shared" si="0"/>
        <v>2039</v>
      </c>
      <c r="U3" s="102">
        <f t="shared" si="0"/>
        <v>2040</v>
      </c>
      <c r="V3" s="102">
        <f t="shared" si="0"/>
        <v>2041</v>
      </c>
      <c r="W3" s="102">
        <f t="shared" si="0"/>
        <v>2042</v>
      </c>
      <c r="X3" s="102">
        <f t="shared" si="0"/>
        <v>2043</v>
      </c>
      <c r="Y3" s="102">
        <f t="shared" si="0"/>
        <v>2044</v>
      </c>
      <c r="Z3" s="102">
        <f t="shared" si="0"/>
        <v>2045</v>
      </c>
      <c r="AA3" s="102">
        <f t="shared" si="0"/>
        <v>2046</v>
      </c>
      <c r="AB3" s="102">
        <f t="shared" si="0"/>
        <v>2047</v>
      </c>
      <c r="AC3" s="102">
        <f t="shared" si="0"/>
        <v>2048</v>
      </c>
      <c r="AD3" s="102">
        <f t="shared" si="0"/>
        <v>2049</v>
      </c>
      <c r="AE3" s="102"/>
      <c r="AK3" s="3"/>
      <c r="AL3" s="3"/>
      <c r="AM3" s="3"/>
      <c r="AN3" s="3"/>
    </row>
    <row r="4" spans="1:40" s="67" customFormat="1" x14ac:dyDescent="0.25">
      <c r="A4" s="41" t="s">
        <v>145</v>
      </c>
      <c r="B4" s="85"/>
      <c r="C4" s="85"/>
      <c r="D4" s="102"/>
      <c r="E4" s="167">
        <f>(E17*'Travel Time - vehicles'!C$4/' Look Up Data'!$B$6)+(E22*'Travel Time - vehicles'!C$7/2)+(Emissions!E27*'Travel Time - vehicles'!C$7/2)</f>
        <v>0.45280832269442528</v>
      </c>
      <c r="F4" s="166">
        <f>(F17*'Travel Time - vehicles'!D$4/' Look Up Data'!$B$6)+(F22*'Travel Time - vehicles'!D$7/2)+(Emissions!F27*'Travel Time - vehicles'!D$7/2)</f>
        <v>0.41747943734405857</v>
      </c>
      <c r="G4" s="166">
        <f>(G17*'Travel Time - vehicles'!E$4/' Look Up Data'!$B$6)+(G22*'Travel Time - vehicles'!E$7/2)+(Emissions!G27*'Travel Time - vehicles'!E$7/2)</f>
        <v>0.38228339972282432</v>
      </c>
      <c r="H4" s="166">
        <f>(H17*'Travel Time - vehicles'!F$4/' Look Up Data'!$B$6)+(H22*'Travel Time - vehicles'!F$7/2)+(Emissions!H27*'Travel Time - vehicles'!F$7/2)</f>
        <v>0.35036784497713241</v>
      </c>
      <c r="I4" s="166">
        <f>(I17*'Travel Time - vehicles'!G$4/' Look Up Data'!$B$6)+(I22*'Travel Time - vehicles'!G$7/2)+(Emissions!I27*'Travel Time - vehicles'!G$7/2)</f>
        <v>0.32140256014091834</v>
      </c>
      <c r="J4" s="166">
        <f>(J17*'Travel Time - vehicles'!H$4/' Look Up Data'!$B$6)+(J22*'Travel Time - vehicles'!H$7/2)+(Emissions!J27*'Travel Time - vehicles'!H$7/2)</f>
        <v>0.29509230305004069</v>
      </c>
      <c r="K4" s="166">
        <f>(K17*'Travel Time - vehicles'!I$4/' Look Up Data'!$B$6)+(K22*'Travel Time - vehicles'!I$7/2)+(Emissions!K27*'Travel Time - vehicles'!I$7/2)</f>
        <v>0.27117298492701314</v>
      </c>
      <c r="L4" s="166">
        <f>(L17*'Travel Time - vehicles'!J$4/' Look Up Data'!$B$6)+(L22*'Travel Time - vehicles'!J$7/2)+(Emissions!L27*'Travel Time - vehicles'!J$7/2)</f>
        <v>0.24940827681418554</v>
      </c>
      <c r="M4" s="166">
        <f>(M17*'Travel Time - vehicles'!K$4/' Look Up Data'!$B$6)+(M22*'Travel Time - vehicles'!K$7/2)+(Emissions!M27*'Travel Time - vehicles'!K$7/2)</f>
        <v>0.22958659235980933</v>
      </c>
      <c r="N4" s="166">
        <f>(N17*'Travel Time - vehicles'!L$4/' Look Up Data'!$B$6)+(N22*'Travel Time - vehicles'!L$7/2)+(Emissions!N27*'Travel Time - vehicles'!L$7/2)</f>
        <v>0.21151840480988937</v>
      </c>
      <c r="O4" s="166">
        <f>(O17*'Travel Time - vehicles'!M$4/' Look Up Data'!$B$6)+(O22*'Travel Time - vehicles'!M$7/2)+(Emissions!O27*'Travel Time - vehicles'!M$7/2)</f>
        <v>0.19503386080333571</v>
      </c>
      <c r="P4" s="166">
        <f>(P17*'Travel Time - vehicles'!N$4/' Look Up Data'!$B$6)+(P22*'Travel Time - vehicles'!N$7/2)+(Emissions!P27*'Travel Time - vehicles'!N$7/2)</f>
        <v>0.17998065777694905</v>
      </c>
      <c r="Q4" s="166">
        <f>(Q17*'Travel Time - vehicles'!O$4/' Look Up Data'!$B$6)+(Q22*'Travel Time - vehicles'!O$7/2)+(Emissions!Q27*'Travel Time - vehicles'!O$7/2)</f>
        <v>0.16622215552075623</v>
      </c>
      <c r="R4" s="166">
        <f>(R17*'Travel Time - vehicles'!P$4/' Look Up Data'!$B$6)+(R22*'Travel Time - vehicles'!P$7/2)+(Emissions!R27*'Travel Time - vehicles'!P$7/2)</f>
        <v>0.15363569573684793</v>
      </c>
      <c r="S4" s="166">
        <f>(S17*'Travel Time - vehicles'!Q$4/' Look Up Data'!$B$6)+(S22*'Travel Time - vehicles'!Q$7/2)+(Emissions!S27*'Travel Time - vehicles'!Q$7/2)</f>
        <v>0.14211110639378988</v>
      </c>
      <c r="T4" s="166">
        <f>(T17*'Travel Time - vehicles'!R$4/' Look Up Data'!$B$6)+(T22*'Travel Time - vehicles'!R$7/2)+(Emissions!T27*'Travel Time - vehicles'!R$7/2)</f>
        <v>0.13154937027610619</v>
      </c>
      <c r="U4" s="166">
        <f>(U17*'Travel Time - vehicles'!S$4/' Look Up Data'!$B$6)+(U22*'Travel Time - vehicles'!S$7/2)+(Emissions!U27*'Travel Time - vehicles'!S$7/2)</f>
        <v>0.12186143944173958</v>
      </c>
      <c r="V4" s="166">
        <f>(V17*'Travel Time - vehicles'!T$4/' Look Up Data'!$B$6)+(V22*'Travel Time - vehicles'!T$7/2)+(Emissions!V27*'Travel Time - vehicles'!T$7/2)</f>
        <v>0.11296717935298584</v>
      </c>
      <c r="W4" s="166">
        <f>(W17*'Travel Time - vehicles'!U$4/' Look Up Data'!$B$6)+(W22*'Travel Time - vehicles'!U$7/2)+(Emissions!W27*'Travel Time - vehicles'!U$7/2)</f>
        <v>0.1047944282676527</v>
      </c>
      <c r="X4" s="166">
        <f>(X17*'Travel Time - vehicles'!V$4/' Look Up Data'!$B$6)+(X22*'Travel Time - vehicles'!V$7/2)+(Emissions!X27*'Travel Time - vehicles'!V$7/2)</f>
        <v>9.7278159093232383E-2</v>
      </c>
      <c r="Y4" s="166">
        <f>(Y17*'Travel Time - vehicles'!W$4/' Look Up Data'!$B$6)+(Y22*'Travel Time - vehicles'!W$7/2)+(Emissions!Y27*'Travel Time - vehicles'!W$7/2)</f>
        <v>9.0359732340880156E-2</v>
      </c>
      <c r="Z4" s="166">
        <f>(Z17*'Travel Time - vehicles'!X$4/' Look Up Data'!$B$6)+(Z22*'Travel Time - vehicles'!X$7/2)+(Emissions!Z27*'Travel Time - vehicles'!X$7/2)</f>
        <v>8.3986230088514635E-2</v>
      </c>
      <c r="AA4" s="166">
        <f>(AA17*'Travel Time - vehicles'!Y$4/' Look Up Data'!$B$6)+(AA22*'Travel Time - vehicles'!Y$7/2)+(Emissions!AA27*'Travel Time - vehicles'!Y$7/2)</f>
        <v>7.8109861991628698E-2</v>
      </c>
      <c r="AB4" s="166">
        <f>(AB17*'Travel Time - vehicles'!Z$4/' Look Up Data'!$B$6)+(AB22*'Travel Time - vehicles'!Z$7/2)+(Emissions!AB27*'Travel Time - vehicles'!Z$7/2)</f>
        <v>7.268743538259588E-2</v>
      </c>
      <c r="AC4" s="166">
        <f>(AC17*'Travel Time - vehicles'!AA$4/' Look Up Data'!$B$6)+(AC22*'Travel Time - vehicles'!AA$7/2)+(Emissions!AC27*'Travel Time - vehicles'!AA$7/2)</f>
        <v>6.7679882388715723E-2</v>
      </c>
      <c r="AD4" s="166">
        <f>(AD17*'Travel Time - vehicles'!AB$4/' Look Up Data'!$B$6)+(AD22*'Travel Time - vehicles'!AB$7/2)+(Emissions!AD27*'Travel Time - vehicles'!AB$7/2)</f>
        <v>0</v>
      </c>
      <c r="AE4" s="102"/>
      <c r="AK4" s="68"/>
      <c r="AL4" s="68"/>
      <c r="AM4" s="68"/>
      <c r="AN4" s="68"/>
    </row>
    <row r="5" spans="1:40" s="67" customFormat="1" x14ac:dyDescent="0.25">
      <c r="A5" s="41" t="s">
        <v>146</v>
      </c>
      <c r="B5" s="85"/>
      <c r="C5" s="85"/>
      <c r="D5" s="102"/>
      <c r="E5" s="167">
        <f>(E18*'Travel Time - vehicles'!C$4/' Look Up Data'!$B$6)+(E23*'Travel Time - vehicles'!C$7/2)+(Emissions!E28*'Travel Time - vehicles'!C$7/2)</f>
        <v>2.9817282954160743E-3</v>
      </c>
      <c r="F5" s="167">
        <f>(F18*'Travel Time - vehicles'!D$4/' Look Up Data'!$B$6)+(F23*'Travel Time - vehicles'!D$7/2)+(Emissions!F28*'Travel Time - vehicles'!D$7/2)</f>
        <v>2.9376700109950108E-3</v>
      </c>
      <c r="G5" s="167">
        <f>(G18*'Travel Time - vehicles'!E$4/' Look Up Data'!$B$6)+(G23*'Travel Time - vehicles'!E$7/2)+(Emissions!G28*'Travel Time - vehicles'!E$7/2)</f>
        <v>2.8931599170615384E-3</v>
      </c>
      <c r="H5" s="167">
        <f>(H18*'Travel Time - vehicles'!F$4/' Look Up Data'!$B$6)+(H23*'Travel Time - vehicles'!F$7/2)+(Emissions!H28*'Travel Time - vehicles'!F$7/2)</f>
        <v>2.849335043274441E-3</v>
      </c>
      <c r="I5" s="167">
        <f>(I18*'Travel Time - vehicles'!G$4/' Look Up Data'!$B$6)+(I23*'Travel Time - vehicles'!G$7/2)+(Emissions!I28*'Travel Time - vehicles'!G$7/2)</f>
        <v>2.8061847364320176E-3</v>
      </c>
      <c r="J5" s="167">
        <f>(J18*'Travel Time - vehicles'!H$4/' Look Up Data'!$B$6)+(J23*'Travel Time - vehicles'!H$7/2)+(Emissions!J28*'Travel Time - vehicles'!H$7/2)</f>
        <v>2.7636985099972651E-3</v>
      </c>
      <c r="K5" s="167">
        <f>(K18*'Travel Time - vehicles'!I$4/' Look Up Data'!$B$6)+(K23*'Travel Time - vehicles'!I$7/2)+(Emissions!K28*'Travel Time - vehicles'!I$7/2)</f>
        <v>2.7218660414797813E-3</v>
      </c>
      <c r="L5" s="167">
        <f>(L18*'Travel Time - vehicles'!J$4/' Look Up Data'!$B$6)+(L23*'Travel Time - vehicles'!J$7/2)+(Emissions!L28*'Travel Time - vehicles'!J$7/2)</f>
        <v>2.6806771698588919E-3</v>
      </c>
      <c r="M5" s="167">
        <f>(M18*'Travel Time - vehicles'!K$4/' Look Up Data'!$B$6)+(M23*'Travel Time - vehicles'!K$7/2)+(Emissions!M28*'Travel Time - vehicles'!K$7/2)</f>
        <v>2.6401218930473913E-3</v>
      </c>
      <c r="N5" s="167">
        <f>(N18*'Travel Time - vehicles'!L$4/' Look Up Data'!$B$6)+(N23*'Travel Time - vehicles'!L$7/2)+(Emissions!N28*'Travel Time - vehicles'!L$7/2)</f>
        <v>2.6001903653952167E-3</v>
      </c>
      <c r="O5" s="167">
        <f>(O18*'Travel Time - vehicles'!M$4/' Look Up Data'!$B$6)+(O23*'Travel Time - vehicles'!M$7/2)+(Emissions!O28*'Travel Time - vehicles'!M$7/2)</f>
        <v>2.5608728952324481E-3</v>
      </c>
      <c r="P5" s="167">
        <f>(P18*'Travel Time - vehicles'!N$4/' Look Up Data'!$B$6)+(P23*'Travel Time - vehicles'!N$7/2)+(Emissions!P28*'Travel Time - vehicles'!N$7/2)</f>
        <v>2.5221599424510087E-3</v>
      </c>
      <c r="Q5" s="167">
        <f>(Q18*'Travel Time - vehicles'!O$4/' Look Up Data'!$B$6)+(Q23*'Travel Time - vehicles'!O$7/2)+(Emissions!Q28*'Travel Time - vehicles'!O$7/2)</f>
        <v>2.4840421161244504E-3</v>
      </c>
      <c r="R5" s="167">
        <f>(R18*'Travel Time - vehicles'!P$4/' Look Up Data'!$B$6)+(R23*'Travel Time - vehicles'!P$7/2)+(Emissions!R28*'Travel Time - vehicles'!P$7/2)</f>
        <v>2.4465101721652307E-3</v>
      </c>
      <c r="S5" s="167">
        <f>(S18*'Travel Time - vehicles'!Q$4/' Look Up Data'!$B$6)+(S23*'Travel Time - vehicles'!Q$7/2)+(Emissions!S28*'Travel Time - vehicles'!Q$7/2)</f>
        <v>2.4095550110188814E-3</v>
      </c>
      <c r="T5" s="167">
        <f>(T18*'Travel Time - vehicles'!R$4/' Look Up Data'!$B$6)+(T23*'Travel Time - vehicles'!R$7/2)+(Emissions!T28*'Travel Time - vehicles'!R$7/2)</f>
        <v>2.3731676753944945E-3</v>
      </c>
      <c r="U5" s="167">
        <f>(U18*'Travel Time - vehicles'!S$4/' Look Up Data'!$B$6)+(U23*'Travel Time - vehicles'!S$7/2)+(Emissions!U28*'Travel Time - vehicles'!S$7/2)</f>
        <v>2.3373393480309464E-3</v>
      </c>
      <c r="V5" s="167">
        <f>(V18*'Travel Time - vehicles'!T$4/' Look Up Data'!$B$6)+(V23*'Travel Time - vehicles'!T$7/2)+(Emissions!V28*'Travel Time - vehicles'!T$7/2)</f>
        <v>2.3020613494982994E-3</v>
      </c>
      <c r="W5" s="167">
        <f>(W18*'Travel Time - vehicles'!U$4/' Look Up Data'!$B$6)+(W23*'Travel Time - vehicles'!U$7/2)+(Emissions!W28*'Travel Time - vehicles'!U$7/2)</f>
        <v>2.2673251360338228E-3</v>
      </c>
      <c r="X5" s="167">
        <f>(X18*'Travel Time - vehicles'!V$4/' Look Up Data'!$B$6)+(X23*'Travel Time - vehicles'!V$7/2)+(Emissions!X28*'Travel Time - vehicles'!V$7/2)</f>
        <v>2.2331222974120951E-3</v>
      </c>
      <c r="Y5" s="167">
        <f>(Y18*'Travel Time - vehicles'!W$4/' Look Up Data'!$B$6)+(Y23*'Travel Time - vehicles'!W$7/2)+(Emissions!Y28*'Travel Time - vehicles'!W$7/2)</f>
        <v>2.1994445548486345E-3</v>
      </c>
      <c r="Z5" s="167">
        <f>(Z18*'Travel Time - vehicles'!X$4/' Look Up Data'!$B$6)+(Z23*'Travel Time - vehicles'!X$7/2)+(Emissions!Z28*'Travel Time - vehicles'!X$7/2)</f>
        <v>2.1662837589365462E-3</v>
      </c>
      <c r="AA5" s="167">
        <f>(AA18*'Travel Time - vehicles'!Y$4/' Look Up Data'!$B$6)+(AA23*'Travel Time - vehicles'!Y$7/2)+(Emissions!AA28*'Travel Time - vehicles'!Y$7/2)</f>
        <v>2.1336318876156528E-3</v>
      </c>
      <c r="AB5" s="167">
        <f>(AB18*'Travel Time - vehicles'!Z$4/' Look Up Data'!$B$6)+(AB23*'Travel Time - vehicles'!Z$7/2)+(Emissions!AB28*'Travel Time - vehicles'!Z$7/2)</f>
        <v>2.1014810441735998E-3</v>
      </c>
      <c r="AC5" s="167">
        <f>(AC18*'Travel Time - vehicles'!AA$4/' Look Up Data'!$B$6)+(AC23*'Travel Time - vehicles'!AA$7/2)+(Emissions!AC28*'Travel Time - vehicles'!AA$7/2)</f>
        <v>2.0698234552784332E-3</v>
      </c>
      <c r="AD5" s="167">
        <f>(AD18*'Travel Time - vehicles'!AB$4/' Look Up Data'!$B$6)+(AD23*'Travel Time - vehicles'!AB$7/2)+(Emissions!AD28*'Travel Time - vehicles'!AB$7/2)</f>
        <v>0</v>
      </c>
      <c r="AE5" s="102"/>
      <c r="AK5" s="68"/>
      <c r="AL5" s="68"/>
      <c r="AM5" s="68"/>
      <c r="AN5" s="68"/>
    </row>
    <row r="6" spans="1:40" s="67" customFormat="1" ht="18" x14ac:dyDescent="0.25">
      <c r="A6" s="155" t="s">
        <v>152</v>
      </c>
      <c r="B6" s="85"/>
      <c r="C6" s="85"/>
      <c r="D6" s="102"/>
      <c r="E6" s="167">
        <f>(E19*'Travel Time - vehicles'!C$4/' Look Up Data'!$B$6)+(E24*'Travel Time - vehicles'!C$7/2)+(Emissions!E29*'Travel Time - vehicles'!C$7/2)</f>
        <v>544.41586024517414</v>
      </c>
      <c r="F6" s="167">
        <f>(F19*'Travel Time - vehicles'!D$4/' Look Up Data'!$B$6)+(F24*'Travel Time - vehicles'!D$7/2)+(Emissions!F29*'Travel Time - vehicles'!D$7/2)</f>
        <v>536.76399432087157</v>
      </c>
      <c r="G6" s="167">
        <f>(G19*'Travel Time - vehicles'!E$4/' Look Up Data'!$B$6)+(G24*'Travel Time - vehicles'!E$7/2)+(Emissions!G29*'Travel Time - vehicles'!E$7/2)</f>
        <v>529.06898533298727</v>
      </c>
      <c r="H6" s="167">
        <f>(H19*'Travel Time - vehicles'!F$4/' Look Up Data'!$B$6)+(H24*'Travel Time - vehicles'!F$7/2)+(Emissions!H29*'Travel Time - vehicles'!F$7/2)</f>
        <v>521.48688759863796</v>
      </c>
      <c r="I6" s="167">
        <f>(I19*'Travel Time - vehicles'!G$4/' Look Up Data'!$B$6)+(I24*'Travel Time - vehicles'!G$7/2)+(Emissions!I29*'Travel Time - vehicles'!G$7/2)</f>
        <v>514.0160182924875</v>
      </c>
      <c r="J6" s="167">
        <f>(J19*'Travel Time - vehicles'!H$4/' Look Up Data'!$B$6)+(J24*'Travel Time - vehicles'!H$7/2)+(Emissions!J29*'Travel Time - vehicles'!H$7/2)</f>
        <v>506.65471993435938</v>
      </c>
      <c r="K6" s="167">
        <f>(K19*'Travel Time - vehicles'!I$4/' Look Up Data'!$B$6)+(K24*'Travel Time - vehicles'!I$7/2)+(Emissions!K29*'Travel Time - vehicles'!I$7/2)</f>
        <v>499.40136000478191</v>
      </c>
      <c r="L6" s="167">
        <f>(L19*'Travel Time - vehicles'!J$4/' Look Up Data'!$B$6)+(L24*'Travel Time - vehicles'!J$7/2)+(Emissions!L29*'Travel Time - vehicles'!J$7/2)</f>
        <v>492.25433056639338</v>
      </c>
      <c r="M6" s="167">
        <f>(M19*'Travel Time - vehicles'!K$4/' Look Up Data'!$B$6)+(M24*'Travel Time - vehicles'!K$7/2)+(Emissions!M29*'Travel Time - vehicles'!K$7/2)</f>
        <v>485.21204789111817</v>
      </c>
      <c r="N6" s="167">
        <f>(N19*'Travel Time - vehicles'!L$4/' Look Up Data'!$B$6)+(N24*'Travel Time - vehicles'!L$7/2)+(Emissions!N29*'Travel Time - vehicles'!L$7/2)</f>
        <v>478.27295209302616</v>
      </c>
      <c r="O6" s="167">
        <f>(O19*'Travel Time - vehicles'!M$4/' Look Up Data'!$B$6)+(O24*'Travel Time - vehicles'!M$7/2)+(Emissions!O29*'Travel Time - vehicles'!M$7/2)</f>
        <v>471.43550676678638</v>
      </c>
      <c r="P6" s="167">
        <f>(P19*'Travel Time - vehicles'!N$4/' Look Up Data'!$B$6)+(P24*'Travel Time - vehicles'!N$7/2)+(Emissions!P29*'Travel Time - vehicles'!N$7/2)</f>
        <v>464.69819863163167</v>
      </c>
      <c r="Q6" s="167">
        <f>(Q19*'Travel Time - vehicles'!O$4/' Look Up Data'!$B$6)+(Q24*'Travel Time - vehicles'!O$7/2)+(Emissions!Q29*'Travel Time - vehicles'!O$7/2)</f>
        <v>458.05953718074841</v>
      </c>
      <c r="R6" s="167">
        <f>(R19*'Travel Time - vehicles'!P$4/' Look Up Data'!$B$6)+(R24*'Travel Time - vehicles'!P$7/2)+(Emissions!R29*'Travel Time - vehicles'!P$7/2)</f>
        <v>451.5180543360097</v>
      </c>
      <c r="S6" s="167">
        <f>(S19*'Travel Time - vehicles'!Q$4/' Look Up Data'!$B$6)+(S24*'Travel Time - vehicles'!Q$7/2)+(Emissions!S29*'Travel Time - vehicles'!Q$7/2)</f>
        <v>445.0723041079691</v>
      </c>
      <c r="T6" s="167">
        <f>(T19*'Travel Time - vehicles'!R$4/' Look Up Data'!$B$6)+(T24*'Travel Time - vehicles'!R$7/2)+(Emissions!T29*'Travel Time - vehicles'!R$7/2)</f>
        <v>438.72086226103494</v>
      </c>
      <c r="U6" s="167">
        <f>(U19*'Travel Time - vehicles'!S$4/' Look Up Data'!$B$6)+(U24*'Travel Time - vehicles'!S$7/2)+(Emissions!U29*'Travel Time - vehicles'!S$7/2)</f>
        <v>432.46232598374638</v>
      </c>
      <c r="V6" s="167">
        <f>(V19*'Travel Time - vehicles'!T$4/' Look Up Data'!$B$6)+(V24*'Travel Time - vehicles'!T$7/2)+(Emissions!V29*'Travel Time - vehicles'!T$7/2)</f>
        <v>426.29531356407256</v>
      </c>
      <c r="W6" s="167">
        <f>(W19*'Travel Time - vehicles'!U$4/' Look Up Data'!$B$6)+(W24*'Travel Time - vehicles'!U$7/2)+(Emissions!W29*'Travel Time - vehicles'!U$7/2)</f>
        <v>420.21846406965847</v>
      </c>
      <c r="X6" s="167">
        <f>(X19*'Travel Time - vehicles'!V$4/' Look Up Data'!$B$6)+(X24*'Travel Time - vehicles'!V$7/2)+(Emissions!X29*'Travel Time - vehicles'!V$7/2)</f>
        <v>414.23043703294178</v>
      </c>
      <c r="Y6" s="167">
        <f>(Y19*'Travel Time - vehicles'!W$4/' Look Up Data'!$B$6)+(Y24*'Travel Time - vehicles'!W$7/2)+(Emissions!Y29*'Travel Time - vehicles'!W$7/2)</f>
        <v>408.32991214106607</v>
      </c>
      <c r="Z6" s="167">
        <f>(Z19*'Travel Time - vehicles'!X$4/' Look Up Data'!$B$6)+(Z24*'Travel Time - vehicles'!X$7/2)+(Emissions!Z29*'Travel Time - vehicles'!X$7/2)</f>
        <v>402.5155889305172</v>
      </c>
      <c r="AA6" s="167">
        <f>(AA19*'Travel Time - vehicles'!Y$4/' Look Up Data'!$B$6)+(AA24*'Travel Time - vehicles'!Y$7/2)+(Emissions!AA29*'Travel Time - vehicles'!Y$7/2)</f>
        <v>396.78618648641077</v>
      </c>
      <c r="AB6" s="167">
        <f>(AB19*'Travel Time - vehicles'!Z$4/' Look Up Data'!$B$6)+(AB24*'Travel Time - vehicles'!Z$7/2)+(Emissions!AB29*'Travel Time - vehicles'!Z$7/2)</f>
        <v>391.14044314635942</v>
      </c>
      <c r="AC6" s="167">
        <f>(AC19*'Travel Time - vehicles'!AA$4/' Look Up Data'!$B$6)+(AC24*'Travel Time - vehicles'!AA$7/2)+(Emissions!AC29*'Travel Time - vehicles'!AA$7/2)</f>
        <v>385.57711620884959</v>
      </c>
      <c r="AD6" s="167">
        <f>(AD19*'Travel Time - vehicles'!AB$4/' Look Up Data'!$B$6)+(AD24*'Travel Time - vehicles'!AB$7/2)+(Emissions!AD29*'Travel Time - vehicles'!AB$7/2)</f>
        <v>0</v>
      </c>
      <c r="AE6" s="102"/>
      <c r="AK6" s="68"/>
      <c r="AL6" s="68"/>
      <c r="AM6" s="68"/>
      <c r="AN6" s="68"/>
    </row>
    <row r="7" spans="1:40" s="67" customFormat="1" x14ac:dyDescent="0.25">
      <c r="A7" s="41" t="s">
        <v>147</v>
      </c>
      <c r="B7" s="85"/>
      <c r="C7" s="85"/>
      <c r="D7" s="102"/>
      <c r="E7" s="167">
        <f>(E20*'Travel Time - vehicles'!C$4/' Look Up Data'!$B$6)+(E25*'Travel Time - vehicles'!C$7/2)+(Emissions!E30*'Travel Time - vehicles'!C$7/2)</f>
        <v>1.6200372507202659E-2</v>
      </c>
      <c r="F7" s="167">
        <f>(F20*'Travel Time - vehicles'!D$4/' Look Up Data'!$B$6)+(F25*'Travel Time - vehicles'!D$7/2)+(Emissions!F30*'Travel Time - vehicles'!D$7/2)</f>
        <v>1.5544425053877504E-2</v>
      </c>
      <c r="G7" s="167">
        <f>(G20*'Travel Time - vehicles'!E$4/' Look Up Data'!$B$6)+(G25*'Travel Time - vehicles'!E$7/2)+(Emissions!G30*'Travel Time - vehicles'!E$7/2)</f>
        <v>1.4946226980892017E-2</v>
      </c>
      <c r="H7" s="167">
        <f>(H20*'Travel Time - vehicles'!F$4/' Look Up Data'!$B$6)+(H25*'Travel Time - vehicles'!F$7/2)+(Emissions!H30*'Travel Time - vehicles'!F$7/2)</f>
        <v>1.4395867329563352E-2</v>
      </c>
      <c r="I7" s="167">
        <f>(I20*'Travel Time - vehicles'!G$4/' Look Up Data'!$B$6)+(I25*'Travel Time - vehicles'!G$7/2)+(Emissions!I30*'Travel Time - vehicles'!G$7/2)</f>
        <v>1.3888717052806549E-2</v>
      </c>
      <c r="J7" s="167">
        <f>(J20*'Travel Time - vehicles'!H$4/' Look Up Data'!$B$6)+(J25*'Travel Time - vehicles'!H$7/2)+(Emissions!J30*'Travel Time - vehicles'!H$7/2)</f>
        <v>1.3420608680631548E-2</v>
      </c>
      <c r="K7" s="167">
        <f>(K20*'Travel Time - vehicles'!I$4/' Look Up Data'!$B$6)+(K25*'Travel Time - vehicles'!I$7/2)+(Emissions!K30*'Travel Time - vehicles'!I$7/2)</f>
        <v>1.2987790002320636E-2</v>
      </c>
      <c r="L7" s="167">
        <f>(L20*'Travel Time - vehicles'!J$4/' Look Up Data'!$B$6)+(L25*'Travel Time - vehicles'!J$7/2)+(Emissions!L30*'Travel Time - vehicles'!J$7/2)</f>
        <v>1.2586882410728107E-2</v>
      </c>
      <c r="M7" s="167">
        <f>(M20*'Travel Time - vehicles'!K$4/' Look Up Data'!$B$6)+(M25*'Travel Time - vehicles'!K$7/2)+(Emissions!M30*'Travel Time - vehicles'!K$7/2)</f>
        <v>1.2214843438307648E-2</v>
      </c>
      <c r="N7" s="167">
        <f>(N20*'Travel Time - vehicles'!L$4/' Look Up Data'!$B$6)+(N25*'Travel Time - vehicles'!L$7/2)+(Emissions!N30*'Travel Time - vehicles'!L$7/2)</f>
        <v>1.1868933062033189E-2</v>
      </c>
      <c r="O7" s="167">
        <f>(O20*'Travel Time - vehicles'!M$4/' Look Up Data'!$B$6)+(O25*'Travel Time - vehicles'!M$7/2)+(Emissions!O30*'Travel Time - vehicles'!M$7/2)</f>
        <v>1.1546683397121754E-2</v>
      </c>
      <c r="P7" s="167">
        <f>(P20*'Travel Time - vehicles'!N$4/' Look Up Data'!$B$6)+(P25*'Travel Time - vehicles'!N$7/2)+(Emissions!P30*'Travel Time - vehicles'!N$7/2)</f>
        <v>1.1245871437881041E-2</v>
      </c>
      <c r="Q7" s="167">
        <f>(Q20*'Travel Time - vehicles'!O$4/' Look Up Data'!$B$6)+(Q25*'Travel Time - vehicles'!O$7/2)+(Emissions!Q30*'Travel Time - vehicles'!O$7/2)</f>
        <v>1.0964494538528819E-2</v>
      </c>
      <c r="R7" s="167">
        <f>(R20*'Travel Time - vehicles'!P$4/' Look Up Data'!$B$6)+(R25*'Travel Time - vehicles'!P$7/2)+(Emissions!R30*'Travel Time - vehicles'!P$7/2)</f>
        <v>1.0700748357860706E-2</v>
      </c>
      <c r="S7" s="167">
        <f>(S20*'Travel Time - vehicles'!Q$4/' Look Up Data'!$B$6)+(S25*'Travel Time - vehicles'!Q$7/2)+(Emissions!S30*'Travel Time - vehicles'!Q$7/2)</f>
        <v>1.0453007019531429E-2</v>
      </c>
      <c r="T7" s="167">
        <f>(T20*'Travel Time - vehicles'!R$4/' Look Up Data'!$B$6)+(T25*'Travel Time - vehicles'!R$7/2)+(Emissions!T30*'Travel Time - vehicles'!R$7/2)</f>
        <v>1.0219805264781119E-2</v>
      </c>
      <c r="U7" s="167">
        <f>(U20*'Travel Time - vehicles'!S$4/' Look Up Data'!$B$6)+(U25*'Travel Time - vehicles'!S$7/2)+(Emissions!U30*'Travel Time - vehicles'!S$7/2)</f>
        <v>9.9998223969683282E-3</v>
      </c>
      <c r="V7" s="167">
        <f>(V20*'Travel Time - vehicles'!T$4/' Look Up Data'!$B$6)+(V25*'Travel Time - vehicles'!T$7/2)+(Emissions!V30*'Travel Time - vehicles'!T$7/2)</f>
        <v>9.791867837522587E-3</v>
      </c>
      <c r="W7" s="167">
        <f>(W20*'Travel Time - vehicles'!U$4/' Look Up Data'!$B$6)+(W25*'Travel Time - vehicles'!U$7/2)+(Emissions!W30*'Travel Time - vehicles'!U$7/2)</f>
        <v>9.5948681311321289E-3</v>
      </c>
      <c r="X7" s="167">
        <f>(X20*'Travel Time - vehicles'!V$4/' Look Up Data'!$B$6)+(X25*'Travel Time - vehicles'!V$7/2)+(Emissions!X30*'Travel Time - vehicles'!V$7/2)</f>
        <v>9.4078552543447533E-3</v>
      </c>
      <c r="Y7" s="167">
        <f>(Y20*'Travel Time - vehicles'!W$4/' Look Up Data'!$B$6)+(Y25*'Travel Time - vehicles'!W$7/2)+(Emissions!Y30*'Travel Time - vehicles'!W$7/2)</f>
        <v>9.2299560964678208E-3</v>
      </c>
      <c r="Z7" s="167">
        <f>(Z20*'Travel Time - vehicles'!X$4/' Look Up Data'!$B$6)+(Z25*'Travel Time - vehicles'!X$7/2)+(Emissions!Z30*'Travel Time - vehicles'!X$7/2)</f>
        <v>9.060382994874782E-3</v>
      </c>
      <c r="AA7" s="167">
        <f>(AA20*'Travel Time - vehicles'!Y$4/' Look Up Data'!$B$6)+(AA25*'Travel Time - vehicles'!Y$7/2)+(Emissions!AA30*'Travel Time - vehicles'!Y$7/2)</f>
        <v>8.8984252187110039E-3</v>
      </c>
      <c r="AB7" s="167">
        <f>(AB20*'Travel Time - vehicles'!Z$4/' Look Up Data'!$B$6)+(AB25*'Travel Time - vehicles'!Z$7/2)+(Emissions!AB30*'Travel Time - vehicles'!Z$7/2)</f>
        <v>8.7434413056761175E-3</v>
      </c>
      <c r="AC7" s="167">
        <f>(AC20*'Travel Time - vehicles'!AA$4/' Look Up Data'!$B$6)+(AC25*'Travel Time - vehicles'!AA$7/2)+(Emissions!AC30*'Travel Time - vehicles'!AA$7/2)</f>
        <v>8.5948521661653524E-3</v>
      </c>
      <c r="AD7" s="167">
        <f>(AD20*'Travel Time - vehicles'!AB$4/' Look Up Data'!$B$6)+(AD25*'Travel Time - vehicles'!AB$7/2)+(Emissions!AD30*'Travel Time - vehicles'!AB$7/2)</f>
        <v>0</v>
      </c>
      <c r="AE7" s="102"/>
      <c r="AK7" s="68"/>
      <c r="AL7" s="68"/>
      <c r="AM7" s="68"/>
      <c r="AN7" s="68"/>
    </row>
    <row r="8" spans="1:40" s="67" customFormat="1" x14ac:dyDescent="0.25">
      <c r="A8" s="90" t="s">
        <v>150</v>
      </c>
      <c r="B8" s="85"/>
      <c r="C8" s="85"/>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K8" s="68"/>
      <c r="AL8" s="68"/>
      <c r="AM8" s="68"/>
      <c r="AN8" s="68"/>
    </row>
    <row r="9" spans="1:40" x14ac:dyDescent="0.25">
      <c r="A9" s="41" t="s">
        <v>104</v>
      </c>
      <c r="B9" s="64" t="s">
        <v>18</v>
      </c>
      <c r="C9" s="64" t="s">
        <v>18</v>
      </c>
      <c r="D9" s="64" t="s">
        <v>18</v>
      </c>
      <c r="E9" s="164">
        <f>(E34*'Travel Time - vehicles'!B$4/' Look Up Data'!$B$6)+(E39*'Travel Time - vehicles'!B$7/2)+(Emissions!E44*'Travel Time - vehicles'!B$7/2)</f>
        <v>0</v>
      </c>
      <c r="F9" s="164">
        <f>(F34*'Travel Time - vehicles'!C$4/' Look Up Data'!$B$6)+(F39*'Travel Time - vehicles'!C$7/2)+(Emissions!F44*'Travel Time - vehicles'!C$7/2)</f>
        <v>6961.4118928117878</v>
      </c>
      <c r="G9" s="164">
        <f>(G34*'Travel Time - vehicles'!D$4/' Look Up Data'!$B$6)+(G39*'Travel Time - vehicles'!D$7/2)+(Emissions!G44*'Travel Time - vehicles'!D$7/2)</f>
        <v>6450.4100086072467</v>
      </c>
      <c r="H9" s="164">
        <f>(H34*'Travel Time - vehicles'!E$4/' Look Up Data'!$B$6)+(H39*'Travel Time - vehicles'!E$7/2)+(Emissions!H44*'Travel Time - vehicles'!E$7/2)</f>
        <v>6016.2143984737831</v>
      </c>
      <c r="I9" s="164">
        <f>(I34*'Travel Time - vehicles'!F$4/' Look Up Data'!$B$6)+(I39*'Travel Time - vehicles'!F$7/2)+(Emissions!I44*'Travel Time - vehicles'!F$7/2)</f>
        <v>5582.6492187536596</v>
      </c>
      <c r="J9" s="164">
        <f>(J34*'Travel Time - vehicles'!G$4/' Look Up Data'!$B$6)+(J39*'Travel Time - vehicles'!G$7/2)+(Emissions!J44*'Travel Time - vehicles'!G$7/2)</f>
        <v>5184.2281733049876</v>
      </c>
      <c r="K9" s="164">
        <f>(K34*'Travel Time - vehicles'!H$4/' Look Up Data'!$B$6)+(K39*'Travel Time - vehicles'!H$7/2)+(Emissions!K44*'Travel Time - vehicles'!H$7/2)</f>
        <v>4764.0098158013825</v>
      </c>
      <c r="L9" s="164">
        <f>(L34*'Travel Time - vehicles'!I$4/' Look Up Data'!$B$6)+(L39*'Travel Time - vehicles'!I$7/2)+(Emissions!L44*'Travel Time - vehicles'!I$7/2)</f>
        <v>4455.9091394817897</v>
      </c>
      <c r="M9" s="164">
        <f>(M34*'Travel Time - vehicles'!J$4/' Look Up Data'!$B$6)+(M39*'Travel Time - vehicles'!J$7/2)+(Emissions!M44*'Travel Time - vehicles'!J$7/2)</f>
        <v>4101.7764456980067</v>
      </c>
      <c r="N9" s="164">
        <f>(N34*'Travel Time - vehicles'!K$4/' Look Up Data'!$B$6)+(N39*'Travel Time - vehicles'!K$7/2)+(Emissions!N44*'Travel Time - vehicles'!K$7/2)</f>
        <v>3778.9715930846301</v>
      </c>
      <c r="O9" s="164">
        <f>(O34*'Travel Time - vehicles'!L$4/' Look Up Data'!$B$6)+(O39*'Travel Time - vehicles'!L$7/2)+(Emissions!O44*'Travel Time - vehicles'!L$7/2)</f>
        <v>3484.4599945232212</v>
      </c>
      <c r="P9" s="164">
        <f>(P34*'Travel Time - vehicles'!M$4/' Look Up Data'!$B$6)+(P39*'Travel Time - vehicles'!M$7/2)+(Emissions!P44*'Travel Time - vehicles'!M$7/2)</f>
        <v>3215.5206241039946</v>
      </c>
      <c r="Q9" s="164">
        <f>(Q34*'Travel Time - vehicles'!N$4/' Look Up Data'!$B$6)+(Q39*'Travel Time - vehicles'!N$7/2)+(Emissions!Q44*'Travel Time - vehicles'!N$7/2)</f>
        <v>2969.7122783183199</v>
      </c>
      <c r="R9" s="164">
        <f>(R34*'Travel Time - vehicles'!O$4/' Look Up Data'!$B$6)+(R39*'Travel Time - vehicles'!O$7/2)+(Emissions!R44*'Travel Time - vehicles'!O$7/2)</f>
        <v>2744.8435534258388</v>
      </c>
      <c r="S9" s="164">
        <f>(S34*'Travel Time - vehicles'!P$4/' Look Up Data'!$B$6)+(S39*'Travel Time - vehicles'!P$7/2)+(Emissions!S44*'Travel Time - vehicles'!P$7/2)</f>
        <v>2538.9461243651122</v>
      </c>
      <c r="T9" s="164">
        <f>(T34*'Travel Time - vehicles'!Q$4/' Look Up Data'!$B$6)+(T39*'Travel Time - vehicles'!Q$7/2)+(Emissions!T44*'Travel Time - vehicles'!Q$7/2)</f>
        <v>2350.2509571608416</v>
      </c>
      <c r="U9" s="164">
        <f>(U34*'Travel Time - vehicles'!R$4/' Look Up Data'!$B$6)+(U39*'Travel Time - vehicles'!R$7/2)+(Emissions!U44*'Travel Time - vehicles'!R$7/2)</f>
        <v>2177.1671281118042</v>
      </c>
      <c r="V9" s="164">
        <f>(V34*'Travel Time - vehicles'!S$4/' Look Up Data'!$B$6)+(V39*'Travel Time - vehicles'!S$7/2)+(Emissions!V44*'Travel Time - vehicles'!S$7/2)</f>
        <v>2018.2629597151288</v>
      </c>
      <c r="W9" s="164">
        <f>(W34*'Travel Time - vehicles'!T$4/' Look Up Data'!$B$6)+(W39*'Travel Time - vehicles'!T$7/2)+(Emissions!W44*'Travel Time - vehicles'!T$7/2)</f>
        <v>1872.249215820907</v>
      </c>
      <c r="X9" s="164">
        <f>(X34*'Travel Time - vehicles'!U$4/' Look Up Data'!$B$6)+(X39*'Travel Time - vehicles'!U$7/2)+(Emissions!X44*'Travel Time - vehicles'!U$7/2)</f>
        <v>1737.9641273831367</v>
      </c>
      <c r="Y9" s="164">
        <f>(Y34*'Travel Time - vehicles'!V$4/' Look Up Data'!$B$6)+(Y39*'Travel Time - vehicles'!V$7/2)+(Emissions!Y44*'Travel Time - vehicles'!V$7/2)</f>
        <v>1614.3600457928173</v>
      </c>
      <c r="Z9" s="164">
        <f>(Z34*'Travel Time - vehicles'!W$4/' Look Up Data'!$B$6)+(Z39*'Travel Time - vehicles'!W$7/2)+(Emissions!Z44*'Travel Time - vehicles'!W$7/2)</f>
        <v>1500.4915435137943</v>
      </c>
      <c r="AA9" s="164">
        <f>(AA34*'Travel Time - vehicles'!X$4/' Look Up Data'!$B$6)+(AA39*'Travel Time - vehicles'!X$7/2)+(Emissions!AA44*'Travel Time - vehicles'!X$7/2)</f>
        <v>1395.5048019174783</v>
      </c>
      <c r="AB9" s="164">
        <f>(AB34*'Travel Time - vehicles'!Y$4/' Look Up Data'!$B$6)+(AB39*'Travel Time - vehicles'!Y$7/2)+(Emissions!AB44*'Travel Time - vehicles'!Y$7/2)</f>
        <v>1298.6281441177068</v>
      </c>
      <c r="AC9" s="164">
        <f>(AC34*'Travel Time - vehicles'!Z$4/' Look Up Data'!$B$6)+(AC39*'Travel Time - vehicles'!Z$7/2)+(Emissions!AC44*'Travel Time - vehicles'!Z$7/2)</f>
        <v>1209.163586498018</v>
      </c>
      <c r="AD9" s="164">
        <f>(AD34*'Travel Time - vehicles'!AA$4/' Look Up Data'!$B$6)+(AD39*'Travel Time - vehicles'!AA$7/2)+(Emissions!AD44*'Travel Time - vehicles'!AA$7/2)</f>
        <v>1126.4792967277426</v>
      </c>
      <c r="AE9" s="65"/>
      <c r="AK9" s="8"/>
      <c r="AL9" s="8"/>
      <c r="AM9" s="8"/>
      <c r="AN9" s="8"/>
    </row>
    <row r="10" spans="1:40" x14ac:dyDescent="0.25">
      <c r="A10" s="41" t="s">
        <v>48</v>
      </c>
      <c r="B10" s="64" t="s">
        <v>18</v>
      </c>
      <c r="C10" s="64" t="s">
        <v>18</v>
      </c>
      <c r="D10" s="64" t="s">
        <v>18</v>
      </c>
      <c r="E10" s="164">
        <f>(E35*'Travel Time - vehicles'!B$4/' Look Up Data'!$B$6)+(E40*'Travel Time - vehicles'!B$7/2)+(Emissions!E45*'Travel Time - vehicles'!B$7/2)</f>
        <v>0</v>
      </c>
      <c r="F10" s="164">
        <f>(F35*'Travel Time - vehicles'!C$4/' Look Up Data'!$B$6)+(F40*'Travel Time - vehicles'!C$7/2)+(Emissions!F45*'Travel Time - vehicles'!C$7/2)</f>
        <v>130.91888879445708</v>
      </c>
      <c r="G10" s="164">
        <f>(G35*'Travel Time - vehicles'!D$4/' Look Up Data'!$B$6)+(G40*'Travel Time - vehicles'!D$7/2)+(Emissions!G45*'Travel Time - vehicles'!D$7/2)</f>
        <v>130.65823761155372</v>
      </c>
      <c r="H10" s="164">
        <f>(H35*'Travel Time - vehicles'!E$4/' Look Up Data'!$B$6)+(H40*'Travel Time - vehicles'!E$7/2)+(Emissions!H45*'Travel Time - vehicles'!E$7/2)</f>
        <v>130.65873663952453</v>
      </c>
      <c r="I10" s="164">
        <f>(I35*'Travel Time - vehicles'!F$4/' Look Up Data'!$B$6)+(I40*'Travel Time - vehicles'!F$7/2)+(Emissions!I45*'Travel Time - vehicles'!F$7/2)</f>
        <v>130.62973939183064</v>
      </c>
      <c r="J10" s="164">
        <f>(J35*'Travel Time - vehicles'!G$4/' Look Up Data'!$B$6)+(J40*'Travel Time - vehicles'!G$7/2)+(Emissions!J45*'Travel Time - vehicles'!G$7/2)</f>
        <v>130.57215646621708</v>
      </c>
      <c r="K10" s="164">
        <f>(K35*'Travel Time - vehicles'!H$4/' Look Up Data'!$B$6)+(K40*'Travel Time - vehicles'!H$7/2)+(Emissions!K45*'Travel Time - vehicles'!H$7/2)</f>
        <v>130.21671801526099</v>
      </c>
      <c r="L10" s="164">
        <f>(L35*'Travel Time - vehicles'!I$4/' Look Up Data'!$B$6)+(L40*'Travel Time - vehicles'!I$7/2)+(Emissions!L45*'Travel Time - vehicles'!I$7/2)</f>
        <v>128.24620234715405</v>
      </c>
      <c r="M10" s="164">
        <f>(M35*'Travel Time - vehicles'!J$4/' Look Up Data'!$B$6)+(M40*'Travel Time - vehicles'!J$7/2)+(Emissions!M45*'Travel Time - vehicles'!J$7/2)</f>
        <v>126.30599847080056</v>
      </c>
      <c r="N10" s="164">
        <f>(N35*'Travel Time - vehicles'!K$4/' Look Up Data'!$B$6)+(N40*'Travel Time - vehicles'!K$7/2)+(Emissions!N45*'Travel Time - vehicles'!K$7/2)</f>
        <v>124.39563536072814</v>
      </c>
      <c r="O10" s="164">
        <f>(O35*'Travel Time - vehicles'!L$4/' Look Up Data'!$B$6)+(O40*'Travel Time - vehicles'!L$7/2)+(Emissions!O45*'Travel Time - vehicles'!L$7/2)</f>
        <v>122.5146493580242</v>
      </c>
      <c r="P10" s="164">
        <f>(P35*'Travel Time - vehicles'!M$4/' Look Up Data'!$B$6)+(P40*'Travel Time - vehicles'!M$7/2)+(Emissions!P45*'Travel Time - vehicles'!M$7/2)</f>
        <v>120.66258405464202</v>
      </c>
      <c r="Q10" s="164">
        <f>(Q35*'Travel Time - vehicles'!N$4/' Look Up Data'!$B$6)+(Q40*'Travel Time - vehicles'!N$7/2)+(Emissions!Q45*'Travel Time - vehicles'!N$7/2)</f>
        <v>118.83899017952922</v>
      </c>
      <c r="R10" s="164">
        <f>(R35*'Travel Time - vehicles'!O$4/' Look Up Data'!$B$6)+(R40*'Travel Time - vehicles'!O$7/2)+(Emissions!R45*'Travel Time - vehicles'!O$7/2)</f>
        <v>117.04342548654921</v>
      </c>
      <c r="S10" s="164">
        <f>(S35*'Travel Time - vehicles'!P$4/' Look Up Data'!$B$6)+(S40*'Travel Time - vehicles'!P$7/2)+(Emissions!S45*'Travel Time - vehicles'!P$7/2)</f>
        <v>115.27545464416843</v>
      </c>
      <c r="T10" s="164">
        <f>(T35*'Travel Time - vehicles'!Q$4/' Look Up Data'!$B$6)+(T40*'Travel Time - vehicles'!Q$7/2)+(Emissions!T45*'Travel Time - vehicles'!Q$7/2)</f>
        <v>113.53464912688021</v>
      </c>
      <c r="U10" s="164">
        <f>(U35*'Travel Time - vehicles'!R$4/' Look Up Data'!$B$6)+(U40*'Travel Time - vehicles'!R$7/2)+(Emissions!U45*'Travel Time - vehicles'!R$7/2)</f>
        <v>111.820587108339</v>
      </c>
      <c r="V10" s="164">
        <f>(V35*'Travel Time - vehicles'!S$4/' Look Up Data'!$B$6)+(V40*'Travel Time - vehicles'!S$7/2)+(Emissions!V45*'Travel Time - vehicles'!S$7/2)</f>
        <v>110.13285335617716</v>
      </c>
      <c r="W10" s="164">
        <f>(W35*'Travel Time - vehicles'!T$4/' Look Up Data'!$B$6)+(W40*'Travel Time - vehicles'!T$7/2)+(Emissions!W45*'Travel Time - vehicles'!T$7/2)</f>
        <v>108.47103912847825</v>
      </c>
      <c r="X10" s="164">
        <f>(X35*'Travel Time - vehicles'!U$4/' Look Up Data'!$B$6)+(X40*'Travel Time - vehicles'!U$7/2)+(Emissions!X45*'Travel Time - vehicles'!U$7/2)</f>
        <v>106.83474207188038</v>
      </c>
      <c r="Y10" s="164">
        <f>(Y35*'Travel Time - vehicles'!V$4/' Look Up Data'!$B$6)+(Y40*'Travel Time - vehicles'!V$7/2)+(Emissions!Y45*'Travel Time - vehicles'!V$7/2)</f>
        <v>105.22356612128421</v>
      </c>
      <c r="Z10" s="164">
        <f>(Z35*'Travel Time - vehicles'!W$4/' Look Up Data'!$B$6)+(Z40*'Travel Time - vehicles'!W$7/2)+(Emissions!Z45*'Travel Time - vehicles'!W$7/2)</f>
        <v>103.63712140113978</v>
      </c>
      <c r="AA10" s="164">
        <f>(AA35*'Travel Time - vehicles'!X$4/' Look Up Data'!$B$6)+(AA40*'Travel Time - vehicles'!X$7/2)+(Emissions!AA45*'Travel Time - vehicles'!X$7/2)</f>
        <v>102.07502412828804</v>
      </c>
      <c r="AB10" s="164">
        <f>(AB35*'Travel Time - vehicles'!Y$4/' Look Up Data'!$B$6)+(AB40*'Travel Time - vehicles'!Y$7/2)+(Emissions!AB45*'Travel Time - vehicles'!Y$7/2)</f>
        <v>100.53689651633159</v>
      </c>
      <c r="AC10" s="164">
        <f>(AC35*'Travel Time - vehicles'!Z$4/' Look Up Data'!$B$6)+(AC40*'Travel Time - vehicles'!Z$7/2)+(Emissions!AC45*'Travel Time - vehicles'!Z$7/2)</f>
        <v>99.0223666815114</v>
      </c>
      <c r="AD10" s="164">
        <f>(AD35*'Travel Time - vehicles'!AA$4/' Look Up Data'!$B$6)+(AD40*'Travel Time - vehicles'!AA$7/2)+(Emissions!AD45*'Travel Time - vehicles'!AA$7/2)</f>
        <v>97.531068550065157</v>
      </c>
      <c r="AE10" s="65"/>
    </row>
    <row r="11" spans="1:40" ht="18" x14ac:dyDescent="0.25">
      <c r="A11" s="155" t="s">
        <v>119</v>
      </c>
      <c r="B11" s="64" t="s">
        <v>18</v>
      </c>
      <c r="C11" s="64" t="s">
        <v>18</v>
      </c>
      <c r="D11" s="64" t="s">
        <v>18</v>
      </c>
      <c r="E11" s="165">
        <f>(E36*'Travel Time - vehicles'!B$4/' Look Up Data'!$B$6)+(E41*'Travel Time - vehicles'!B$7/2)+(Emissions!E46*'Travel Time - vehicles'!B$7/2)</f>
        <v>0</v>
      </c>
      <c r="F11" s="165">
        <f>(F36*'Travel Time - vehicles'!C$4/' Look Up Data'!$B$6)+(F41*'Travel Time - vehicles'!C$7/2)+(Emissions!F46*'Travel Time - vehicles'!C$7/2)</f>
        <v>29834.884623063797</v>
      </c>
      <c r="G11" s="165">
        <f>(G36*'Travel Time - vehicles'!D$4/' Look Up Data'!$B$6)+(G41*'Travel Time - vehicles'!D$7/2)+(Emissions!G46*'Travel Time - vehicles'!D$7/2)</f>
        <v>29932.302025834408</v>
      </c>
      <c r="H11" s="165">
        <f>(H36*'Travel Time - vehicles'!E$4/' Look Up Data'!$B$6)+(H41*'Travel Time - vehicles'!E$7/2)+(Emissions!H46*'Travel Time - vehicles'!E$7/2)</f>
        <v>30020.944118579944</v>
      </c>
      <c r="I11" s="165">
        <f>(I36*'Travel Time - vehicles'!F$4/' Look Up Data'!$B$6)+(I41*'Travel Time - vehicles'!F$7/2)+(Emissions!I46*'Travel Time - vehicles'!F$7/2)</f>
        <v>30101.048564795248</v>
      </c>
      <c r="J11" s="165">
        <f>(J36*'Travel Time - vehicles'!G$4/' Look Up Data'!$B$6)+(J41*'Travel Time - vehicles'!G$7/2)+(Emissions!J46*'Travel Time - vehicles'!G$7/2)</f>
        <v>30172.847856195571</v>
      </c>
      <c r="K11" s="165">
        <f>(K36*'Travel Time - vehicles'!H$4/' Look Up Data'!$B$6)+(K41*'Travel Time - vehicles'!H$7/2)+(Emissions!K46*'Travel Time - vehicles'!H$7/2)</f>
        <v>30236.569415221355</v>
      </c>
      <c r="L11" s="165">
        <f>(L36*'Travel Time - vehicles'!I$4/' Look Up Data'!$B$6)+(L41*'Travel Time - vehicles'!I$7/2)+(Emissions!L46*'Travel Time - vehicles'!I$7/2)</f>
        <v>30292.435695614113</v>
      </c>
      <c r="M11" s="165">
        <f>(M36*'Travel Time - vehicles'!J$4/' Look Up Data'!$B$6)+(M41*'Travel Time - vehicles'!J$7/2)+(Emissions!M46*'Travel Time - vehicles'!J$7/2)</f>
        <v>30340.664281098492</v>
      </c>
      <c r="N11" s="165">
        <f>(N36*'Travel Time - vehicles'!K$4/' Look Up Data'!$B$6)+(N41*'Travel Time - vehicles'!K$7/2)+(Emissions!N46*'Travel Time - vehicles'!K$7/2)</f>
        <v>30381.467982205075</v>
      </c>
      <c r="O11" s="165">
        <f>(O36*'Travel Time - vehicles'!L$4/' Look Up Data'!$B$6)+(O41*'Travel Time - vehicles'!L$7/2)+(Emissions!O46*'Travel Time - vehicles'!L$7/2)</f>
        <v>30882.978853287208</v>
      </c>
      <c r="P11" s="165">
        <f>(P36*'Travel Time - vehicles'!M$4/' Look Up Data'!$B$6)+(P41*'Travel Time - vehicles'!M$7/2)+(Emissions!P46*'Travel Time - vehicles'!M$7/2)</f>
        <v>30902.865473744259</v>
      </c>
      <c r="Q11" s="165">
        <f>(Q36*'Travel Time - vehicles'!N$4/' Look Up Data'!$B$6)+(Q41*'Travel Time - vehicles'!N$7/2)+(Emissions!Q46*'Travel Time - vehicles'!N$7/2)</f>
        <v>30916.035855190101</v>
      </c>
      <c r="R11" s="165">
        <f>(R36*'Travel Time - vehicles'!O$4/' Look Up Data'!$B$6)+(R41*'Travel Time - vehicles'!O$7/2)+(Emissions!R46*'Travel Time - vehicles'!O$7/2)</f>
        <v>30922.683190450745</v>
      </c>
      <c r="S11" s="165">
        <f>(S36*'Travel Time - vehicles'!P$4/' Look Up Data'!$B$6)+(S41*'Travel Time - vehicles'!P$7/2)+(Emissions!S46*'Travel Time - vehicles'!P$7/2)</f>
        <v>30922.996378471169</v>
      </c>
      <c r="T11" s="165">
        <f>(T36*'Travel Time - vehicles'!Q$4/' Look Up Data'!$B$6)+(T41*'Travel Time - vehicles'!Q$7/2)+(Emissions!T46*'Travel Time - vehicles'!Q$7/2)</f>
        <v>30917.160110340574</v>
      </c>
      <c r="U11" s="165">
        <f>(U36*'Travel Time - vehicles'!R$4/' Look Up Data'!$B$6)+(U41*'Travel Time - vehicles'!R$7/2)+(Emissions!U46*'Travel Time - vehicles'!R$7/2)</f>
        <v>30905.354953688162</v>
      </c>
      <c r="V11" s="165">
        <f>(V36*'Travel Time - vehicles'!S$4/' Look Up Data'!$B$6)+(V41*'Travel Time - vehicles'!S$7/2)+(Emissions!V46*'Travel Time - vehicles'!S$7/2)</f>
        <v>30887.757435479256</v>
      </c>
      <c r="W11" s="165">
        <f>(W36*'Travel Time - vehicles'!T$4/' Look Up Data'!$B$6)+(W41*'Travel Time - vehicles'!T$7/2)+(Emissions!W46*'Travel Time - vehicles'!T$7/2)</f>
        <v>31281.628503284905</v>
      </c>
      <c r="X11" s="165">
        <f>(X36*'Travel Time - vehicles'!U$4/' Look Up Data'!$B$6)+(X41*'Travel Time - vehicles'!U$7/2)+(Emissions!X46*'Travel Time - vehicles'!U$7/2)</f>
        <v>31247.016660810317</v>
      </c>
      <c r="Y11" s="165">
        <f>(Y36*'Travel Time - vehicles'!V$4/' Look Up Data'!$B$6)+(Y41*'Travel Time - vehicles'!V$7/2)+(Emissions!Y46*'Travel Time - vehicles'!V$7/2)</f>
        <v>31207.205448636909</v>
      </c>
      <c r="Z11" s="165">
        <f>(Z36*'Travel Time - vehicles'!W$4/' Look Up Data'!$B$6)+(Z41*'Travel Time - vehicles'!W$7/2)+(Emissions!Z46*'Travel Time - vehicles'!W$7/2)</f>
        <v>31162.354737279871</v>
      </c>
      <c r="AA11" s="165">
        <f>(AA36*'Travel Time - vehicles'!X$4/' Look Up Data'!$B$6)+(AA41*'Travel Time - vehicles'!X$7/2)+(Emissions!AA46*'Travel Time - vehicles'!X$7/2)</f>
        <v>31112.620766985772</v>
      </c>
      <c r="AB11" s="165">
        <f>(AB36*'Travel Time - vehicles'!Y$4/' Look Up Data'!$B$6)+(AB41*'Travel Time - vehicles'!Y$7/2)+(Emissions!AB46*'Travel Time - vehicles'!Y$7/2)</f>
        <v>31058.156221233588</v>
      </c>
      <c r="AC11" s="165">
        <f>(AC36*'Travel Time - vehicles'!Z$4/' Look Up Data'!$B$6)+(AC41*'Travel Time - vehicles'!Z$7/2)+(Emissions!AC46*'Travel Time - vehicles'!Z$7/2)</f>
        <v>30999.110298834581</v>
      </c>
      <c r="AD11" s="165">
        <f>(AD36*'Travel Time - vehicles'!AA$4/' Look Up Data'!$B$6)+(AD41*'Travel Time - vehicles'!AA$7/2)+(Emissions!AD46*'Travel Time - vehicles'!AA$7/2)</f>
        <v>31312.892550323533</v>
      </c>
      <c r="AE11" s="66"/>
      <c r="AK11" s="3"/>
      <c r="AL11" s="3"/>
      <c r="AM11" s="3"/>
      <c r="AN11" s="3"/>
    </row>
    <row r="12" spans="1:40" x14ac:dyDescent="0.25">
      <c r="A12" s="41" t="s">
        <v>59</v>
      </c>
      <c r="B12" s="64" t="s">
        <v>18</v>
      </c>
      <c r="C12" s="64" t="s">
        <v>18</v>
      </c>
      <c r="D12" s="64" t="s">
        <v>18</v>
      </c>
      <c r="E12" s="164">
        <f>(E37*'Travel Time - vehicles'!B$4/' Look Up Data'!$B$6)+(E42*'Travel Time - vehicles'!B$7/2)+(Emissions!E47*'Travel Time - vehicles'!B$7/2)</f>
        <v>0</v>
      </c>
      <c r="F12" s="164">
        <f>(F37*'Travel Time - vehicles'!C$4/' Look Up Data'!$B$6)+(F42*'Travel Time - vehicles'!C$7/2)+(Emissions!F47*'Travel Time - vehicles'!C$7/2)</f>
        <v>12290.453981270073</v>
      </c>
      <c r="G12" s="164">
        <f>(G37*'Travel Time - vehicles'!D$4/' Look Up Data'!$B$6)+(G42*'Travel Time - vehicles'!D$7/2)+(Emissions!G47*'Travel Time - vehicles'!D$7/2)</f>
        <v>11979.179264577691</v>
      </c>
      <c r="H12" s="164">
        <f>(H37*'Travel Time - vehicles'!E$4/' Look Up Data'!$B$6)+(H42*'Travel Time - vehicles'!E$7/2)+(Emissions!H47*'Travel Time - vehicles'!E$7/2)</f>
        <v>11696.678033963231</v>
      </c>
      <c r="I12" s="164">
        <f>(I37*'Travel Time - vehicles'!F$4/' Look Up Data'!$B$6)+(I42*'Travel Time - vehicles'!F$7/2)+(Emissions!I47*'Travel Time - vehicles'!F$7/2)</f>
        <v>11439.012129534971</v>
      </c>
      <c r="J12" s="164">
        <f>(J37*'Travel Time - vehicles'!G$4/' Look Up Data'!$B$6)+(J42*'Travel Time - vehicles'!G$7/2)+(Emissions!J47*'Travel Time - vehicles'!G$7/2)</f>
        <v>11205.324475074374</v>
      </c>
      <c r="K12" s="164">
        <f>(K37*'Travel Time - vehicles'!H$4/' Look Up Data'!$B$6)+(K42*'Travel Time - vehicles'!H$7/2)+(Emissions!K47*'Travel Time - vehicles'!H$7/2)</f>
        <v>10992.19642994612</v>
      </c>
      <c r="L12" s="164">
        <f>(L37*'Travel Time - vehicles'!I$4/' Look Up Data'!$B$6)+(L42*'Travel Time - vehicles'!I$7/2)+(Emissions!L47*'Travel Time - vehicles'!I$7/2)</f>
        <v>10652.888896004295</v>
      </c>
      <c r="M12" s="164">
        <f>(M37*'Travel Time - vehicles'!J$4/' Look Up Data'!$B$6)+(M42*'Travel Time - vehicles'!J$7/2)+(Emissions!M47*'Travel Time - vehicles'!J$7/2)</f>
        <v>10338.014274247224</v>
      </c>
      <c r="N12" s="164">
        <f>(N37*'Travel Time - vehicles'!K$4/' Look Up Data'!$B$6)+(N42*'Travel Time - vehicles'!K$7/2)+(Emissions!N47*'Travel Time - vehicles'!K$7/2)</f>
        <v>10045.25355032991</v>
      </c>
      <c r="O12" s="164">
        <f>(O37*'Travel Time - vehicles'!L$4/' Look Up Data'!$B$6)+(O42*'Travel Time - vehicles'!L$7/2)+(Emissions!O47*'Travel Time - vehicles'!L$7/2)</f>
        <v>9772.5180336979101</v>
      </c>
      <c r="P12" s="164">
        <f>(P37*'Travel Time - vehicles'!M$4/' Look Up Data'!$B$6)+(P42*'Travel Time - vehicles'!M$7/2)+(Emissions!P47*'Travel Time - vehicles'!M$7/2)</f>
        <v>9517.9262868449005</v>
      </c>
      <c r="Q12" s="164">
        <f>(Q37*'Travel Time - vehicles'!N$4/' Look Up Data'!$B$6)+(Q42*'Travel Time - vehicles'!N$7/2)+(Emissions!Q47*'Travel Time - vehicles'!N$7/2)</f>
        <v>9279.7833735412405</v>
      </c>
      <c r="R12" s="164">
        <f>(R37*'Travel Time - vehicles'!O$4/' Look Up Data'!$B$6)+(R42*'Travel Time - vehicles'!O$7/2)+(Emissions!R47*'Travel Time - vehicles'!O$7/2)</f>
        <v>9056.5621923368999</v>
      </c>
      <c r="S12" s="164">
        <f>(S37*'Travel Time - vehicles'!P$4/' Look Up Data'!$B$6)+(S42*'Travel Time - vehicles'!P$7/2)+(Emissions!S47*'Travel Time - vehicles'!P$7/2)</f>
        <v>8846.886685245503</v>
      </c>
      <c r="T12" s="164">
        <f>(T37*'Travel Time - vehicles'!Q$4/' Look Up Data'!$B$6)+(T42*'Travel Time - vehicles'!Q$7/2)+(Emissions!T47*'Travel Time - vehicles'!Q$7/2)</f>
        <v>8649.5167327312156</v>
      </c>
      <c r="U12" s="164">
        <f>(U37*'Travel Time - vehicles'!R$4/' Look Up Data'!$B$6)+(U42*'Travel Time - vehicles'!R$7/2)+(Emissions!U47*'Travel Time - vehicles'!R$7/2)</f>
        <v>8463.3345651885484</v>
      </c>
      <c r="V12" s="164">
        <f>(V37*'Travel Time - vehicles'!S$4/' Look Up Data'!$B$6)+(V42*'Travel Time - vehicles'!S$7/2)+(Emissions!V47*'Travel Time - vehicles'!S$7/2)</f>
        <v>8287.3325382446201</v>
      </c>
      <c r="W12" s="164">
        <f>(W37*'Travel Time - vehicles'!T$4/' Look Up Data'!$B$6)+(W42*'Travel Time - vehicles'!T$7/2)+(Emissions!W47*'Travel Time - vehicles'!T$7/2)</f>
        <v>8120.6021346194702</v>
      </c>
      <c r="X12" s="164">
        <f>(X37*'Travel Time - vehicles'!U$4/' Look Up Data'!$B$6)+(X42*'Travel Time - vehicles'!U$7/2)+(Emissions!X47*'Travel Time - vehicles'!U$7/2)</f>
        <v>7962.324069128048</v>
      </c>
      <c r="Y12" s="164">
        <f>(Y37*'Travel Time - vehicles'!V$4/' Look Up Data'!$B$6)+(Y42*'Travel Time - vehicles'!V$7/2)+(Emissions!Y47*'Travel Time - vehicles'!V$7/2)</f>
        <v>7811.7593858558494</v>
      </c>
      <c r="Z12" s="164">
        <f>(Z37*'Travel Time - vehicles'!W$4/' Look Up Data'!$B$6)+(Z42*'Travel Time - vehicles'!W$7/2)+(Emissions!Z47*'Travel Time - vehicles'!W$7/2)</f>
        <v>7668.2414477298989</v>
      </c>
      <c r="AA12" s="164">
        <f>(AA37*'Travel Time - vehicles'!X$4/' Look Up Data'!$B$6)+(AA42*'Travel Time - vehicles'!X$7/2)+(Emissions!AA47*'Travel Time - vehicles'!X$7/2)</f>
        <v>7531.1687287660561</v>
      </c>
      <c r="AB12" s="164">
        <f>(AB37*'Travel Time - vehicles'!Y$4/' Look Up Data'!$B$6)+(AB42*'Travel Time - vehicles'!Y$7/2)+(Emissions!AB47*'Travel Time - vehicles'!Y$7/2)</f>
        <v>7399.9983283163438</v>
      </c>
      <c r="AC12" s="164">
        <f>(AC37*'Travel Time - vehicles'!Z$4/' Look Up Data'!$B$6)+(AC42*'Travel Time - vehicles'!Z$7/2)+(Emissions!AC47*'Travel Time - vehicles'!Z$7/2)</f>
        <v>7274.2401347693931</v>
      </c>
      <c r="AD12" s="164">
        <f>(AD37*'Travel Time - vehicles'!AA$4/' Look Up Data'!$B$6)+(AD42*'Travel Time - vehicles'!AA$7/2)+(Emissions!AD47*'Travel Time - vehicles'!AA$7/2)</f>
        <v>7153.4515734654915</v>
      </c>
      <c r="AE12" s="65"/>
      <c r="AK12" s="8"/>
      <c r="AL12" s="8"/>
      <c r="AM12" s="8"/>
      <c r="AN12" s="8"/>
    </row>
    <row r="13" spans="1:40" x14ac:dyDescent="0.25">
      <c r="A13" s="54" t="s">
        <v>149</v>
      </c>
      <c r="B13" s="64" t="s">
        <v>18</v>
      </c>
      <c r="C13" s="64" t="s">
        <v>18</v>
      </c>
      <c r="D13" s="64" t="s">
        <v>18</v>
      </c>
      <c r="E13" s="165">
        <f>E9+E10+E12</f>
        <v>0</v>
      </c>
      <c r="F13" s="165">
        <f t="shared" ref="F13:AD13" si="1">F9+F10+F12</f>
        <v>19382.784762876319</v>
      </c>
      <c r="G13" s="165">
        <f t="shared" si="1"/>
        <v>18560.247510796493</v>
      </c>
      <c r="H13" s="165">
        <f t="shared" si="1"/>
        <v>17843.551169076538</v>
      </c>
      <c r="I13" s="165">
        <f t="shared" si="1"/>
        <v>17152.29108768046</v>
      </c>
      <c r="J13" s="165">
        <f t="shared" si="1"/>
        <v>16520.124804845578</v>
      </c>
      <c r="K13" s="165">
        <f t="shared" si="1"/>
        <v>15886.422963762763</v>
      </c>
      <c r="L13" s="165">
        <f t="shared" si="1"/>
        <v>15237.044237833239</v>
      </c>
      <c r="M13" s="165">
        <f t="shared" si="1"/>
        <v>14566.096718416031</v>
      </c>
      <c r="N13" s="165">
        <f t="shared" si="1"/>
        <v>13948.620778775268</v>
      </c>
      <c r="O13" s="165">
        <f t="shared" si="1"/>
        <v>13379.492677579155</v>
      </c>
      <c r="P13" s="165">
        <f t="shared" si="1"/>
        <v>12854.109495003537</v>
      </c>
      <c r="Q13" s="165">
        <f t="shared" si="1"/>
        <v>12368.33464203909</v>
      </c>
      <c r="R13" s="165">
        <f t="shared" si="1"/>
        <v>11918.449171249287</v>
      </c>
      <c r="S13" s="165">
        <f t="shared" si="1"/>
        <v>11501.108264254784</v>
      </c>
      <c r="T13" s="165">
        <f t="shared" si="1"/>
        <v>11113.302339018937</v>
      </c>
      <c r="U13" s="165">
        <f t="shared" si="1"/>
        <v>10752.322280408691</v>
      </c>
      <c r="V13" s="165">
        <f t="shared" si="1"/>
        <v>10415.728351315925</v>
      </c>
      <c r="W13" s="165">
        <f t="shared" si="1"/>
        <v>10101.322389568855</v>
      </c>
      <c r="X13" s="165">
        <f t="shared" si="1"/>
        <v>9807.1229385830648</v>
      </c>
      <c r="Y13" s="165">
        <f t="shared" si="1"/>
        <v>9531.3429977699507</v>
      </c>
      <c r="Z13" s="165">
        <f t="shared" si="1"/>
        <v>9272.3701126448323</v>
      </c>
      <c r="AA13" s="165">
        <f t="shared" si="1"/>
        <v>9028.748554811822</v>
      </c>
      <c r="AB13" s="165">
        <f t="shared" si="1"/>
        <v>8799.1633689503815</v>
      </c>
      <c r="AC13" s="165">
        <f t="shared" si="1"/>
        <v>8582.4260879489229</v>
      </c>
      <c r="AD13" s="165">
        <f t="shared" si="1"/>
        <v>8377.4619387432995</v>
      </c>
      <c r="AE13" s="66"/>
      <c r="AF13" s="9"/>
      <c r="AG13" s="9"/>
      <c r="AH13" s="9"/>
      <c r="AI13" s="9"/>
      <c r="AJ13" s="9"/>
    </row>
    <row r="15" spans="1:40" s="87" customFormat="1" ht="30" x14ac:dyDescent="0.25">
      <c r="A15" s="91" t="s">
        <v>73</v>
      </c>
      <c r="B15" s="92">
        <v>2021</v>
      </c>
      <c r="C15" s="92">
        <v>2022</v>
      </c>
      <c r="D15" s="93">
        <v>2023</v>
      </c>
      <c r="E15" s="93">
        <v>2024</v>
      </c>
      <c r="F15" s="93">
        <v>2025</v>
      </c>
      <c r="G15" s="94">
        <f>F15+1</f>
        <v>2026</v>
      </c>
      <c r="H15" s="93">
        <f t="shared" ref="H15" si="2">G15+1</f>
        <v>2027</v>
      </c>
      <c r="I15" s="93">
        <f t="shared" ref="I15" si="3">H15+1</f>
        <v>2028</v>
      </c>
      <c r="J15" s="93">
        <f t="shared" ref="J15" si="4">I15+1</f>
        <v>2029</v>
      </c>
      <c r="K15" s="101">
        <f t="shared" ref="K15" si="5">J15+1</f>
        <v>2030</v>
      </c>
      <c r="L15" s="93">
        <f t="shared" ref="L15" si="6">K15+1</f>
        <v>2031</v>
      </c>
      <c r="M15" s="93">
        <f t="shared" ref="M15" si="7">L15+1</f>
        <v>2032</v>
      </c>
      <c r="N15" s="93">
        <f t="shared" ref="N15" si="8">M15+1</f>
        <v>2033</v>
      </c>
      <c r="O15" s="93">
        <f t="shared" ref="O15" si="9">N15+1</f>
        <v>2034</v>
      </c>
      <c r="P15" s="93">
        <f t="shared" ref="P15" si="10">O15+1</f>
        <v>2035</v>
      </c>
      <c r="Q15" s="93">
        <f t="shared" ref="Q15" si="11">P15+1</f>
        <v>2036</v>
      </c>
      <c r="R15" s="93">
        <f t="shared" ref="R15" si="12">Q15+1</f>
        <v>2037</v>
      </c>
      <c r="S15" s="93">
        <f t="shared" ref="S15" si="13">R15+1</f>
        <v>2038</v>
      </c>
      <c r="T15" s="93">
        <f t="shared" ref="T15" si="14">S15+1</f>
        <v>2039</v>
      </c>
      <c r="U15" s="93">
        <f t="shared" ref="U15" si="15">T15+1</f>
        <v>2040</v>
      </c>
      <c r="V15" s="93">
        <f t="shared" ref="V15" si="16">U15+1</f>
        <v>2041</v>
      </c>
      <c r="W15" s="93">
        <f t="shared" ref="W15" si="17">V15+1</f>
        <v>2042</v>
      </c>
      <c r="X15" s="93">
        <f t="shared" ref="X15" si="18">W15+1</f>
        <v>2043</v>
      </c>
      <c r="Y15" s="93">
        <f t="shared" ref="Y15" si="19">X15+1</f>
        <v>2044</v>
      </c>
      <c r="Z15" s="94">
        <f t="shared" ref="Z15" si="20">Y15+1</f>
        <v>2045</v>
      </c>
      <c r="AA15" s="93">
        <f t="shared" ref="AA15" si="21">Z15+1</f>
        <v>2046</v>
      </c>
      <c r="AB15" s="93">
        <f t="shared" ref="AB15" si="22">AA15+1</f>
        <v>2047</v>
      </c>
      <c r="AC15" s="93">
        <f t="shared" ref="AC15" si="23">AB15+1</f>
        <v>2048</v>
      </c>
      <c r="AD15" s="93">
        <f t="shared" ref="AD15" si="24">AC15+1</f>
        <v>2049</v>
      </c>
      <c r="AE15" s="93">
        <f t="shared" ref="AE15" si="25">AD15+1</f>
        <v>2050</v>
      </c>
      <c r="AK15" s="88"/>
      <c r="AL15" s="88"/>
      <c r="AM15" s="88"/>
      <c r="AN15" s="88"/>
    </row>
    <row r="16" spans="1:40" s="67" customFormat="1" x14ac:dyDescent="0.25">
      <c r="A16" s="32" t="s">
        <v>35</v>
      </c>
      <c r="B16" s="85"/>
      <c r="C16" s="85"/>
      <c r="D16" s="10"/>
      <c r="E16" s="10"/>
      <c r="F16" s="10"/>
      <c r="G16" s="99"/>
      <c r="K16" s="69"/>
      <c r="Z16" s="69"/>
      <c r="AK16" s="68"/>
      <c r="AL16" s="68"/>
      <c r="AM16" s="68"/>
      <c r="AN16" s="68"/>
    </row>
    <row r="17" spans="1:40" x14ac:dyDescent="0.25">
      <c r="A17" s="86" t="s">
        <v>51</v>
      </c>
      <c r="B17" s="135">
        <f>' Look Up Data'!E18*' Look Up Data'!$B$9</f>
        <v>8.545006046660045E-6</v>
      </c>
      <c r="C17" s="135">
        <f>' Look Up Data'!F18*' Look Up Data'!$B$9</f>
        <v>7.6511092891687015E-6</v>
      </c>
      <c r="D17" s="135">
        <f>' Look Up Data'!G18*' Look Up Data'!$B$9</f>
        <v>6.8653120412398002E-6</v>
      </c>
      <c r="E17" s="135">
        <f>' Look Up Data'!H18*' Look Up Data'!$B$9</f>
        <v>5.8059735779865996E-6</v>
      </c>
      <c r="F17" s="135">
        <f>' Look Up Data'!I18*' Look Up Data'!$B$9</f>
        <v>5.1281335448992354E-6</v>
      </c>
      <c r="G17" s="136">
        <f>F17*(1-' Look Up Data'!$L18)</f>
        <v>4.5135791682340853E-6</v>
      </c>
      <c r="H17" s="137">
        <f>G17*(1-' Look Up Data'!$L18)</f>
        <v>3.9726728505696513E-6</v>
      </c>
      <c r="I17" s="137">
        <f>H17*(1-' Look Up Data'!$L18)</f>
        <v>3.4965886249931177E-6</v>
      </c>
      <c r="J17" s="137">
        <f>I17*(1-' Look Up Data'!$L18)</f>
        <v>3.0775582264918003E-6</v>
      </c>
      <c r="K17" s="137">
        <f>J17*(1-' Look Up Data'!$L18)</f>
        <v>2.7087443371940838E-6</v>
      </c>
      <c r="L17" s="137">
        <f>K17*(1-' Look Up Data'!$L18)</f>
        <v>2.3841290218723227E-6</v>
      </c>
      <c r="M17" s="137">
        <f>L17*(1-' Look Up Data'!$L18)</f>
        <v>2.0984155333101153E-6</v>
      </c>
      <c r="N17" s="137">
        <f>M17*(1-' Look Up Data'!$L18)</f>
        <v>1.8469418852923927E-6</v>
      </c>
      <c r="O17" s="137">
        <f>N17*(1-' Look Up Data'!$L18)</f>
        <v>1.6256047829890386E-6</v>
      </c>
      <c r="P17" s="137">
        <f>O17*(1-' Look Up Data'!$L18)</f>
        <v>1.4307926695043174E-6</v>
      </c>
      <c r="Q17" s="137">
        <f>P17*(1-' Look Up Data'!$L18)</f>
        <v>1.2593267961128377E-6</v>
      </c>
      <c r="R17" s="137">
        <f>Q17*(1-' Look Up Data'!$L18)</f>
        <v>1.108409354625254E-6</v>
      </c>
      <c r="S17" s="137">
        <f>R17*(1-' Look Up Data'!$L18)</f>
        <v>9.7557782555965728E-7</v>
      </c>
      <c r="T17" s="137">
        <f>S17*(1-' Look Up Data'!$L18)</f>
        <v>8.5866479721789269E-7</v>
      </c>
      <c r="U17" s="137">
        <f>T17*(1-' Look Up Data'!$L18)</f>
        <v>7.5576260003478118E-7</v>
      </c>
      <c r="V17" s="137">
        <f>U17*(1-' Look Up Data'!$L18)</f>
        <v>6.6519217913901749E-7</v>
      </c>
      <c r="W17" s="137">
        <f>V17*(1-' Look Up Data'!$L18)</f>
        <v>5.8547569721940629E-7</v>
      </c>
      <c r="X17" s="137">
        <f>W17*(1-' Look Up Data'!$L18)</f>
        <v>5.1531242065747811E-7</v>
      </c>
      <c r="Y17" s="137">
        <f>X17*(1-' Look Up Data'!$L18)</f>
        <v>4.5355749546057804E-7</v>
      </c>
      <c r="Z17" s="137">
        <f>Y17*(1-' Look Up Data'!$L18)</f>
        <v>3.9920326668238437E-7</v>
      </c>
      <c r="AA17" s="137">
        <f>Z17*(1-' Look Up Data'!$L18)</f>
        <v>3.5136283651989237E-7</v>
      </c>
      <c r="AB17" s="137">
        <f>AA17*(1-' Look Up Data'!$L18)</f>
        <v>3.0925559280437706E-7</v>
      </c>
      <c r="AC17" s="137">
        <f>AB17*(1-' Look Up Data'!$L18)</f>
        <v>2.7219447175476133E-7</v>
      </c>
      <c r="AD17" s="137">
        <f>AC17*(1-' Look Up Data'!$L18)</f>
        <v>2.3957474715977046E-7</v>
      </c>
      <c r="AE17" s="137">
        <f>AD17*(1-' Look Up Data'!$L18)</f>
        <v>2.1086416306198898E-7</v>
      </c>
      <c r="AG17">
        <f>AE17/B17</f>
        <v>2.467688868920212E-2</v>
      </c>
      <c r="AK17" s="8"/>
      <c r="AL17" s="8"/>
      <c r="AM17" s="8"/>
      <c r="AN17" s="8"/>
    </row>
    <row r="18" spans="1:40" x14ac:dyDescent="0.25">
      <c r="A18" s="86" t="s">
        <v>52</v>
      </c>
      <c r="B18" s="135">
        <f>' Look Up Data'!E19*' Look Up Data'!$B$9</f>
        <v>7.2132926660796009E-8</v>
      </c>
      <c r="C18" s="135">
        <f>' Look Up Data'!F19*' Look Up Data'!$B$9</f>
        <v>7.0433727530917151E-8</v>
      </c>
      <c r="D18" s="135">
        <f>' Look Up Data'!G19*' Look Up Data'!$B$9</f>
        <v>6.8766260104465353E-8</v>
      </c>
      <c r="E18" s="135">
        <f>' Look Up Data'!H19*' Look Up Data'!$B$9</f>
        <v>6.7192586141458398E-8</v>
      </c>
      <c r="F18" s="135">
        <f>' Look Up Data'!I19*' Look Up Data'!$B$9</f>
        <v>6.5667366300210452E-8</v>
      </c>
      <c r="G18" s="136">
        <f>F18*(1-' Look Up Data'!$L19)</f>
        <v>6.4143641236485607E-8</v>
      </c>
      <c r="H18" s="137">
        <f>G18*(1-' Look Up Data'!$L19)</f>
        <v>6.2655272213373219E-8</v>
      </c>
      <c r="I18" s="137">
        <f>H18*(1-' Look Up Data'!$L19)</f>
        <v>6.120143884034645E-8</v>
      </c>
      <c r="J18" s="137">
        <f>I18*(1-' Look Up Data'!$L19)</f>
        <v>5.9781339762964077E-8</v>
      </c>
      <c r="K18" s="137">
        <f>J18*(1-' Look Up Data'!$L19)</f>
        <v>5.8394192221163136E-8</v>
      </c>
      <c r="L18" s="137">
        <f>K18*(1-' Look Up Data'!$L19)</f>
        <v>5.7039231617800741E-8</v>
      </c>
      <c r="M18" s="137">
        <f>L18*(1-' Look Up Data'!$L19)</f>
        <v>5.5715711097207378E-8</v>
      </c>
      <c r="N18" s="137">
        <f>M18*(1-' Look Up Data'!$L19)</f>
        <v>5.4422901133519294E-8</v>
      </c>
      <c r="O18" s="137">
        <f>N18*(1-' Look Up Data'!$L19)</f>
        <v>5.3160089128563084E-8</v>
      </c>
      <c r="P18" s="137">
        <f>O18*(1-' Look Up Data'!$L19)</f>
        <v>5.1926579019070868E-8</v>
      </c>
      <c r="Q18" s="137">
        <f>P18*(1-' Look Up Data'!$L19)</f>
        <v>5.0721690893009488E-8</v>
      </c>
      <c r="R18" s="137">
        <f>Q18*(1-' Look Up Data'!$L19)</f>
        <v>4.9544760614812308E-8</v>
      </c>
      <c r="S18" s="137">
        <f>R18*(1-' Look Up Data'!$L19)</f>
        <v>4.8395139459307016E-8</v>
      </c>
      <c r="T18" s="137">
        <f>S18*(1-' Look Up Data'!$L19)</f>
        <v>4.7272193754137646E-8</v>
      </c>
      <c r="U18" s="137">
        <f>T18*(1-' Look Up Data'!$L19)</f>
        <v>4.6175304530483711E-8</v>
      </c>
      <c r="V18" s="137">
        <f>U18*(1-' Look Up Data'!$L19)</f>
        <v>4.5103867181883972E-8</v>
      </c>
      <c r="W18" s="137">
        <f>V18*(1-' Look Up Data'!$L19)</f>
        <v>4.4057291130976737E-8</v>
      </c>
      <c r="X18" s="137">
        <f>W18*(1-' Look Up Data'!$L19)</f>
        <v>4.3034999503973014E-8</v>
      </c>
      <c r="Y18" s="137">
        <f>X18*(1-' Look Up Data'!$L19)</f>
        <v>4.2036428812683092E-8</v>
      </c>
      <c r="Z18" s="137">
        <f>Y18*(1-' Look Up Data'!$L19)</f>
        <v>4.1061028643921258E-8</v>
      </c>
      <c r="AA18" s="137">
        <f>Z18*(1-' Look Up Data'!$L19)</f>
        <v>4.0108261356117511E-8</v>
      </c>
      <c r="AB18" s="137">
        <f>AA18*(1-' Look Up Data'!$L19)</f>
        <v>3.9177601782968971E-8</v>
      </c>
      <c r="AC18" s="137">
        <f>AB18*(1-' Look Up Data'!$L19)</f>
        <v>3.8268536943967657E-8</v>
      </c>
      <c r="AD18" s="137">
        <f>AC18*(1-' Look Up Data'!$L19)</f>
        <v>3.7380565761645143E-8</v>
      </c>
      <c r="AE18" s="137">
        <f>AD18*(1-' Look Up Data'!$L19)</f>
        <v>3.6513198785378108E-8</v>
      </c>
    </row>
    <row r="19" spans="1:40" ht="18" x14ac:dyDescent="0.25">
      <c r="A19" s="86" t="s">
        <v>50</v>
      </c>
      <c r="B19" s="135">
        <f>' Look Up Data'!E20*' Look Up Data'!$B$9</f>
        <v>1.2037928675379452E-2</v>
      </c>
      <c r="C19" s="135">
        <f>' Look Up Data'!F20*' Look Up Data'!$B$9</f>
        <v>1.175956257159253E-2</v>
      </c>
      <c r="D19" s="135">
        <f>' Look Up Data'!G20*' Look Up Data'!$B$9</f>
        <v>1.1486911543557892E-2</v>
      </c>
      <c r="E19" s="135">
        <f>' Look Up Data'!H20*' Look Up Data'!$B$9</f>
        <v>1.1228309927087855E-2</v>
      </c>
      <c r="F19" s="135">
        <f>' Look Up Data'!I20*' Look Up Data'!$B$9</f>
        <v>1.0978736079207595E-2</v>
      </c>
      <c r="G19" s="136">
        <f>F19*(1-' Look Up Data'!$L20)</f>
        <v>1.0728833113288374E-2</v>
      </c>
      <c r="H19" s="137">
        <f>G19*(1-' Look Up Data'!$L20)</f>
        <v>1.0484618551929082E-2</v>
      </c>
      <c r="I19" s="137">
        <f>H19*(1-' Look Up Data'!$L20)</f>
        <v>1.0245962913087285E-2</v>
      </c>
      <c r="J19" s="137">
        <f>I19*(1-' Look Up Data'!$L20)</f>
        <v>1.0012739662049479E-2</v>
      </c>
      <c r="K19" s="137">
        <f>J19*(1-' Look Up Data'!$L20)</f>
        <v>9.7848251443426477E-3</v>
      </c>
      <c r="L19" s="137">
        <f>K19*(1-' Look Up Data'!$L20)</f>
        <v>9.5620985201729288E-3</v>
      </c>
      <c r="M19" s="137">
        <f>L19*(1-' Look Up Data'!$L20)</f>
        <v>9.3444417003566097E-3</v>
      </c>
      <c r="N19" s="137">
        <f>M19*(1-' Look Up Data'!$L20)</f>
        <v>9.1317392837094915E-3</v>
      </c>
      <c r="O19" s="137">
        <f>N19*(1-' Look Up Data'!$L20)</f>
        <v>8.9238784958614262E-3</v>
      </c>
      <c r="P19" s="137">
        <f>O19*(1-' Look Up Data'!$L20)</f>
        <v>8.7207491294635873E-3</v>
      </c>
      <c r="Q19" s="137">
        <f>P19*(1-' Look Up Data'!$L20)</f>
        <v>8.5222434857567652E-3</v>
      </c>
      <c r="R19" s="137">
        <f>Q19*(1-' Look Up Data'!$L20)</f>
        <v>8.3282563174697129E-3</v>
      </c>
      <c r="S19" s="137">
        <f>R19*(1-' Look Up Data'!$L20)</f>
        <v>8.1386847730172667E-3</v>
      </c>
      <c r="T19" s="137">
        <f>S19*(1-' Look Up Data'!$L20)</f>
        <v>7.953428341968655E-3</v>
      </c>
      <c r="U19" s="137">
        <f>T19*(1-' Look Up Data'!$L20)</f>
        <v>7.7723888017570807E-3</v>
      </c>
      <c r="V19" s="137">
        <f>U19*(1-' Look Up Data'!$L20)</f>
        <v>7.5954701656023227E-3</v>
      </c>
      <c r="W19" s="137">
        <f>V19*(1-' Look Up Data'!$L20)</f>
        <v>7.4225786316187512E-3</v>
      </c>
      <c r="X19" s="137">
        <f>W19*(1-' Look Up Data'!$L20)</f>
        <v>7.2536225330817649E-3</v>
      </c>
      <c r="Y19" s="137">
        <f>X19*(1-' Look Up Data'!$L20)</f>
        <v>7.0885122898262896E-3</v>
      </c>
      <c r="Z19" s="137">
        <f>Y19*(1-' Look Up Data'!$L20)</f>
        <v>6.9271603607515631E-3</v>
      </c>
      <c r="AA19" s="137">
        <f>Z19*(1-' Look Up Data'!$L20)</f>
        <v>6.7694811974070308E-3</v>
      </c>
      <c r="AB19" s="137">
        <f>AA19*(1-' Look Up Data'!$L20)</f>
        <v>6.615391198634738E-3</v>
      </c>
      <c r="AC19" s="137">
        <f>AB19*(1-' Look Up Data'!$L20)</f>
        <v>6.4648086662441734E-3</v>
      </c>
      <c r="AD19" s="137">
        <f>AC19*(1-' Look Up Data'!$L20)</f>
        <v>6.3176537616960616E-3</v>
      </c>
      <c r="AE19" s="137">
        <f>AD19*(1-' Look Up Data'!$L20)</f>
        <v>6.1738484637721379E-3</v>
      </c>
      <c r="AK19" s="3"/>
      <c r="AL19" s="3"/>
      <c r="AM19" s="3"/>
      <c r="AN19" s="3"/>
    </row>
    <row r="20" spans="1:40" x14ac:dyDescent="0.25">
      <c r="A20" s="86" t="s">
        <v>58</v>
      </c>
      <c r="B20" s="135">
        <f>' Look Up Data'!E21*' Look Up Data'!$B$9</f>
        <v>3.0632565713118855E-7</v>
      </c>
      <c r="C20" s="135">
        <f>' Look Up Data'!F21*' Look Up Data'!$B$9</f>
        <v>2.9959116902102103E-7</v>
      </c>
      <c r="D20" s="135">
        <f>' Look Up Data'!G21*' Look Up Data'!$B$9</f>
        <v>2.9424032121831302E-7</v>
      </c>
      <c r="E20" s="135">
        <f>' Look Up Data'!H21*' Look Up Data'!$B$9</f>
        <v>2.8992620044270604E-7</v>
      </c>
      <c r="F20" s="135">
        <f>' Look Up Data'!I21*' Look Up Data'!$B$9</f>
        <v>2.8294350718760851E-7</v>
      </c>
      <c r="G20" s="136">
        <f>F20*(1-' Look Up Data'!$L21)</f>
        <v>2.7738234930761241E-7</v>
      </c>
      <c r="H20" s="137">
        <f>G20*(1-' Look Up Data'!$L21)</f>
        <v>2.7193049408408524E-7</v>
      </c>
      <c r="I20" s="137">
        <f>H20*(1-' Look Up Data'!$L21)</f>
        <v>2.6658579321069065E-7</v>
      </c>
      <c r="J20" s="137">
        <f>I20*(1-' Look Up Data'!$L21)</f>
        <v>2.6134614060531867E-7</v>
      </c>
      <c r="K20" s="137">
        <f>J20*(1-' Look Up Data'!$L21)</f>
        <v>2.5620947158018303E-7</v>
      </c>
      <c r="L20" s="137">
        <f>K20*(1-' Look Up Data'!$L21)</f>
        <v>2.5117376202822989E-7</v>
      </c>
      <c r="M20" s="137">
        <f>L20*(1-' Look Up Data'!$L21)</f>
        <v>2.4623702762553735E-7</v>
      </c>
      <c r="N20" s="137">
        <f>M20*(1-' Look Up Data'!$L21)</f>
        <v>2.4139732304939172E-7</v>
      </c>
      <c r="O20" s="137">
        <f>N20*(1-' Look Up Data'!$L21)</f>
        <v>2.3665274121173193E-7</v>
      </c>
      <c r="P20" s="137">
        <f>O20*(1-' Look Up Data'!$L21)</f>
        <v>2.3200141250766075E-7</v>
      </c>
      <c r="Q20" s="137">
        <f>P20*(1-' Look Up Data'!$L21)</f>
        <v>2.2744150407872579E-7</v>
      </c>
      <c r="R20" s="137">
        <f>Q20*(1-' Look Up Data'!$L21)</f>
        <v>2.229712190906808E-7</v>
      </c>
      <c r="S20" s="137">
        <f>R20*(1-' Look Up Data'!$L21)</f>
        <v>2.1858879602544222E-7</v>
      </c>
      <c r="T20" s="137">
        <f>S20*(1-' Look Up Data'!$L21)</f>
        <v>2.1429250798696209E-7</v>
      </c>
      <c r="U20" s="137">
        <f>T20*(1-' Look Up Data'!$L21)</f>
        <v>2.1008066202074368E-7</v>
      </c>
      <c r="V20" s="137">
        <f>U20*(1-' Look Up Data'!$L21)</f>
        <v>2.0595159844673205E-7</v>
      </c>
      <c r="W20" s="137">
        <f>V20*(1-' Look Up Data'!$L21)</f>
        <v>2.0190369020531617E-7</v>
      </c>
      <c r="X20" s="137">
        <f>W20*(1-' Look Up Data'!$L21)</f>
        <v>1.9793534221618531E-7</v>
      </c>
      <c r="Y20" s="137">
        <f>X20*(1-' Look Up Data'!$L21)</f>
        <v>1.9404499074978677E-7</v>
      </c>
      <c r="Z20" s="137">
        <f>Y20*(1-' Look Up Data'!$L21)</f>
        <v>1.9023110281113749E-7</v>
      </c>
      <c r="AA20" s="137">
        <f>Z20*(1-' Look Up Data'!$L21)</f>
        <v>1.8649217553574662E-7</v>
      </c>
      <c r="AB20" s="137">
        <f>AA20*(1-' Look Up Data'!$L21)</f>
        <v>1.8282673559741093E-7</v>
      </c>
      <c r="AC20" s="137">
        <f>AB20*(1-' Look Up Data'!$L21)</f>
        <v>1.7923333862764994E-7</v>
      </c>
      <c r="AD20" s="137">
        <f>AC20*(1-' Look Up Data'!$L21)</f>
        <v>1.7571056864655171E-7</v>
      </c>
      <c r="AE20" s="137">
        <f>AD20*(1-' Look Up Data'!$L21)</f>
        <v>1.7225703750480528E-7</v>
      </c>
      <c r="AK20" s="8"/>
      <c r="AL20" s="8"/>
      <c r="AM20" s="8"/>
      <c r="AN20" s="8"/>
    </row>
    <row r="21" spans="1:40" s="67" customFormat="1" x14ac:dyDescent="0.25">
      <c r="A21" s="89" t="s">
        <v>36</v>
      </c>
      <c r="B21" s="135"/>
      <c r="C21" s="135"/>
      <c r="D21" s="135"/>
      <c r="E21" s="135"/>
      <c r="F21" s="135"/>
      <c r="G21" s="136"/>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K21" s="71"/>
      <c r="AL21" s="71"/>
      <c r="AM21" s="71"/>
      <c r="AN21" s="71"/>
    </row>
    <row r="22" spans="1:40" s="67" customFormat="1" x14ac:dyDescent="0.25">
      <c r="A22" s="86" t="s">
        <v>51</v>
      </c>
      <c r="B22" s="135">
        <f>' Look Up Data'!E23*' Look Up Data'!$B$9</f>
        <v>3.4463585429905771E-5</v>
      </c>
      <c r="C22" s="135">
        <f>' Look Up Data'!F23*' Look Up Data'!$B$9</f>
        <v>3.1572070532242538E-5</v>
      </c>
      <c r="D22" s="135">
        <f>' Look Up Data'!G23*' Look Up Data'!$B$9</f>
        <v>2.9019750254825965E-5</v>
      </c>
      <c r="E22" s="135">
        <f>' Look Up Data'!H23*' Look Up Data'!$B$9</f>
        <v>2.7160774592576753E-5</v>
      </c>
      <c r="F22" s="135">
        <f>' Look Up Data'!I23*' Look Up Data'!$B$9</f>
        <v>2.5496414369442097E-5</v>
      </c>
      <c r="G22" s="136">
        <f>F22*(1-' Look Up Data'!$L23)</f>
        <v>2.3646059144532242E-5</v>
      </c>
      <c r="H22" s="137">
        <f>G22*(1-' Look Up Data'!$L23)</f>
        <v>2.1929990035651892E-5</v>
      </c>
      <c r="I22" s="137">
        <f>H22*(1-' Look Up Data'!$L23)</f>
        <v>2.0338461475725313E-5</v>
      </c>
      <c r="J22" s="137">
        <f>I22*(1-' Look Up Data'!$L23)</f>
        <v>1.8862435164224022E-5</v>
      </c>
      <c r="K22" s="137">
        <f>J22*(1-' Look Up Data'!$L23)</f>
        <v>1.7493528738602221E-5</v>
      </c>
      <c r="L22" s="137">
        <f>K22*(1-' Look Up Data'!$L23)</f>
        <v>1.6223968170808092E-5</v>
      </c>
      <c r="M22" s="137">
        <f>L22*(1-' Look Up Data'!$L23)</f>
        <v>1.5046543618530438E-5</v>
      </c>
      <c r="N22" s="137">
        <f>M22*(1-' Look Up Data'!$L23)</f>
        <v>1.395456848045964E-5</v>
      </c>
      <c r="O22" s="137">
        <f>N22*(1-' Look Up Data'!$L23)</f>
        <v>1.2941841423037493E-5</v>
      </c>
      <c r="P22" s="137">
        <f>O22*(1-' Look Up Data'!$L23)</f>
        <v>1.2002611163045597E-5</v>
      </c>
      <c r="Q22" s="137">
        <f>P22*(1-' Look Up Data'!$L23)</f>
        <v>1.1131543806032418E-5</v>
      </c>
      <c r="R22" s="137">
        <f>Q22*(1-' Look Up Data'!$L23)</f>
        <v>1.0323692555093727E-5</v>
      </c>
      <c r="S22" s="137">
        <f>R22*(1-' Look Up Data'!$L23)</f>
        <v>9.5744696179824089E-6</v>
      </c>
      <c r="T22" s="137">
        <f>S22*(1-' Look Up Data'!$L23)</f>
        <v>8.8796201530079318E-6</v>
      </c>
      <c r="U22" s="137">
        <f>T22*(1-' Look Up Data'!$L23)</f>
        <v>8.2351981057640946E-6</v>
      </c>
      <c r="V22" s="137">
        <f>U22*(1-' Look Up Data'!$L23)</f>
        <v>7.6375437994616612E-6</v>
      </c>
      <c r="W22" s="137">
        <f>V22*(1-' Look Up Data'!$L23)</f>
        <v>7.0832631516012548E-6</v>
      </c>
      <c r="X22" s="137">
        <f>W22*(1-' Look Up Data'!$L23)</f>
        <v>6.5692083989578688E-6</v>
      </c>
      <c r="Y22" s="137">
        <f>X22*(1-' Look Up Data'!$L23)</f>
        <v>6.0924602214140561E-6</v>
      </c>
      <c r="Z22" s="137">
        <f>Y22*(1-' Look Up Data'!$L23)</f>
        <v>5.6503111631229382E-6</v>
      </c>
      <c r="AA22" s="137">
        <f>Z22*(1-' Look Up Data'!$L23)</f>
        <v>5.2402502568497168E-6</v>
      </c>
      <c r="AB22" s="137">
        <f>AA22*(1-' Look Up Data'!$L23)</f>
        <v>4.8599487641732294E-6</v>
      </c>
      <c r="AC22" s="137">
        <f>AB22*(1-' Look Up Data'!$L23)</f>
        <v>4.5072469505660595E-6</v>
      </c>
      <c r="AD22" s="137">
        <f>AC22*(1-' Look Up Data'!$L23)</f>
        <v>4.1801418202488114E-6</v>
      </c>
      <c r="AE22" s="137">
        <f>AD22*(1-' Look Up Data'!$L23)</f>
        <v>3.8767757411646944E-6</v>
      </c>
      <c r="AK22" s="71"/>
      <c r="AL22" s="71"/>
      <c r="AM22" s="71"/>
      <c r="AN22" s="71"/>
    </row>
    <row r="23" spans="1:40" s="67" customFormat="1" x14ac:dyDescent="0.25">
      <c r="A23" s="86" t="s">
        <v>52</v>
      </c>
      <c r="B23" s="135">
        <f>' Look Up Data'!E24*' Look Up Data'!$B$9</f>
        <v>1.0167331237615703E-7</v>
      </c>
      <c r="C23" s="135">
        <f>' Look Up Data'!F24*' Look Up Data'!$B$9</f>
        <v>1.0019498735017051E-7</v>
      </c>
      <c r="D23" s="135">
        <f>' Look Up Data'!G24*' Look Up Data'!$B$9</f>
        <v>9.8684556941726126E-8</v>
      </c>
      <c r="E23" s="135">
        <f>' Look Up Data'!H24*' Look Up Data'!$B$9</f>
        <v>9.7061834392545937E-8</v>
      </c>
      <c r="F23" s="135">
        <f>' Look Up Data'!I24*' Look Up Data'!$B$9</f>
        <v>9.557513586050811E-8</v>
      </c>
      <c r="G23" s="136">
        <f>F23*(1-' Look Up Data'!$L24)</f>
        <v>9.4108621499075241E-8</v>
      </c>
      <c r="H23" s="137">
        <f>G23*(1-' Look Up Data'!$L24)</f>
        <v>9.2664609479416996E-8</v>
      </c>
      <c r="I23" s="137">
        <f>H23*(1-' Look Up Data'!$L24)</f>
        <v>9.1242754523369958E-8</v>
      </c>
      <c r="J23" s="137">
        <f>I23*(1-' Look Up Data'!$L24)</f>
        <v>8.9842716650753081E-8</v>
      </c>
      <c r="K23" s="137">
        <f>J23*(1-' Look Up Data'!$L24)</f>
        <v>8.846416109807492E-8</v>
      </c>
      <c r="L23" s="137">
        <f>K23*(1-' Look Up Data'!$L24)</f>
        <v>8.7106758238488263E-8</v>
      </c>
      <c r="M23" s="137">
        <f>L23*(1-' Look Up Data'!$L24)</f>
        <v>8.5770183502972897E-8</v>
      </c>
      <c r="N23" s="137">
        <f>M23*(1-' Look Up Data'!$L24)</f>
        <v>8.4454117302727865E-8</v>
      </c>
      <c r="O23" s="137">
        <f>N23*(1-' Look Up Data'!$L24)</f>
        <v>8.3158244952754446E-8</v>
      </c>
      <c r="P23" s="137">
        <f>O23*(1-' Look Up Data'!$L24)</f>
        <v>8.1882256596611727E-8</v>
      </c>
      <c r="Q23" s="137">
        <f>P23*(1-' Look Up Data'!$L24)</f>
        <v>8.062584713232678E-8</v>
      </c>
      <c r="R23" s="137">
        <f>Q23*(1-' Look Up Data'!$L24)</f>
        <v>7.9388716139441581E-8</v>
      </c>
      <c r="S23" s="137">
        <f>R23*(1-' Look Up Data'!$L24)</f>
        <v>7.8170567807179408E-8</v>
      </c>
      <c r="T23" s="137">
        <f>S23*(1-' Look Up Data'!$L24)</f>
        <v>7.6971110863713432E-8</v>
      </c>
      <c r="U23" s="137">
        <f>T23*(1-' Look Up Data'!$L24)</f>
        <v>7.5790058506520611E-8</v>
      </c>
      <c r="V23" s="137">
        <f>U23*(1-' Look Up Data'!$L24)</f>
        <v>7.4627128333804261E-8</v>
      </c>
      <c r="W23" s="137">
        <f>V23*(1-' Look Up Data'!$L24)</f>
        <v>7.3482042276968858E-8</v>
      </c>
      <c r="X23" s="137">
        <f>W23*(1-' Look Up Data'!$L24)</f>
        <v>7.2354526534130985E-8</v>
      </c>
      <c r="Y23" s="137">
        <f>X23*(1-' Look Up Data'!$L24)</f>
        <v>7.1244311504650467E-8</v>
      </c>
      <c r="Z23" s="137">
        <f>Y23*(1-' Look Up Data'!$L24)</f>
        <v>7.0151131724666097E-8</v>
      </c>
      <c r="AA23" s="137">
        <f>Z23*(1-' Look Up Data'!$L24)</f>
        <v>6.9074725803620467E-8</v>
      </c>
      <c r="AB23" s="137">
        <f>AA23*(1-' Look Up Data'!$L24)</f>
        <v>6.8014836361758803E-8</v>
      </c>
      <c r="AC23" s="137">
        <f>AB23*(1-' Look Up Data'!$L24)</f>
        <v>6.6971209968586809E-8</v>
      </c>
      <c r="AD23" s="137">
        <f>AC23*(1-' Look Up Data'!$L24)</f>
        <v>6.5943597082272818E-8</v>
      </c>
      <c r="AE23" s="137">
        <f>AD23*(1-' Look Up Data'!$L24)</f>
        <v>6.4931751989979788E-8</v>
      </c>
      <c r="AK23" s="71"/>
      <c r="AL23" s="71"/>
      <c r="AM23" s="71"/>
      <c r="AN23" s="71"/>
    </row>
    <row r="24" spans="1:40" s="67" customFormat="1" ht="18" x14ac:dyDescent="0.25">
      <c r="A24" s="86" t="s">
        <v>50</v>
      </c>
      <c r="B24" s="135">
        <f>' Look Up Data'!E25*' Look Up Data'!$B$9</f>
        <v>2.3361559574991534E-2</v>
      </c>
      <c r="C24" s="135">
        <f>' Look Up Data'!F25*' Look Up Data'!$B$9</f>
        <v>2.3023153573541566E-2</v>
      </c>
      <c r="D24" s="135">
        <f>' Look Up Data'!G25*' Look Up Data'!$B$9</f>
        <v>2.2677212438268268E-2</v>
      </c>
      <c r="E24" s="135">
        <f>' Look Up Data'!H25*' Look Up Data'!$B$9</f>
        <v>2.2313964601471767E-2</v>
      </c>
      <c r="F24" s="135">
        <f>' Look Up Data'!I25*' Look Up Data'!$B$9</f>
        <v>2.1968276262784033E-2</v>
      </c>
      <c r="G24" s="136">
        <f>F24*(1-' Look Up Data'!$L25)</f>
        <v>2.1633137902259552E-2</v>
      </c>
      <c r="H24" s="137">
        <f>G24*(1-' Look Up Data'!$L25)</f>
        <v>2.1303112265161867E-2</v>
      </c>
      <c r="I24" s="137">
        <f>H24*(1-' Look Up Data'!$L25)</f>
        <v>2.0978121354031067E-2</v>
      </c>
      <c r="J24" s="137">
        <f>I24*(1-' Look Up Data'!$L25)</f>
        <v>2.0658088361302188E-2</v>
      </c>
      <c r="K24" s="137">
        <f>J24*(1-' Look Up Data'!$L25)</f>
        <v>2.0342937651152693E-2</v>
      </c>
      <c r="L24" s="137">
        <f>K24*(1-' Look Up Data'!$L25)</f>
        <v>2.0032594741626889E-2</v>
      </c>
      <c r="M24" s="137">
        <f>L24*(1-' Look Up Data'!$L25)</f>
        <v>1.9726986287033042E-2</v>
      </c>
      <c r="N24" s="137">
        <f>M24*(1-' Look Up Data'!$L25)</f>
        <v>1.9426040060609027E-2</v>
      </c>
      <c r="O24" s="137">
        <f>N24*(1-' Look Up Data'!$L25)</f>
        <v>1.9129684937452436E-2</v>
      </c>
      <c r="P24" s="137">
        <f>O24*(1-' Look Up Data'!$L25)</f>
        <v>1.8837850877711095E-2</v>
      </c>
      <c r="Q24" s="137">
        <f>P24*(1-' Look Up Data'!$L25)</f>
        <v>1.855046891003E-2</v>
      </c>
      <c r="R24" s="137">
        <f>Q24*(1-' Look Up Data'!$L25)</f>
        <v>1.8267471115250816E-2</v>
      </c>
      <c r="S24" s="137">
        <f>R24*(1-' Look Up Data'!$L25)</f>
        <v>1.7988790610360007E-2</v>
      </c>
      <c r="T24" s="137">
        <f>S24*(1-' Look Up Data'!$L25)</f>
        <v>1.7714361532681876E-2</v>
      </c>
      <c r="U24" s="137">
        <f>T24*(1-' Look Up Data'!$L25)</f>
        <v>1.744411902431274E-2</v>
      </c>
      <c r="V24" s="137">
        <f>U24*(1-' Look Up Data'!$L25)</f>
        <v>1.7177999216792569E-2</v>
      </c>
      <c r="W24" s="137">
        <f>V24*(1-' Look Up Data'!$L25)</f>
        <v>1.6915939216010464E-2</v>
      </c>
      <c r="X24" s="137">
        <f>W24*(1-' Look Up Data'!$L25)</f>
        <v>1.6657877087340428E-2</v>
      </c>
      <c r="Y24" s="137">
        <f>X24*(1-' Look Up Data'!$L25)</f>
        <v>1.6403751841003868E-2</v>
      </c>
      <c r="Z24" s="137">
        <f>Y24*(1-' Look Up Data'!$L25)</f>
        <v>1.6153503417655438E-2</v>
      </c>
      <c r="AA24" s="137">
        <f>Z24*(1-' Look Up Data'!$L25)</f>
        <v>1.5907072674188741E-2</v>
      </c>
      <c r="AB24" s="137">
        <f>AA24*(1-' Look Up Data'!$L25)</f>
        <v>1.5664401369758607E-2</v>
      </c>
      <c r="AC24" s="137">
        <f>AB24*(1-' Look Up Data'!$L25)</f>
        <v>1.5425432152016577E-2</v>
      </c>
      <c r="AD24" s="137">
        <f>AC24*(1-' Look Up Data'!$L25)</f>
        <v>1.5190108543556399E-2</v>
      </c>
      <c r="AE24" s="137">
        <f>AD24*(1-' Look Up Data'!$L25)</f>
        <v>1.4958374928566288E-2</v>
      </c>
      <c r="AK24" s="71"/>
      <c r="AL24" s="71"/>
      <c r="AM24" s="71"/>
      <c r="AN24" s="71"/>
    </row>
    <row r="25" spans="1:40" s="67" customFormat="1" x14ac:dyDescent="0.25">
      <c r="A25" s="86" t="s">
        <v>58</v>
      </c>
      <c r="B25" s="135">
        <f>' Look Up Data'!E26*' Look Up Data'!$B$9</f>
        <v>1.1573209875234116E-6</v>
      </c>
      <c r="C25" s="135">
        <f>' Look Up Data'!F26*' Look Up Data'!$B$9</f>
        <v>1.0190835014189519E-6</v>
      </c>
      <c r="D25" s="135">
        <f>' Look Up Data'!G26*' Look Up Data'!$B$9</f>
        <v>9.1323582477745304E-7</v>
      </c>
      <c r="E25" s="135">
        <f>' Look Up Data'!H26*' Look Up Data'!$B$9</f>
        <v>8.7119567033948232E-7</v>
      </c>
      <c r="F25" s="135">
        <f>' Look Up Data'!I26*' Look Up Data'!$B$9</f>
        <v>7.7832435653827967E-7</v>
      </c>
      <c r="G25" s="136">
        <f>F25*(1-' Look Up Data'!$L26)</f>
        <v>7.0483476899109306E-7</v>
      </c>
      <c r="H25" s="137">
        <f>G25*(1-' Look Up Data'!$L26)</f>
        <v>6.382840873543885E-7</v>
      </c>
      <c r="I25" s="137">
        <f>H25*(1-' Look Up Data'!$L26)</f>
        <v>5.7801713833298848E-7</v>
      </c>
      <c r="J25" s="137">
        <f>I25*(1-' Look Up Data'!$L26)</f>
        <v>5.2344061026411871E-7</v>
      </c>
      <c r="K25" s="137">
        <f>J25*(1-' Look Up Data'!$L26)</f>
        <v>4.7401721212603692E-7</v>
      </c>
      <c r="L25" s="137">
        <f>K25*(1-' Look Up Data'!$L26)</f>
        <v>4.2926038405458178E-7</v>
      </c>
      <c r="M25" s="137">
        <f>L25*(1-' Look Up Data'!$L26)</f>
        <v>3.8872950729412078E-7</v>
      </c>
      <c r="N25" s="137">
        <f>M25*(1-' Look Up Data'!$L26)</f>
        <v>3.5202556642617109E-7</v>
      </c>
      <c r="O25" s="137">
        <f>N25*(1-' Look Up Data'!$L26)</f>
        <v>3.1878722117151929E-7</v>
      </c>
      <c r="P25" s="137">
        <f>O25*(1-' Look Up Data'!$L26)</f>
        <v>2.8868724909380302E-7</v>
      </c>
      <c r="Q25" s="137">
        <f>P25*(1-' Look Up Data'!$L26)</f>
        <v>2.6142932418394307E-7</v>
      </c>
      <c r="R25" s="137">
        <f>Q25*(1-' Look Up Data'!$L26)</f>
        <v>2.3674509961146843E-7</v>
      </c>
      <c r="S25" s="137">
        <f>R25*(1-' Look Up Data'!$L26)</f>
        <v>2.1439156592321781E-7</v>
      </c>
      <c r="T25" s="137">
        <f>S25*(1-' Look Up Data'!$L26)</f>
        <v>1.9414865868160453E-7</v>
      </c>
      <c r="U25" s="137">
        <f>T25*(1-' Look Up Data'!$L26)</f>
        <v>1.7581709199029682E-7</v>
      </c>
      <c r="V25" s="137">
        <f>U25*(1-' Look Up Data'!$L26)</f>
        <v>1.5921639657896517E-7</v>
      </c>
      <c r="W25" s="137">
        <f>V25*(1-' Look Up Data'!$L26)</f>
        <v>1.4418314313257636E-7</v>
      </c>
      <c r="X25" s="137">
        <f>W25*(1-' Look Up Data'!$L26)</f>
        <v>1.3056933337439634E-7</v>
      </c>
      <c r="Y25" s="137">
        <f>X25*(1-' Look Up Data'!$L26)</f>
        <v>1.182409430633531E-7</v>
      </c>
      <c r="Z25" s="137">
        <f>Y25*(1-' Look Up Data'!$L26)</f>
        <v>1.0707660256196623E-7</v>
      </c>
      <c r="AA25" s="137">
        <f>Z25*(1-' Look Up Data'!$L26)</f>
        <v>9.6966401985394768E-8</v>
      </c>
      <c r="AB25" s="137">
        <f>AA25*(1-' Look Up Data'!$L26)</f>
        <v>8.7810809168621747E-8</v>
      </c>
      <c r="AC25" s="137">
        <f>AB25*(1-' Look Up Data'!$L26)</f>
        <v>7.9519689799457631E-8</v>
      </c>
      <c r="AD25" s="137">
        <f>AC25*(1-' Look Up Data'!$L26)</f>
        <v>7.2011420070839745E-8</v>
      </c>
      <c r="AE25" s="137">
        <f>AD25*(1-' Look Up Data'!$L26)</f>
        <v>6.5212083116731555E-8</v>
      </c>
      <c r="AK25" s="71"/>
      <c r="AL25" s="71"/>
      <c r="AM25" s="71"/>
      <c r="AN25" s="71"/>
    </row>
    <row r="26" spans="1:40" s="67" customFormat="1" x14ac:dyDescent="0.25">
      <c r="A26" s="89" t="s">
        <v>37</v>
      </c>
      <c r="B26" s="135"/>
      <c r="C26" s="135"/>
      <c r="D26" s="135"/>
      <c r="E26" s="135"/>
      <c r="F26" s="135"/>
      <c r="G26" s="136"/>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K26" s="71"/>
      <c r="AL26" s="71"/>
      <c r="AM26" s="71"/>
      <c r="AN26" s="71"/>
    </row>
    <row r="27" spans="1:40" s="67" customFormat="1" x14ac:dyDescent="0.25">
      <c r="A27" s="86" t="s">
        <v>51</v>
      </c>
      <c r="B27" s="135">
        <f>' Look Up Data'!E28*' Look Up Data'!$B$9</f>
        <v>1.6987695171033151E-4</v>
      </c>
      <c r="C27" s="135">
        <f>' Look Up Data'!F28*' Look Up Data'!$B$9</f>
        <v>1.5683592590047502E-4</v>
      </c>
      <c r="D27" s="135">
        <f>' Look Up Data'!G28*' Look Up Data'!$B$9</f>
        <v>1.4629704134051051E-4</v>
      </c>
      <c r="E27" s="135">
        <f>' Look Up Data'!H28*' Look Up Data'!$B$9</f>
        <v>1.376024404511605E-4</v>
      </c>
      <c r="F27" s="135">
        <f>' Look Up Data'!I28*' Look Up Data'!$B$9</f>
        <v>1.302835212193695E-4</v>
      </c>
      <c r="G27" s="136">
        <f>F27*(1-' Look Up Data'!$L28)</f>
        <v>1.2192092389499892E-4</v>
      </c>
      <c r="H27" s="137">
        <f>G27*(1-' Look Up Data'!$L28)</f>
        <v>1.1409510231444491E-4</v>
      </c>
      <c r="I27" s="137">
        <f>H27*(1-' Look Up Data'!$L28)</f>
        <v>1.0677160208656871E-4</v>
      </c>
      <c r="J27" s="137">
        <f>I27*(1-' Look Up Data'!$L28)</f>
        <v>9.9918180367758477E-5</v>
      </c>
      <c r="K27" s="137">
        <f>J27*(1-' Look Up Data'!$L28)</f>
        <v>9.3504663907818279E-5</v>
      </c>
      <c r="L27" s="137">
        <f>K27*(1-' Look Up Data'!$L28)</f>
        <v>8.7502816207562546E-5</v>
      </c>
      <c r="M27" s="137">
        <f>L27*(1-' Look Up Data'!$L28)</f>
        <v>8.1886213203256707E-5</v>
      </c>
      <c r="N27" s="137">
        <f>M27*(1-' Look Up Data'!$L28)</f>
        <v>7.6630126930585512E-5</v>
      </c>
      <c r="O27" s="137">
        <f>N27*(1-' Look Up Data'!$L28)</f>
        <v>7.1711416655961623E-5</v>
      </c>
      <c r="P27" s="137">
        <f>O27*(1-' Look Up Data'!$L28)</f>
        <v>6.7108426995863223E-5</v>
      </c>
      <c r="Q27" s="137">
        <f>P27*(1-' Look Up Data'!$L28)</f>
        <v>6.2800892575655295E-5</v>
      </c>
      <c r="R27" s="137">
        <f>Q27*(1-' Look Up Data'!$L28)</f>
        <v>5.8769848808140202E-5</v>
      </c>
      <c r="S27" s="137">
        <f>R27*(1-' Look Up Data'!$L28)</f>
        <v>5.4997548399026381E-5</v>
      </c>
      <c r="T27" s="137">
        <f>S27*(1-' Look Up Data'!$L28)</f>
        <v>5.1467383211717472E-5</v>
      </c>
      <c r="U27" s="137">
        <f>T27*(1-' Look Up Data'!$L28)</f>
        <v>4.8163811147419631E-5</v>
      </c>
      <c r="V27" s="137">
        <f>U27*(1-' Look Up Data'!$L28)</f>
        <v>4.5072287718645273E-5</v>
      </c>
      <c r="W27" s="137">
        <f>V27*(1-' Look Up Data'!$L28)</f>
        <v>4.2179202014855077E-5</v>
      </c>
      <c r="X27" s="137">
        <f>W27*(1-' Look Up Data'!$L28)</f>
        <v>3.9471816778317021E-5</v>
      </c>
      <c r="Y27" s="137">
        <f>X27*(1-' Look Up Data'!$L28)</f>
        <v>3.6938212326357171E-5</v>
      </c>
      <c r="Z27" s="137">
        <f>Y27*(1-' Look Up Data'!$L28)</f>
        <v>3.4567234073111259E-5</v>
      </c>
      <c r="AA27" s="137">
        <f>Z27*(1-' Look Up Data'!$L28)</f>
        <v>3.2348443419733409E-5</v>
      </c>
      <c r="AB27" s="137">
        <f>AA27*(1-' Look Up Data'!$L28)</f>
        <v>3.0272071796848551E-5</v>
      </c>
      <c r="AC27" s="137">
        <f>AB27*(1-' Look Up Data'!$L28)</f>
        <v>2.8328977656913353E-5</v>
      </c>
      <c r="AD27" s="137">
        <f>AC27*(1-' Look Up Data'!$L28)</f>
        <v>2.6510606227137807E-5</v>
      </c>
      <c r="AE27" s="137">
        <f>AD27*(1-' Look Up Data'!$L28)</f>
        <v>2.4808951845773536E-5</v>
      </c>
      <c r="AK27" s="71"/>
      <c r="AL27" s="71"/>
      <c r="AM27" s="71"/>
      <c r="AN27" s="71"/>
    </row>
    <row r="28" spans="1:40" s="67" customFormat="1" x14ac:dyDescent="0.25">
      <c r="A28" s="86" t="s">
        <v>52</v>
      </c>
      <c r="B28" s="135">
        <f>' Look Up Data'!E29*' Look Up Data'!$B$9</f>
        <v>2.16900499084816E-7</v>
      </c>
      <c r="C28" s="135">
        <f>' Look Up Data'!F29*' Look Up Data'!$B$9</f>
        <v>2.1278563151579052E-7</v>
      </c>
      <c r="D28" s="135">
        <f>' Look Up Data'!G29*' Look Up Data'!$B$9</f>
        <v>2.0902428547408252E-7</v>
      </c>
      <c r="E28" s="135">
        <f>' Look Up Data'!H29*' Look Up Data'!$B$9</f>
        <v>2.0455478043755E-7</v>
      </c>
      <c r="F28" s="135">
        <f>' Look Up Data'!I29*' Look Up Data'!$B$9</f>
        <v>2.0043361318185401E-7</v>
      </c>
      <c r="G28" s="136">
        <f>F28*(1-' Look Up Data'!$L29)</f>
        <v>1.9651606374122564E-7</v>
      </c>
      <c r="H28" s="137">
        <f>G28*(1-' Look Up Data'!$L29)</f>
        <v>1.926750842599775E-7</v>
      </c>
      <c r="I28" s="137">
        <f>H28*(1-' Look Up Data'!$L29)</f>
        <v>1.8890917814980397E-7</v>
      </c>
      <c r="J28" s="137">
        <f>I28*(1-' Look Up Data'!$L29)</f>
        <v>1.8521687807377394E-7</v>
      </c>
      <c r="K28" s="137">
        <f>J28*(1-' Look Up Data'!$L29)</f>
        <v>1.8159674537460181E-7</v>
      </c>
      <c r="L28" s="137">
        <f>K28*(1-' Look Up Data'!$L29)</f>
        <v>1.7804736951409314E-7</v>
      </c>
      <c r="M28" s="137">
        <f>L28*(1-' Look Up Data'!$L29)</f>
        <v>1.745673675235466E-7</v>
      </c>
      <c r="N28" s="137">
        <f>M28*(1-' Look Up Data'!$L29)</f>
        <v>1.7115538346489794E-7</v>
      </c>
      <c r="O28" s="137">
        <f>N28*(1-' Look Up Data'!$L29)</f>
        <v>1.678100879023962E-7</v>
      </c>
      <c r="P28" s="137">
        <f>O28*(1-' Look Up Data'!$L29)</f>
        <v>1.6453017738460612E-7</v>
      </c>
      <c r="Q28" s="137">
        <f>P28*(1-' Look Up Data'!$L29)</f>
        <v>1.6131437393653504E-7</v>
      </c>
      <c r="R28" s="137">
        <f>Q28*(1-' Look Up Data'!$L29)</f>
        <v>1.5816142456168635E-7</v>
      </c>
      <c r="S28" s="137">
        <f>R28*(1-' Look Up Data'!$L29)</f>
        <v>1.5507010075384555E-7</v>
      </c>
      <c r="T28" s="137">
        <f>S28*(1-' Look Up Data'!$L29)</f>
        <v>1.5203919801840849E-7</v>
      </c>
      <c r="U28" s="137">
        <f>T28*(1-' Look Up Data'!$L29)</f>
        <v>1.4906753540306566E-7</v>
      </c>
      <c r="V28" s="137">
        <f>U28*(1-' Look Up Data'!$L29)</f>
        <v>1.4615395503765916E-7</v>
      </c>
      <c r="W28" s="137">
        <f>V28*(1-' Look Up Data'!$L29)</f>
        <v>1.4329732168303357E-7</v>
      </c>
      <c r="X28" s="137">
        <f>W28*(1-' Look Up Data'!$L29)</f>
        <v>1.4049652228870454E-7</v>
      </c>
      <c r="Y28" s="137">
        <f>X28*(1-' Look Up Data'!$L29)</f>
        <v>1.3775046555917303E-7</v>
      </c>
      <c r="Z28" s="137">
        <f>Y28*(1-' Look Up Data'!$L29)</f>
        <v>1.3505808152871595E-7</v>
      </c>
      <c r="AA28" s="137">
        <f>Z28*(1-' Look Up Data'!$L29)</f>
        <v>1.3241832114448782E-7</v>
      </c>
      <c r="AB28" s="137">
        <f>AA28*(1-' Look Up Data'!$L29)</f>
        <v>1.2983015585777084E-7</v>
      </c>
      <c r="AC28" s="137">
        <f>AB28*(1-' Look Up Data'!$L29)</f>
        <v>1.2729257722321399E-7</v>
      </c>
      <c r="AD28" s="137">
        <f>AC28*(1-' Look Up Data'!$L29)</f>
        <v>1.2480459650590538E-7</v>
      </c>
      <c r="AE28" s="137">
        <f>AD28*(1-' Look Up Data'!$L29)</f>
        <v>1.2236524429612432E-7</v>
      </c>
      <c r="AK28" s="71"/>
      <c r="AL28" s="71"/>
      <c r="AM28" s="71"/>
      <c r="AN28" s="71"/>
    </row>
    <row r="29" spans="1:40" s="67" customFormat="1" ht="18" x14ac:dyDescent="0.25">
      <c r="A29" s="86" t="s">
        <v>50</v>
      </c>
      <c r="B29" s="135">
        <f>' Look Up Data'!E30*' Look Up Data'!$B$9</f>
        <v>6.4371869643100044E-2</v>
      </c>
      <c r="C29" s="135">
        <f>' Look Up Data'!F30*' Look Up Data'!$B$9</f>
        <v>6.3228150536820404E-2</v>
      </c>
      <c r="D29" s="135">
        <f>' Look Up Data'!G30*' Look Up Data'!$B$9</f>
        <v>6.216545385342926E-2</v>
      </c>
      <c r="E29" s="135">
        <f>' Look Up Data'!H30*' Look Up Data'!$B$9</f>
        <v>6.088659206653705E-2</v>
      </c>
      <c r="F29" s="135">
        <f>' Look Up Data'!I30*' Look Up Data'!$B$9</f>
        <v>5.9703327654803844E-2</v>
      </c>
      <c r="G29" s="136">
        <f>F29*(1-' Look Up Data'!$L30)</f>
        <v>5.8590086818111432E-2</v>
      </c>
      <c r="H29" s="137">
        <f>G29*(1-' Look Up Data'!$L30)</f>
        <v>5.7497603704801628E-2</v>
      </c>
      <c r="I29" s="137">
        <f>H29*(1-' Look Up Data'!$L30)</f>
        <v>5.6425491261987197E-2</v>
      </c>
      <c r="J29" s="137">
        <f>I29*(1-' Look Up Data'!$L30)</f>
        <v>5.5373369653850653E-2</v>
      </c>
      <c r="K29" s="137">
        <f>J29*(1-' Look Up Data'!$L30)</f>
        <v>5.4340866127073263E-2</v>
      </c>
      <c r="L29" s="137">
        <f>K29*(1-' Look Up Data'!$L30)</f>
        <v>5.3327614878773272E-2</v>
      </c>
      <c r="M29" s="137">
        <f>L29*(1-' Look Up Data'!$L30)</f>
        <v>5.2333256926906588E-2</v>
      </c>
      <c r="N29" s="137">
        <f>M29*(1-' Look Up Data'!$L30)</f>
        <v>5.1357439983084015E-2</v>
      </c>
      <c r="O29" s="137">
        <f>N29*(1-' Look Up Data'!$L30)</f>
        <v>5.0399818327759943E-2</v>
      </c>
      <c r="P29" s="137">
        <f>O29*(1-' Look Up Data'!$L30)</f>
        <v>4.9460052687748307E-2</v>
      </c>
      <c r="Q29" s="137">
        <f>P29*(1-' Look Up Data'!$L30)</f>
        <v>4.8537810116022415E-2</v>
      </c>
      <c r="R29" s="137">
        <f>Q29*(1-' Look Up Data'!$L30)</f>
        <v>4.7632763873756041E-2</v>
      </c>
      <c r="S29" s="137">
        <f>R29*(1-' Look Up Data'!$L30)</f>
        <v>4.6744593314564008E-2</v>
      </c>
      <c r="T29" s="137">
        <f>S29*(1-' Look Up Data'!$L30)</f>
        <v>4.5872983770901245E-2</v>
      </c>
      <c r="U29" s="137">
        <f>T29*(1-' Look Up Data'!$L30)</f>
        <v>4.5017626442580089E-2</v>
      </c>
      <c r="V29" s="137">
        <f>U29*(1-' Look Up Data'!$L30)</f>
        <v>4.4178218287366282E-2</v>
      </c>
      <c r="W29" s="137">
        <f>V29*(1-' Look Up Data'!$L30)</f>
        <v>4.3354461913614965E-2</v>
      </c>
      <c r="X29" s="137">
        <f>W29*(1-' Look Up Data'!$L30)</f>
        <v>4.2546065474908606E-2</v>
      </c>
      <c r="Y29" s="137">
        <f>X29*(1-' Look Up Data'!$L30)</f>
        <v>4.1752742566659513E-2</v>
      </c>
      <c r="Z29" s="137">
        <f>Y29*(1-' Look Up Data'!$L30)</f>
        <v>4.0974212124640322E-2</v>
      </c>
      <c r="AA29" s="137">
        <f>Z29*(1-' Look Up Data'!$L30)</f>
        <v>4.0210198325406524E-2</v>
      </c>
      <c r="AB29" s="137">
        <f>AA29*(1-' Look Up Data'!$L30)</f>
        <v>3.9460430488575712E-2</v>
      </c>
      <c r="AC29" s="137">
        <f>AB29*(1-' Look Up Data'!$L30)</f>
        <v>3.8724642980928974E-2</v>
      </c>
      <c r="AD29" s="137">
        <f>AC29*(1-' Look Up Data'!$L30)</f>
        <v>3.8002575122300396E-2</v>
      </c>
      <c r="AE29" s="137">
        <f>AD29*(1-' Look Up Data'!$L30)</f>
        <v>3.7293971093221426E-2</v>
      </c>
      <c r="AK29" s="71"/>
      <c r="AL29" s="71"/>
      <c r="AM29" s="71"/>
      <c r="AN29" s="71"/>
    </row>
    <row r="30" spans="1:40" s="67" customFormat="1" x14ac:dyDescent="0.25">
      <c r="A30" s="86" t="s">
        <v>58</v>
      </c>
      <c r="B30" s="135">
        <f>' Look Up Data'!E31*' Look Up Data'!$B$9</f>
        <v>4.0229070464997956E-6</v>
      </c>
      <c r="C30" s="135">
        <f>' Look Up Data'!F31*' Look Up Data'!$B$9</f>
        <v>3.5063855597423052E-6</v>
      </c>
      <c r="D30" s="135">
        <f>' Look Up Data'!G31*' Look Up Data'!$B$9</f>
        <v>3.1250962260919154E-6</v>
      </c>
      <c r="E30" s="135">
        <f>' Look Up Data'!H31*' Look Up Data'!$B$9</f>
        <v>2.8001477516435801E-6</v>
      </c>
      <c r="F30" s="135">
        <f>' Look Up Data'!I31*' Look Up Data'!$B$9</f>
        <v>2.5334269742567352E-6</v>
      </c>
      <c r="G30" s="136">
        <f>F30*(1-' Look Up Data'!$L31)</f>
        <v>2.2568385336725069E-6</v>
      </c>
      <c r="H30" s="137">
        <f>G30*(1-' Look Up Data'!$L31)</f>
        <v>2.0104468053843807E-6</v>
      </c>
      <c r="I30" s="137">
        <f>H30*(1-' Look Up Data'!$L31)</f>
        <v>1.7909550448445097E-6</v>
      </c>
      <c r="J30" s="137">
        <f>I30*(1-' Look Up Data'!$L31)</f>
        <v>1.595426431608942E-6</v>
      </c>
      <c r="K30" s="137">
        <f>J30*(1-' Look Up Data'!$L31)</f>
        <v>1.4212447744032748E-6</v>
      </c>
      <c r="L30" s="137">
        <f>K30*(1-' Look Up Data'!$L31)</f>
        <v>1.2660795062368167E-6</v>
      </c>
      <c r="M30" s="137">
        <f>L30*(1-' Look Up Data'!$L31)</f>
        <v>1.1278545011965871E-6</v>
      </c>
      <c r="N30" s="137">
        <f>M30*(1-' Look Up Data'!$L31)</f>
        <v>1.0047202956869184E-6</v>
      </c>
      <c r="O30" s="137">
        <f>N30*(1-' Look Up Data'!$L31)</f>
        <v>8.9502934243222719E-7</v>
      </c>
      <c r="P30" s="137">
        <f>O30*(1-' Look Up Data'!$L31)</f>
        <v>7.9731396613917834E-7</v>
      </c>
      <c r="Q30" s="137">
        <f>P30*(1-' Look Up Data'!$L31)</f>
        <v>7.1026672586292741E-7</v>
      </c>
      <c r="R30" s="137">
        <f>Q30*(1-' Look Up Data'!$L31)</f>
        <v>6.3272292132404656E-7</v>
      </c>
      <c r="S30" s="137">
        <f>R30*(1-' Look Up Data'!$L31)</f>
        <v>5.6364500910900879E-7</v>
      </c>
      <c r="T30" s="137">
        <f>S30*(1-' Look Up Data'!$L31)</f>
        <v>5.0210872024152266E-7</v>
      </c>
      <c r="U30" s="137">
        <f>T30*(1-' Look Up Data'!$L31)</f>
        <v>4.4729069337651324E-7</v>
      </c>
      <c r="V30" s="137">
        <f>U30*(1-' Look Up Data'!$L31)</f>
        <v>3.984574581477204E-7</v>
      </c>
      <c r="W30" s="137">
        <f>V30*(1-' Look Up Data'!$L31)</f>
        <v>3.5495562126506593E-7</v>
      </c>
      <c r="X30" s="137">
        <f>W30*(1-' Look Up Data'!$L31)</f>
        <v>3.1620312405084727E-7</v>
      </c>
      <c r="Y30" s="137">
        <f>X30*(1-' Look Up Data'!$L31)</f>
        <v>2.8168145443976881E-7</v>
      </c>
      <c r="Z30" s="137">
        <f>Y30*(1-' Look Up Data'!$L31)</f>
        <v>2.5092870923863651E-7</v>
      </c>
      <c r="AA30" s="137">
        <f>Z30*(1-' Look Up Data'!$L31)</f>
        <v>2.2353341381809664E-7</v>
      </c>
      <c r="AB30" s="137">
        <f>AA30*(1-' Look Up Data'!$L31)</f>
        <v>1.9912901654331225E-7</v>
      </c>
      <c r="AC30" s="137">
        <f>AB30*(1-' Look Up Data'!$L31)</f>
        <v>1.7738898427854E-7</v>
      </c>
      <c r="AD30" s="137">
        <f>AC30*(1-' Look Up Data'!$L31)</f>
        <v>1.5802243334299704E-7</v>
      </c>
      <c r="AE30" s="137">
        <f>AD30*(1-' Look Up Data'!$L31)</f>
        <v>1.4077023745979513E-7</v>
      </c>
      <c r="AK30" s="71"/>
      <c r="AL30" s="71"/>
      <c r="AM30" s="71"/>
      <c r="AN30" s="71"/>
    </row>
    <row r="31" spans="1:40" s="67" customFormat="1" x14ac:dyDescent="0.25">
      <c r="A31" s="86"/>
      <c r="B31" s="63"/>
      <c r="C31" s="63"/>
      <c r="D31" s="63"/>
      <c r="E31" s="63"/>
      <c r="F31" s="63"/>
      <c r="G31" s="63"/>
      <c r="H31" s="63"/>
      <c r="I31" s="63"/>
      <c r="J31" s="63"/>
      <c r="K31" s="100"/>
      <c r="L31" s="63"/>
      <c r="M31" s="63"/>
      <c r="N31" s="63"/>
      <c r="O31" s="63"/>
      <c r="P31" s="63"/>
      <c r="Q31" s="63"/>
      <c r="R31" s="63"/>
      <c r="S31" s="63"/>
      <c r="T31" s="63"/>
      <c r="U31" s="63"/>
      <c r="V31" s="63"/>
      <c r="W31" s="63"/>
      <c r="X31" s="63"/>
      <c r="Y31" s="63"/>
      <c r="Z31" s="62"/>
      <c r="AA31" s="63"/>
      <c r="AB31" s="63"/>
      <c r="AC31" s="63"/>
      <c r="AD31" s="63"/>
      <c r="AE31" s="63"/>
    </row>
    <row r="32" spans="1:40" s="87" customFormat="1" ht="29.1" customHeight="1" x14ac:dyDescent="0.25">
      <c r="A32" s="98" t="s">
        <v>75</v>
      </c>
      <c r="B32" s="92">
        <v>2021</v>
      </c>
      <c r="C32" s="92">
        <v>2022</v>
      </c>
      <c r="D32" s="93">
        <v>2023</v>
      </c>
      <c r="E32" s="93">
        <v>2024</v>
      </c>
      <c r="F32" s="93">
        <v>2025</v>
      </c>
      <c r="G32" s="93">
        <f>F32+1</f>
        <v>2026</v>
      </c>
      <c r="H32" s="93">
        <f t="shared" ref="H32" si="26">G32+1</f>
        <v>2027</v>
      </c>
      <c r="I32" s="93">
        <f t="shared" ref="I32" si="27">H32+1</f>
        <v>2028</v>
      </c>
      <c r="J32" s="93">
        <f t="shared" ref="J32" si="28">I32+1</f>
        <v>2029</v>
      </c>
      <c r="K32" s="101">
        <f t="shared" ref="K32" si="29">J32+1</f>
        <v>2030</v>
      </c>
      <c r="L32" s="93">
        <f t="shared" ref="L32" si="30">K32+1</f>
        <v>2031</v>
      </c>
      <c r="M32" s="93">
        <f t="shared" ref="M32" si="31">L32+1</f>
        <v>2032</v>
      </c>
      <c r="N32" s="93">
        <f t="shared" ref="N32" si="32">M32+1</f>
        <v>2033</v>
      </c>
      <c r="O32" s="93">
        <f t="shared" ref="O32" si="33">N32+1</f>
        <v>2034</v>
      </c>
      <c r="P32" s="93">
        <f t="shared" ref="P32" si="34">O32+1</f>
        <v>2035</v>
      </c>
      <c r="Q32" s="93">
        <f t="shared" ref="Q32" si="35">P32+1</f>
        <v>2036</v>
      </c>
      <c r="R32" s="93">
        <f t="shared" ref="R32" si="36">Q32+1</f>
        <v>2037</v>
      </c>
      <c r="S32" s="93">
        <f t="shared" ref="S32" si="37">R32+1</f>
        <v>2038</v>
      </c>
      <c r="T32" s="93">
        <f t="shared" ref="T32" si="38">S32+1</f>
        <v>2039</v>
      </c>
      <c r="U32" s="93">
        <f t="shared" ref="U32" si="39">T32+1</f>
        <v>2040</v>
      </c>
      <c r="V32" s="93">
        <f t="shared" ref="V32" si="40">U32+1</f>
        <v>2041</v>
      </c>
      <c r="W32" s="93">
        <f t="shared" ref="W32" si="41">V32+1</f>
        <v>2042</v>
      </c>
      <c r="X32" s="93">
        <f t="shared" ref="X32" si="42">W32+1</f>
        <v>2043</v>
      </c>
      <c r="Y32" s="93">
        <f t="shared" ref="Y32" si="43">X32+1</f>
        <v>2044</v>
      </c>
      <c r="Z32" s="101">
        <f t="shared" ref="Z32" si="44">Y32+1</f>
        <v>2045</v>
      </c>
      <c r="AA32" s="93">
        <f t="shared" ref="AA32" si="45">Z32+1</f>
        <v>2046</v>
      </c>
      <c r="AB32" s="93">
        <f t="shared" ref="AB32" si="46">AA32+1</f>
        <v>2047</v>
      </c>
      <c r="AC32" s="93">
        <f t="shared" ref="AC32" si="47">AB32+1</f>
        <v>2048</v>
      </c>
      <c r="AD32" s="93">
        <f t="shared" ref="AD32" si="48">AC32+1</f>
        <v>2049</v>
      </c>
      <c r="AE32" s="93">
        <f t="shared" ref="AE32" si="49">AD32+1</f>
        <v>2050</v>
      </c>
      <c r="AK32" s="88"/>
      <c r="AL32" s="88"/>
      <c r="AM32" s="88"/>
      <c r="AN32" s="88"/>
    </row>
    <row r="33" spans="1:40" s="10" customFormat="1" x14ac:dyDescent="0.25">
      <c r="A33" s="32" t="s">
        <v>35</v>
      </c>
      <c r="B33" s="85"/>
      <c r="C33" s="85"/>
      <c r="K33" s="102"/>
      <c r="Z33" s="102"/>
      <c r="AK33" s="11"/>
      <c r="AL33" s="11"/>
      <c r="AM33" s="11"/>
      <c r="AN33" s="11"/>
    </row>
    <row r="34" spans="1:40" s="67" customFormat="1" x14ac:dyDescent="0.25">
      <c r="A34" s="86" t="s">
        <v>47</v>
      </c>
      <c r="B34" s="63">
        <f>B17*' Look Up Data'!E34</f>
        <v>0.13586559614189472</v>
      </c>
      <c r="C34" s="63">
        <f>C17*' Look Up Data'!F34</f>
        <v>0.1231828595556161</v>
      </c>
      <c r="D34" s="63">
        <f>D17*' Look Up Data'!G34</f>
        <v>0.11259111747633273</v>
      </c>
      <c r="E34" s="63">
        <f>E17*' Look Up Data'!H34</f>
        <v>9.6379161394577556E-2</v>
      </c>
      <c r="F34" s="63">
        <f>F17*' Look Up Data'!I34</f>
        <v>8.6152643554307157E-2</v>
      </c>
      <c r="G34" s="63">
        <f>G17*' Look Up Data'!J34</f>
        <v>7.6730845859979455E-2</v>
      </c>
      <c r="H34" s="63">
        <f>H17*' Look Up Data'!K34</f>
        <v>6.872724031485497E-2</v>
      </c>
      <c r="I34" s="63">
        <f>I17*' Look Up Data'!L34</f>
        <v>6.1190300937379559E-2</v>
      </c>
      <c r="J34" s="63">
        <f>J17*' Look Up Data'!M34</f>
        <v>5.4472780608904862E-2</v>
      </c>
      <c r="K34" s="100">
        <f>K17*' Look Up Data'!N34</f>
        <v>4.7944774768335287E-2</v>
      </c>
      <c r="L34" s="63">
        <f>L17*' Look Up Data'!O34</f>
        <v>4.2914322393701812E-2</v>
      </c>
      <c r="M34" s="63">
        <f>M17*' Look Up Data'!P34</f>
        <v>3.7771479599582075E-2</v>
      </c>
      <c r="N34" s="63">
        <f>N17*' Look Up Data'!Q34</f>
        <v>3.3244953935263069E-2</v>
      </c>
      <c r="O34" s="63">
        <f>O17*' Look Up Data'!R34</f>
        <v>2.9260886093802695E-2</v>
      </c>
      <c r="P34" s="63">
        <f>P17*' Look Up Data'!S34</f>
        <v>2.5754268051077712E-2</v>
      </c>
      <c r="Q34" s="63">
        <f>Q17*' Look Up Data'!T34</f>
        <v>2.2667882330031079E-2</v>
      </c>
      <c r="R34" s="63">
        <f>R17*' Look Up Data'!U34</f>
        <v>1.9951368383254571E-2</v>
      </c>
      <c r="S34" s="63">
        <f>S17*' Look Up Data'!V34</f>
        <v>1.7560400860073832E-2</v>
      </c>
      <c r="T34" s="63">
        <f>T17*' Look Up Data'!W34</f>
        <v>1.5455966349922069E-2</v>
      </c>
      <c r="U34" s="63">
        <f>U17*' Look Up Data'!X34</f>
        <v>1.3603726800626062E-2</v>
      </c>
      <c r="V34" s="63">
        <f>V17*' Look Up Data'!Y34</f>
        <v>1.1973459224502315E-2</v>
      </c>
      <c r="W34" s="63">
        <f>W17*' Look Up Data'!Z34</f>
        <v>1.0538562549949313E-2</v>
      </c>
      <c r="X34" s="63">
        <f>X17*' Look Up Data'!AA34</f>
        <v>9.2756235718346059E-3</v>
      </c>
      <c r="Y34" s="63">
        <f>Y17*' Look Up Data'!AB34</f>
        <v>8.1640349182904044E-3</v>
      </c>
      <c r="Z34" s="100">
        <f>Z17*' Look Up Data'!AC34</f>
        <v>7.1856588002829191E-3</v>
      </c>
      <c r="AA34" s="63">
        <f>AA17*' Look Up Data'!AD34</f>
        <v>6.3245310573580623E-3</v>
      </c>
      <c r="AB34" s="63">
        <f>AB17*' Look Up Data'!AE34</f>
        <v>5.5666006704787867E-3</v>
      </c>
      <c r="AC34" s="63">
        <f>AC17*' Look Up Data'!AF34</f>
        <v>4.8995004915857038E-3</v>
      </c>
      <c r="AD34" s="63">
        <f>AD17*' Look Up Data'!AG34</f>
        <v>4.3123454488758683E-3</v>
      </c>
      <c r="AE34" s="63">
        <f>AE17*' Look Up Data'!AH34</f>
        <v>3.7955549351158017E-3</v>
      </c>
      <c r="AK34" s="71"/>
      <c r="AL34" s="71"/>
      <c r="AM34" s="71"/>
      <c r="AN34" s="71"/>
    </row>
    <row r="35" spans="1:40" s="67" customFormat="1" x14ac:dyDescent="0.25">
      <c r="A35" s="86" t="s">
        <v>48</v>
      </c>
      <c r="B35" s="63">
        <f>B18*' Look Up Data'!E35</f>
        <v>2.9790898710908751E-3</v>
      </c>
      <c r="C35" s="63">
        <f>C18*' Look Up Data'!F35</f>
        <v>2.9652599290516122E-3</v>
      </c>
      <c r="D35" s="63">
        <f>D18*' Look Up Data'!G35</f>
        <v>2.9569491844920102E-3</v>
      </c>
      <c r="E35" s="63">
        <f>E18*' Look Up Data'!H35</f>
        <v>2.9497545316100235E-3</v>
      </c>
      <c r="F35" s="63">
        <f>F18*' Look Up Data'!I35</f>
        <v>2.9484647468794494E-3</v>
      </c>
      <c r="G35" s="63">
        <f>G18*' Look Up Data'!J35</f>
        <v>2.9185356762600951E-3</v>
      </c>
      <c r="H35" s="63">
        <f>H18*' Look Up Data'!K35</f>
        <v>2.8946735762578426E-3</v>
      </c>
      <c r="I35" s="63">
        <f>I18*' Look Up Data'!L35</f>
        <v>2.8703474816122484E-3</v>
      </c>
      <c r="J35" s="63">
        <f>J18*' Look Up Data'!M35</f>
        <v>2.8455917727170901E-3</v>
      </c>
      <c r="K35" s="100">
        <f>K18*' Look Up Data'!N35</f>
        <v>2.8146000650600632E-3</v>
      </c>
      <c r="L35" s="63">
        <f>L18*' Look Up Data'!O35</f>
        <v>2.7492909639779957E-3</v>
      </c>
      <c r="M35" s="63">
        <f>M18*' Look Up Data'!P35</f>
        <v>2.6854972748853955E-3</v>
      </c>
      <c r="N35" s="63">
        <f>N18*' Look Up Data'!Q35</f>
        <v>2.62318383463563E-3</v>
      </c>
      <c r="O35" s="63">
        <f>O18*' Look Up Data'!R35</f>
        <v>2.5623162959967408E-3</v>
      </c>
      <c r="P35" s="63">
        <f>P18*' Look Up Data'!S35</f>
        <v>2.5028611087192158E-3</v>
      </c>
      <c r="Q35" s="63">
        <f>Q18*' Look Up Data'!T35</f>
        <v>2.4447855010430574E-3</v>
      </c>
      <c r="R35" s="63">
        <f>R18*' Look Up Data'!U35</f>
        <v>2.3880574616339531E-3</v>
      </c>
      <c r="S35" s="63">
        <f>S18*' Look Up Data'!V35</f>
        <v>2.3326457219385983E-3</v>
      </c>
      <c r="T35" s="63">
        <f>T18*' Look Up Data'!W35</f>
        <v>2.2785197389494347E-3</v>
      </c>
      <c r="U35" s="63">
        <f>U18*' Look Up Data'!X35</f>
        <v>2.2256496783693148E-3</v>
      </c>
      <c r="V35" s="63">
        <f>V18*' Look Up Data'!Y35</f>
        <v>2.1740063981668073E-3</v>
      </c>
      <c r="W35" s="63">
        <f>W18*' Look Up Data'!Z35</f>
        <v>2.1235614325130787E-3</v>
      </c>
      <c r="X35" s="63">
        <f>X18*' Look Up Data'!AA35</f>
        <v>2.0742869760914991E-3</v>
      </c>
      <c r="Y35" s="63">
        <f>Y18*' Look Up Data'!AB35</f>
        <v>2.0261558687713248E-3</v>
      </c>
      <c r="Z35" s="100">
        <f>Z18*' Look Up Data'!AC35</f>
        <v>1.9791415806370044E-3</v>
      </c>
      <c r="AA35" s="63">
        <f>AA18*' Look Up Data'!AD35</f>
        <v>1.933218197364864E-3</v>
      </c>
      <c r="AB35" s="63">
        <f>AB18*' Look Up Data'!AE35</f>
        <v>1.8883604059391043E-3</v>
      </c>
      <c r="AC35" s="63">
        <f>AC18*' Look Up Data'!AF35</f>
        <v>1.844543480699241E-3</v>
      </c>
      <c r="AD35" s="63">
        <f>AD18*' Look Up Data'!AG35</f>
        <v>1.801743269711296E-3</v>
      </c>
      <c r="AE35" s="63">
        <f>AE18*' Look Up Data'!AH35</f>
        <v>1.7599361814552249E-3</v>
      </c>
    </row>
    <row r="36" spans="1:40" s="67" customFormat="1" ht="18" x14ac:dyDescent="0.25">
      <c r="A36" s="86" t="s">
        <v>46</v>
      </c>
      <c r="B36" s="63">
        <f>B19*' Look Up Data'!E36</f>
        <v>0.62597229111973152</v>
      </c>
      <c r="C36" s="63">
        <f>C19*' Look Up Data'!F36</f>
        <v>0.6232568162944041</v>
      </c>
      <c r="D36" s="63">
        <f>D19*' Look Up Data'!G36</f>
        <v>0.62029322335212622</v>
      </c>
      <c r="E36" s="63">
        <f>E19*' Look Up Data'!H36</f>
        <v>0.61755704598983208</v>
      </c>
      <c r="F36" s="63">
        <f>F19*' Look Up Data'!I36</f>
        <v>0.61480922043562525</v>
      </c>
      <c r="G36" s="63">
        <f>G19*' Look Up Data'!J36</f>
        <v>0.61154348745743725</v>
      </c>
      <c r="H36" s="63">
        <f>H19*' Look Up Data'!K36</f>
        <v>0.60810787601188676</v>
      </c>
      <c r="I36" s="63">
        <f>I19*' Look Up Data'!L36</f>
        <v>0.60451181187214986</v>
      </c>
      <c r="J36" s="63">
        <f>J19*' Look Up Data'!M36</f>
        <v>0.6007643797229687</v>
      </c>
      <c r="K36" s="100">
        <f>K19*' Look Up Data'!N36</f>
        <v>0.59687433380490151</v>
      </c>
      <c r="L36" s="63">
        <f>L19*' Look Up Data'!O36</f>
        <v>0.5928501082507216</v>
      </c>
      <c r="M36" s="63">
        <f>M19*' Look Up Data'!P36</f>
        <v>0.58869982712246638</v>
      </c>
      <c r="N36" s="63">
        <f>N19*' Look Up Data'!Q36</f>
        <v>0.58443131415740746</v>
      </c>
      <c r="O36" s="63">
        <f>O19*' Look Up Data'!R36</f>
        <v>0.58897598072685409</v>
      </c>
      <c r="P36" s="63">
        <f>P19*' Look Up Data'!S36</f>
        <v>0.58429019167406038</v>
      </c>
      <c r="Q36" s="63">
        <f>Q19*' Look Up Data'!T36</f>
        <v>0.57951255703145998</v>
      </c>
      <c r="R36" s="63">
        <f>R19*' Look Up Data'!U36</f>
        <v>0.57464968590541021</v>
      </c>
      <c r="S36" s="63">
        <f>S19*' Look Up Data'!V36</f>
        <v>0.56970793411120868</v>
      </c>
      <c r="T36" s="63">
        <f>T19*' Look Up Data'!W36</f>
        <v>0.56469341227977454</v>
      </c>
      <c r="U36" s="63">
        <f>U19*' Look Up Data'!X36</f>
        <v>0.55961199372650983</v>
      </c>
      <c r="V36" s="63">
        <f>V19*' Look Up Data'!Y36</f>
        <v>0.5544693220889696</v>
      </c>
      <c r="W36" s="63">
        <f>W19*' Look Up Data'!Z36</f>
        <v>0.55669339737140633</v>
      </c>
      <c r="X36" s="63">
        <f>X19*' Look Up Data'!AA36</f>
        <v>0.55127531251421413</v>
      </c>
      <c r="Y36" s="63">
        <f>Y19*' Look Up Data'!AB36</f>
        <v>0.54581544631662426</v>
      </c>
      <c r="Z36" s="100">
        <f>Z19*' Look Up Data'!AC36</f>
        <v>0.54031850813862192</v>
      </c>
      <c r="AA36" s="63">
        <f>AA19*' Look Up Data'!AD36</f>
        <v>0.53478901459515538</v>
      </c>
      <c r="AB36" s="63">
        <f>AB19*' Look Up Data'!AE36</f>
        <v>0.529231295890779</v>
      </c>
      <c r="AC36" s="63">
        <f>AC19*' Look Up Data'!AF36</f>
        <v>0.52364950196577809</v>
      </c>
      <c r="AD36" s="63">
        <f>AD19*' Look Up Data'!AG36</f>
        <v>0.52436526222077307</v>
      </c>
      <c r="AE36" s="63">
        <f>AE19*' Look Up Data'!AH36</f>
        <v>0.51860327095685954</v>
      </c>
      <c r="AK36" s="68"/>
      <c r="AL36" s="68"/>
      <c r="AM36" s="68"/>
      <c r="AN36" s="68"/>
    </row>
    <row r="37" spans="1:40" s="67" customFormat="1" x14ac:dyDescent="0.25">
      <c r="A37" s="86" t="s">
        <v>59</v>
      </c>
      <c r="B37" s="63">
        <f>B20*' Look Up Data'!E37</f>
        <v>0.22738553528848127</v>
      </c>
      <c r="C37" s="63">
        <f>C20*' Look Up Data'!F37</f>
        <v>0.22634112819538138</v>
      </c>
      <c r="D37" s="63">
        <f>D20*' Look Up Data'!G37</f>
        <v>0.22627080701688271</v>
      </c>
      <c r="E37" s="63">
        <f>E20*' Look Up Data'!H37</f>
        <v>0.22692523708650603</v>
      </c>
      <c r="F37" s="63">
        <f>F20*' Look Up Data'!I37</f>
        <v>0.22539279782564894</v>
      </c>
      <c r="G37" s="63">
        <f>G20*' Look Up Data'!J37</f>
        <v>0.22398624706589704</v>
      </c>
      <c r="H37" s="63">
        <f>H20*' Look Up Data'!K37</f>
        <v>0.22260230245723217</v>
      </c>
      <c r="I37" s="63">
        <f>I20*' Look Up Data'!L37</f>
        <v>0.22121289120623111</v>
      </c>
      <c r="J37" s="63">
        <f>J20*' Look Up Data'!M37</f>
        <v>0.21984437347719407</v>
      </c>
      <c r="K37" s="100">
        <f>K20*' Look Up Data'!N37</f>
        <v>0.21846981641642207</v>
      </c>
      <c r="L37" s="63">
        <f>L20*' Look Up Data'!O37</f>
        <v>0.21417586688147164</v>
      </c>
      <c r="M37" s="63">
        <f>M20*' Look Up Data'!P37</f>
        <v>0.20996631345629571</v>
      </c>
      <c r="N37" s="63">
        <f>N20*' Look Up Data'!Q37</f>
        <v>0.20583949736421631</v>
      </c>
      <c r="O37" s="63">
        <f>O20*' Look Up Data'!R37</f>
        <v>0.20179379243124382</v>
      </c>
      <c r="P37" s="63">
        <f>P20*' Look Up Data'!S37</f>
        <v>0.19782760444528233</v>
      </c>
      <c r="Q37" s="63">
        <f>Q20*' Look Up Data'!T37</f>
        <v>0.19393937052792948</v>
      </c>
      <c r="R37" s="63">
        <f>R20*' Look Up Data'!U37</f>
        <v>0.19012755851862351</v>
      </c>
      <c r="S37" s="63">
        <f>S20*' Look Up Data'!V37</f>
        <v>0.18639066637089458</v>
      </c>
      <c r="T37" s="63">
        <f>T20*' Look Up Data'!W37</f>
        <v>0.18272722156048257</v>
      </c>
      <c r="U37" s="63">
        <f>U20*' Look Up Data'!X37</f>
        <v>0.17913578050508813</v>
      </c>
      <c r="V37" s="63">
        <f>V20*' Look Up Data'!Y37</f>
        <v>0.17561492799552841</v>
      </c>
      <c r="W37" s="63">
        <f>W20*' Look Up Data'!Z37</f>
        <v>0.1721632766380731</v>
      </c>
      <c r="X37" s="63">
        <f>X20*' Look Up Data'!AA37</f>
        <v>0.16877946630774121</v>
      </c>
      <c r="Y37" s="63">
        <f>Y20*' Look Up Data'!AB37</f>
        <v>0.16546216361234317</v>
      </c>
      <c r="Z37" s="100">
        <f>Z20*' Look Up Data'!AC37</f>
        <v>0.16221006136705693</v>
      </c>
      <c r="AA37" s="63">
        <f>AA20*' Look Up Data'!AD37</f>
        <v>0.15902187807933113</v>
      </c>
      <c r="AB37" s="63">
        <f>AB20*' Look Up Data'!AE37</f>
        <v>0.15589635744391231</v>
      </c>
      <c r="AC37" s="63">
        <f>AC20*' Look Up Data'!AF37</f>
        <v>0.1528322678477971</v>
      </c>
      <c r="AD37" s="63">
        <f>AD20*' Look Up Data'!AG37</f>
        <v>0.14982840188491464</v>
      </c>
      <c r="AE37" s="63">
        <f>AE20*' Look Up Data'!AH37</f>
        <v>0.14688357588034745</v>
      </c>
      <c r="AK37" s="71"/>
      <c r="AL37" s="71"/>
      <c r="AM37" s="71"/>
      <c r="AN37" s="71"/>
    </row>
    <row r="38" spans="1:40" s="67" customFormat="1" x14ac:dyDescent="0.25">
      <c r="A38" s="89" t="s">
        <v>36</v>
      </c>
      <c r="B38" s="63"/>
      <c r="C38" s="63"/>
      <c r="D38" s="63"/>
      <c r="E38" s="63"/>
      <c r="F38" s="63"/>
      <c r="G38" s="63"/>
      <c r="H38" s="63"/>
      <c r="I38" s="63"/>
      <c r="J38" s="63"/>
      <c r="K38" s="62"/>
      <c r="L38" s="63"/>
      <c r="M38" s="63"/>
      <c r="N38" s="63"/>
      <c r="O38" s="63"/>
      <c r="P38" s="63"/>
      <c r="Q38" s="63"/>
      <c r="R38" s="63"/>
      <c r="S38" s="63"/>
      <c r="T38" s="63"/>
      <c r="U38" s="63"/>
      <c r="V38" s="63"/>
      <c r="W38" s="63"/>
      <c r="X38" s="63"/>
      <c r="Y38" s="63"/>
      <c r="Z38" s="100"/>
      <c r="AA38" s="63"/>
      <c r="AB38" s="63"/>
      <c r="AC38" s="63"/>
      <c r="AD38" s="63"/>
      <c r="AE38" s="63"/>
      <c r="AK38" s="71"/>
      <c r="AL38" s="71"/>
      <c r="AM38" s="71"/>
      <c r="AN38" s="71"/>
    </row>
    <row r="39" spans="1:40" s="67" customFormat="1" x14ac:dyDescent="0.25">
      <c r="A39" s="86" t="s">
        <v>47</v>
      </c>
      <c r="B39" s="63">
        <f>B22*' Look Up Data'!E34</f>
        <v>0.54797100833550172</v>
      </c>
      <c r="C39" s="63">
        <f>C22*' Look Up Data'!F34</f>
        <v>0.50831033556910488</v>
      </c>
      <c r="D39" s="63">
        <f>D22*' Look Up Data'!G34</f>
        <v>0.47592390417914582</v>
      </c>
      <c r="E39" s="63">
        <f>E22*' Look Up Data'!H34</f>
        <v>0.45086885823677408</v>
      </c>
      <c r="F39" s="63">
        <f>F22*' Look Up Data'!I34</f>
        <v>0.42833976140662722</v>
      </c>
      <c r="G39" s="63">
        <f>G22*' Look Up Data'!J34</f>
        <v>0.40198300545704813</v>
      </c>
      <c r="H39" s="63">
        <f>H22*' Look Up Data'!K34</f>
        <v>0.37938882761677772</v>
      </c>
      <c r="I39" s="63">
        <f>I22*' Look Up Data'!L34</f>
        <v>0.355923075825193</v>
      </c>
      <c r="J39" s="63">
        <f>J22*' Look Up Data'!M34</f>
        <v>0.3338651024067652</v>
      </c>
      <c r="K39" s="63">
        <f>K22*' Look Up Data'!N34</f>
        <v>0.30963545867325931</v>
      </c>
      <c r="L39" s="63">
        <f>L22*' Look Up Data'!O34</f>
        <v>0.29203142707454566</v>
      </c>
      <c r="M39" s="63">
        <f>M22*' Look Up Data'!P34</f>
        <v>0.27083778513354789</v>
      </c>
      <c r="N39" s="63">
        <f>N22*' Look Up Data'!Q34</f>
        <v>0.2511822326482735</v>
      </c>
      <c r="O39" s="63">
        <f>O22*' Look Up Data'!R34</f>
        <v>0.23295314561467487</v>
      </c>
      <c r="P39" s="63">
        <f>P22*' Look Up Data'!S34</f>
        <v>0.21604700093482074</v>
      </c>
      <c r="Q39" s="63">
        <f>Q22*' Look Up Data'!T34</f>
        <v>0.20036778850858353</v>
      </c>
      <c r="R39" s="63">
        <f>R22*' Look Up Data'!U34</f>
        <v>0.18582646599168709</v>
      </c>
      <c r="S39" s="63">
        <f>S22*' Look Up Data'!V34</f>
        <v>0.17234045312368337</v>
      </c>
      <c r="T39" s="63">
        <f>T22*' Look Up Data'!W34</f>
        <v>0.15983316275414278</v>
      </c>
      <c r="U39" s="63">
        <f>U22*' Look Up Data'!X34</f>
        <v>0.14823356590375369</v>
      </c>
      <c r="V39" s="63">
        <f>V22*' Look Up Data'!Y34</f>
        <v>0.13747578839030991</v>
      </c>
      <c r="W39" s="63">
        <f>W22*' Look Up Data'!Z34</f>
        <v>0.12749873672882259</v>
      </c>
      <c r="X39" s="63">
        <f>X22*' Look Up Data'!AA34</f>
        <v>0.11824575118124164</v>
      </c>
      <c r="Y39" s="63">
        <f>Y22*' Look Up Data'!AB34</f>
        <v>0.10966428398545301</v>
      </c>
      <c r="Z39" s="63">
        <f>Z22*' Look Up Data'!AC34</f>
        <v>0.10170560093621289</v>
      </c>
      <c r="AA39" s="63">
        <f>AA22*' Look Up Data'!AD34</f>
        <v>9.4324504623294905E-2</v>
      </c>
      <c r="AB39" s="63">
        <f>AB22*' Look Up Data'!AE34</f>
        <v>8.7479077755118123E-2</v>
      </c>
      <c r="AC39" s="63">
        <f>AC22*' Look Up Data'!AF34</f>
        <v>8.1130445110189076E-2</v>
      </c>
      <c r="AD39" s="63">
        <f>AD22*' Look Up Data'!AG34</f>
        <v>7.524255276447861E-2</v>
      </c>
      <c r="AE39" s="63">
        <f>AE22*' Look Up Data'!AH34</f>
        <v>6.9781963340964495E-2</v>
      </c>
      <c r="AK39" s="71"/>
      <c r="AL39" s="71"/>
      <c r="AM39" s="71"/>
      <c r="AN39" s="71"/>
    </row>
    <row r="40" spans="1:40" s="67" customFormat="1" x14ac:dyDescent="0.25">
      <c r="A40" s="86" t="s">
        <v>48</v>
      </c>
      <c r="B40" s="63">
        <f>B23*' Look Up Data'!E35</f>
        <v>4.1991078011352854E-3</v>
      </c>
      <c r="C40" s="63">
        <f>C23*' Look Up Data'!F35</f>
        <v>4.2182089674421787E-3</v>
      </c>
      <c r="D40" s="63">
        <f>D23*' Look Up Data'!G35</f>
        <v>4.2434359484942235E-3</v>
      </c>
      <c r="E40" s="63">
        <f>E23*' Look Up Data'!H35</f>
        <v>4.2610145298327667E-3</v>
      </c>
      <c r="F40" s="63">
        <f>F23*' Look Up Data'!I35</f>
        <v>4.291323600136814E-3</v>
      </c>
      <c r="G40" s="63">
        <f>G23*' Look Up Data'!J35</f>
        <v>4.2819422782079232E-3</v>
      </c>
      <c r="H40" s="63">
        <f>H23*' Look Up Data'!K35</f>
        <v>4.2811049579490655E-3</v>
      </c>
      <c r="I40" s="63">
        <f>I23*' Look Up Data'!L35</f>
        <v>4.2792851871460511E-3</v>
      </c>
      <c r="J40" s="63">
        <f>J23*' Look Up Data'!M35</f>
        <v>4.2765133125758463E-3</v>
      </c>
      <c r="K40" s="63">
        <f>K23*' Look Up Data'!N35</f>
        <v>4.2639725649272113E-3</v>
      </c>
      <c r="L40" s="63">
        <f>L23*' Look Up Data'!O35</f>
        <v>4.1985457470951346E-3</v>
      </c>
      <c r="M40" s="63">
        <f>M23*' Look Up Data'!P35</f>
        <v>4.1341228448432939E-3</v>
      </c>
      <c r="N40" s="63">
        <f>N23*' Look Up Data'!Q35</f>
        <v>4.0706884539914827E-3</v>
      </c>
      <c r="O40" s="63">
        <f>O23*' Look Up Data'!R35</f>
        <v>4.0082274067227645E-3</v>
      </c>
      <c r="P40" s="63">
        <f>P23*' Look Up Data'!S35</f>
        <v>3.9467247679566856E-3</v>
      </c>
      <c r="Q40" s="63">
        <f>Q23*' Look Up Data'!T35</f>
        <v>3.8861658317781507E-3</v>
      </c>
      <c r="R40" s="63">
        <f>R23*' Look Up Data'!U35</f>
        <v>3.8265361179210841E-3</v>
      </c>
      <c r="S40" s="63">
        <f>S23*' Look Up Data'!V35</f>
        <v>3.7678213683060473E-3</v>
      </c>
      <c r="T40" s="63">
        <f>T23*' Look Up Data'!W35</f>
        <v>3.7100075436309874E-3</v>
      </c>
      <c r="U40" s="63">
        <f>U23*' Look Up Data'!X35</f>
        <v>3.6530808200142934E-3</v>
      </c>
      <c r="V40" s="63">
        <f>V23*' Look Up Data'!Y35</f>
        <v>3.5970275856893655E-3</v>
      </c>
      <c r="W40" s="63">
        <f>W23*' Look Up Data'!Z35</f>
        <v>3.541834437749899E-3</v>
      </c>
      <c r="X40" s="63">
        <f>X23*' Look Up Data'!AA35</f>
        <v>3.4874881789451135E-3</v>
      </c>
      <c r="Y40" s="63">
        <f>Y23*' Look Up Data'!AB35</f>
        <v>3.4339758145241527E-3</v>
      </c>
      <c r="Z40" s="63">
        <f>Z23*' Look Up Data'!AC35</f>
        <v>3.381284549128906E-3</v>
      </c>
      <c r="AA40" s="63">
        <f>AA23*' Look Up Data'!AD35</f>
        <v>3.3294017837345066E-3</v>
      </c>
      <c r="AB40" s="63">
        <f>AB23*' Look Up Data'!AE35</f>
        <v>3.2783151126367744E-3</v>
      </c>
      <c r="AC40" s="63">
        <f>AC23*' Look Up Data'!AF35</f>
        <v>3.2280123204858841E-3</v>
      </c>
      <c r="AD40" s="63">
        <f>AD23*' Look Up Data'!AG35</f>
        <v>3.1784813793655498E-3</v>
      </c>
      <c r="AE40" s="63">
        <f>AE23*' Look Up Data'!AH35</f>
        <v>3.1297104459170259E-3</v>
      </c>
      <c r="AK40" s="71"/>
      <c r="AL40" s="71"/>
      <c r="AM40" s="71"/>
      <c r="AN40" s="71"/>
    </row>
    <row r="41" spans="1:40" s="67" customFormat="1" ht="18" x14ac:dyDescent="0.25">
      <c r="A41" s="86" t="s">
        <v>46</v>
      </c>
      <c r="B41" s="63">
        <f>B24*' Look Up Data'!E36</f>
        <v>1.2148010978995598</v>
      </c>
      <c r="C41" s="63">
        <f>C24*' Look Up Data'!F36</f>
        <v>1.2202271393977031</v>
      </c>
      <c r="D41" s="63">
        <f>D24*' Look Up Data'!G36</f>
        <v>1.2245694716664866</v>
      </c>
      <c r="E41" s="63">
        <f>E24*' Look Up Data'!H36</f>
        <v>1.2272680530809472</v>
      </c>
      <c r="F41" s="63">
        <f>F24*' Look Up Data'!I36</f>
        <v>1.2302234707159059</v>
      </c>
      <c r="G41" s="63">
        <f>G24*' Look Up Data'!J36</f>
        <v>1.2330888604287944</v>
      </c>
      <c r="H41" s="63">
        <f>H24*' Look Up Data'!K36</f>
        <v>1.2355805113793883</v>
      </c>
      <c r="I41" s="63">
        <f>I24*' Look Up Data'!L36</f>
        <v>1.2377091598878329</v>
      </c>
      <c r="J41" s="63">
        <f>J24*' Look Up Data'!M36</f>
        <v>1.2394853016781313</v>
      </c>
      <c r="K41" s="63">
        <f>K24*' Look Up Data'!N36</f>
        <v>1.2409191967203141</v>
      </c>
      <c r="L41" s="63">
        <f>L24*' Look Up Data'!O36</f>
        <v>1.2420208739808671</v>
      </c>
      <c r="M41" s="63">
        <f>M24*' Look Up Data'!P36</f>
        <v>1.2428001360830816</v>
      </c>
      <c r="N41" s="63">
        <f>N24*' Look Up Data'!Q36</f>
        <v>1.2432665638789777</v>
      </c>
      <c r="O41" s="63">
        <f>O24*' Look Up Data'!R36</f>
        <v>1.2625592058718609</v>
      </c>
      <c r="P41" s="63">
        <f>P24*' Look Up Data'!S36</f>
        <v>1.2621360088066433</v>
      </c>
      <c r="Q41" s="63">
        <f>Q24*' Look Up Data'!T36</f>
        <v>1.2614318858820399</v>
      </c>
      <c r="R41" s="63">
        <f>R24*' Look Up Data'!U36</f>
        <v>1.2604555069523062</v>
      </c>
      <c r="S41" s="63">
        <f>S24*' Look Up Data'!V36</f>
        <v>1.2592153427252004</v>
      </c>
      <c r="T41" s="63">
        <f>T24*' Look Up Data'!W36</f>
        <v>1.2577196688204131</v>
      </c>
      <c r="U41" s="63">
        <f>U24*' Look Up Data'!X36</f>
        <v>1.2559765697505174</v>
      </c>
      <c r="V41" s="63">
        <f>V24*' Look Up Data'!Y36</f>
        <v>1.2539939428258575</v>
      </c>
      <c r="W41" s="63">
        <f>W24*' Look Up Data'!Z36</f>
        <v>1.2686954412007849</v>
      </c>
      <c r="X41" s="63">
        <f>X24*' Look Up Data'!AA36</f>
        <v>1.2659986586378724</v>
      </c>
      <c r="Y41" s="63">
        <f>Y24*' Look Up Data'!AB36</f>
        <v>1.2630888917572978</v>
      </c>
      <c r="Z41" s="63">
        <f>Z24*' Look Up Data'!AC36</f>
        <v>1.2599732665771242</v>
      </c>
      <c r="AA41" s="63">
        <f>AA24*' Look Up Data'!AD36</f>
        <v>1.2566587412609105</v>
      </c>
      <c r="AB41" s="63">
        <f>AB24*' Look Up Data'!AE36</f>
        <v>1.2531521095806886</v>
      </c>
      <c r="AC41" s="63">
        <f>AC24*' Look Up Data'!AF36</f>
        <v>1.2494600043133428</v>
      </c>
      <c r="AD41" s="63">
        <f>AD24*' Look Up Data'!AG36</f>
        <v>1.2607790091151811</v>
      </c>
      <c r="AE41" s="63">
        <f>AE24*' Look Up Data'!AH36</f>
        <v>1.2565034939995683</v>
      </c>
      <c r="AK41" s="71"/>
      <c r="AL41" s="71"/>
      <c r="AM41" s="71"/>
      <c r="AN41" s="71"/>
    </row>
    <row r="42" spans="1:40" s="67" customFormat="1" x14ac:dyDescent="0.25">
      <c r="A42" s="86" t="s">
        <v>59</v>
      </c>
      <c r="B42" s="63">
        <f>B25*' Look Up Data'!E37</f>
        <v>0.85907936903862847</v>
      </c>
      <c r="C42" s="63">
        <f>C25*' Look Up Data'!F37</f>
        <v>0.76991758532201815</v>
      </c>
      <c r="D42" s="63">
        <f>D25*' Look Up Data'!G37</f>
        <v>0.70227834925386134</v>
      </c>
      <c r="E42" s="63">
        <f>E25*' Look Up Data'!H37</f>
        <v>0.68188485117471276</v>
      </c>
      <c r="F42" s="63">
        <f>F25*' Look Up Data'!I37</f>
        <v>0.62001318241839354</v>
      </c>
      <c r="G42" s="63">
        <f>G25*' Look Up Data'!J37</f>
        <v>0.56915407596030765</v>
      </c>
      <c r="H42" s="63">
        <f>H25*' Look Up Data'!K37</f>
        <v>0.52249935390830238</v>
      </c>
      <c r="I42" s="63">
        <f>I25*' Look Up Data'!L37</f>
        <v>0.47963862138871383</v>
      </c>
      <c r="J42" s="63">
        <f>J25*' Look Up Data'!M37</f>
        <v>0.44031824135417669</v>
      </c>
      <c r="K42" s="63">
        <f>K25*' Look Up Data'!N37</f>
        <v>0.40419447677987169</v>
      </c>
      <c r="L42" s="63">
        <f>L25*' Look Up Data'!O37</f>
        <v>0.36603032948334191</v>
      </c>
      <c r="M42" s="63">
        <f>M25*' Look Up Data'!P37</f>
        <v>0.33146965086969676</v>
      </c>
      <c r="N42" s="63">
        <f>N25*' Look Up Data'!Q37</f>
        <v>0.3001722004915961</v>
      </c>
      <c r="O42" s="63">
        <f>O25*' Look Up Data'!R37</f>
        <v>0.27182986349295452</v>
      </c>
      <c r="P42" s="63">
        <f>P25*' Look Up Data'!S37</f>
        <v>0.24616361730228584</v>
      </c>
      <c r="Q42" s="63">
        <f>Q25*' Look Up Data'!T37</f>
        <v>0.22292078473164825</v>
      </c>
      <c r="R42" s="63">
        <f>R25*' Look Up Data'!U37</f>
        <v>0.20187254643869915</v>
      </c>
      <c r="S42" s="63">
        <f>S25*' Look Up Data'!V37</f>
        <v>0.18281168826272781</v>
      </c>
      <c r="T42" s="63">
        <f>T25*' Look Up Data'!W37</f>
        <v>0.16555056125780418</v>
      </c>
      <c r="U42" s="63">
        <f>U25*' Look Up Data'!X37</f>
        <v>0.14991923434012611</v>
      </c>
      <c r="V42" s="63">
        <f>V25*' Look Up Data'!Y37</f>
        <v>0.13576382136288359</v>
      </c>
      <c r="W42" s="63">
        <f>W25*' Look Up Data'!Z37</f>
        <v>0.12294496614914786</v>
      </c>
      <c r="X42" s="63">
        <f>X25*' Look Up Data'!AA37</f>
        <v>0.11133647056834776</v>
      </c>
      <c r="Y42" s="63">
        <f>Y25*' Look Up Data'!AB37</f>
        <v>0.10082405215012119</v>
      </c>
      <c r="Z42" s="63">
        <f>Z25*' Look Up Data'!AC37</f>
        <v>9.1304219004588599E-2</v>
      </c>
      <c r="AA42" s="63">
        <f>AA25*' Look Up Data'!AD37</f>
        <v>8.2683250972946112E-2</v>
      </c>
      <c r="AB42" s="63">
        <f>AB25*' Look Up Data'!AE37</f>
        <v>7.4876276978083758E-2</v>
      </c>
      <c r="AC42" s="63">
        <f>AC25*' Look Up Data'!AF37</f>
        <v>6.7806439491997522E-2</v>
      </c>
      <c r="AD42" s="63">
        <f>AD25*' Look Up Data'!AG37</f>
        <v>6.1404137894405048E-2</v>
      </c>
      <c r="AE42" s="63">
        <f>AE25*' Look Up Data'!AH37</f>
        <v>5.5606343273636998E-2</v>
      </c>
      <c r="AK42" s="71"/>
      <c r="AL42" s="71"/>
      <c r="AM42" s="71"/>
      <c r="AN42" s="71"/>
    </row>
    <row r="43" spans="1:40" s="67" customFormat="1" x14ac:dyDescent="0.25">
      <c r="A43" s="89" t="s">
        <v>37</v>
      </c>
      <c r="B43" s="63"/>
      <c r="C43" s="63"/>
      <c r="D43" s="63"/>
      <c r="E43" s="63"/>
      <c r="F43" s="63"/>
      <c r="G43" s="63"/>
      <c r="H43" s="63"/>
      <c r="I43" s="63"/>
      <c r="J43" s="63"/>
      <c r="K43" s="62"/>
      <c r="L43" s="63"/>
      <c r="M43" s="63"/>
      <c r="N43" s="63"/>
      <c r="O43" s="63"/>
      <c r="P43" s="63"/>
      <c r="Q43" s="63"/>
      <c r="R43" s="63"/>
      <c r="S43" s="63"/>
      <c r="T43" s="63"/>
      <c r="U43" s="63"/>
      <c r="V43" s="63"/>
      <c r="W43" s="63"/>
      <c r="X43" s="63"/>
      <c r="Y43" s="63"/>
      <c r="Z43" s="62"/>
      <c r="AA43" s="63"/>
      <c r="AB43" s="63"/>
      <c r="AC43" s="63"/>
      <c r="AD43" s="63"/>
      <c r="AE43" s="63"/>
      <c r="AK43" s="71"/>
      <c r="AL43" s="71"/>
      <c r="AM43" s="71"/>
      <c r="AN43" s="71"/>
    </row>
    <row r="44" spans="1:40" s="67" customFormat="1" x14ac:dyDescent="0.25">
      <c r="A44" s="86" t="s">
        <v>47</v>
      </c>
      <c r="B44" s="63">
        <f>B27*' Look Up Data'!E34</f>
        <v>2.7010435321942712</v>
      </c>
      <c r="C44" s="63">
        <f>C27*' Look Up Data'!F34</f>
        <v>2.5250584069976481</v>
      </c>
      <c r="D44" s="63">
        <f>D27*' Look Up Data'!G34</f>
        <v>2.3992714779843722</v>
      </c>
      <c r="E44" s="63">
        <f>E27*' Look Up Data'!H34</f>
        <v>2.2842005114892645</v>
      </c>
      <c r="F44" s="63">
        <f>F27*' Look Up Data'!I34</f>
        <v>2.1887631564854075</v>
      </c>
      <c r="G44" s="63">
        <f>G27*' Look Up Data'!J34</f>
        <v>2.0726557062149817</v>
      </c>
      <c r="H44" s="63">
        <f>H27*' Look Up Data'!K34</f>
        <v>1.973845270039897</v>
      </c>
      <c r="I44" s="63">
        <f>I27*' Look Up Data'!L34</f>
        <v>1.8685030365149524</v>
      </c>
      <c r="J44" s="63">
        <f>J27*' Look Up Data'!M34</f>
        <v>1.768551792509325</v>
      </c>
      <c r="K44" s="63">
        <f>K27*' Look Up Data'!N34</f>
        <v>1.6550325511683834</v>
      </c>
      <c r="L44" s="63">
        <f>L27*' Look Up Data'!O34</f>
        <v>1.5750506917361258</v>
      </c>
      <c r="M44" s="63">
        <f>M27*' Look Up Data'!P34</f>
        <v>1.4739518376586207</v>
      </c>
      <c r="N44" s="63">
        <f>N27*' Look Up Data'!Q34</f>
        <v>1.3793422847505392</v>
      </c>
      <c r="O44" s="63">
        <f>O27*' Look Up Data'!R34</f>
        <v>1.2908054998073093</v>
      </c>
      <c r="P44" s="63">
        <f>P27*' Look Up Data'!S34</f>
        <v>1.2079516859255379</v>
      </c>
      <c r="Q44" s="63">
        <f>Q27*' Look Up Data'!T34</f>
        <v>1.1304160663617953</v>
      </c>
      <c r="R44" s="63">
        <f>R27*' Look Up Data'!U34</f>
        <v>1.0578572785465237</v>
      </c>
      <c r="S44" s="63">
        <f>S27*' Look Up Data'!V34</f>
        <v>0.98995587118247486</v>
      </c>
      <c r="T44" s="63">
        <f>T27*' Look Up Data'!W34</f>
        <v>0.92641289781091452</v>
      </c>
      <c r="U44" s="63">
        <f>U27*' Look Up Data'!X34</f>
        <v>0.86694860065355339</v>
      </c>
      <c r="V44" s="63">
        <f>V27*' Look Up Data'!Y34</f>
        <v>0.81130117893561493</v>
      </c>
      <c r="W44" s="63">
        <f>W27*' Look Up Data'!Z34</f>
        <v>0.75922563626739137</v>
      </c>
      <c r="X44" s="63">
        <f>X27*' Look Up Data'!AA34</f>
        <v>0.71049270200970638</v>
      </c>
      <c r="Y44" s="63">
        <f>Y27*' Look Up Data'!AB34</f>
        <v>0.66488782187442907</v>
      </c>
      <c r="Z44" s="63">
        <f>Z27*' Look Up Data'!AC34</f>
        <v>0.62221021331600268</v>
      </c>
      <c r="AA44" s="63">
        <f>AA27*' Look Up Data'!AD34</f>
        <v>0.58227198155520132</v>
      </c>
      <c r="AB44" s="63">
        <f>AB27*' Look Up Data'!AE34</f>
        <v>0.54489729234327389</v>
      </c>
      <c r="AC44" s="63">
        <f>AC27*' Look Up Data'!AF34</f>
        <v>0.50992159782444035</v>
      </c>
      <c r="AD44" s="63">
        <f>AD27*' Look Up Data'!AG34</f>
        <v>0.47719091208848052</v>
      </c>
      <c r="AE44" s="63">
        <f>AE27*' Look Up Data'!AH34</f>
        <v>0.44656113322392366</v>
      </c>
      <c r="AK44" s="71"/>
      <c r="AL44" s="71"/>
      <c r="AM44" s="71"/>
      <c r="AN44" s="71"/>
    </row>
    <row r="45" spans="1:40" s="67" customFormat="1" x14ac:dyDescent="0.25">
      <c r="A45" s="86" t="s">
        <v>48</v>
      </c>
      <c r="B45" s="63">
        <f>B28*' Look Up Data'!E35</f>
        <v>8.9579906122029002E-3</v>
      </c>
      <c r="C45" s="63">
        <f>C28*' Look Up Data'!F35</f>
        <v>8.958275086814781E-3</v>
      </c>
      <c r="D45" s="63">
        <f>D28*' Look Up Data'!G35</f>
        <v>8.9880442753855483E-3</v>
      </c>
      <c r="E45" s="63">
        <f>E28*' Look Up Data'!H35</f>
        <v>8.9799548612084449E-3</v>
      </c>
      <c r="F45" s="63">
        <f>F28*' Look Up Data'!I35</f>
        <v>8.9994692318652453E-3</v>
      </c>
      <c r="G45" s="63">
        <f>G28*' Look Up Data'!J35</f>
        <v>8.9414809002257671E-3</v>
      </c>
      <c r="H45" s="63">
        <f>H28*' Look Up Data'!K35</f>
        <v>8.9015888928109608E-3</v>
      </c>
      <c r="I45" s="63">
        <f>I28*' Look Up Data'!L35</f>
        <v>8.8598404552258057E-3</v>
      </c>
      <c r="J45" s="63">
        <f>J28*' Look Up Data'!M35</f>
        <v>8.8163233963116389E-3</v>
      </c>
      <c r="K45" s="63">
        <f>K28*' Look Up Data'!N35</f>
        <v>8.7529631270558076E-3</v>
      </c>
      <c r="L45" s="63">
        <f>L28*' Look Up Data'!O35</f>
        <v>8.5818832105792886E-3</v>
      </c>
      <c r="M45" s="63">
        <f>M28*' Look Up Data'!P35</f>
        <v>8.4141471146349459E-3</v>
      </c>
      <c r="N45" s="63">
        <f>N28*' Look Up Data'!Q35</f>
        <v>8.2496894830080807E-3</v>
      </c>
      <c r="O45" s="63">
        <f>O28*' Look Up Data'!R35</f>
        <v>8.0884462368954971E-3</v>
      </c>
      <c r="P45" s="63">
        <f>P28*' Look Up Data'!S35</f>
        <v>7.9303545499380158E-3</v>
      </c>
      <c r="Q45" s="63">
        <f>Q28*' Look Up Data'!T35</f>
        <v>7.7753528237409887E-3</v>
      </c>
      <c r="R45" s="63">
        <f>R28*' Look Up Data'!U35</f>
        <v>7.6233806638732818E-3</v>
      </c>
      <c r="S45" s="63">
        <f>S28*' Look Up Data'!V35</f>
        <v>7.4743788563353553E-3</v>
      </c>
      <c r="T45" s="63">
        <f>T28*' Look Up Data'!W35</f>
        <v>7.3282893444872894E-3</v>
      </c>
      <c r="U45" s="63">
        <f>U28*' Look Up Data'!X35</f>
        <v>7.1850552064277647E-3</v>
      </c>
      <c r="V45" s="63">
        <f>V28*' Look Up Data'!Y35</f>
        <v>7.0446206328151715E-3</v>
      </c>
      <c r="W45" s="63">
        <f>W28*' Look Up Data'!Z35</f>
        <v>6.906930905122218E-3</v>
      </c>
      <c r="X45" s="63">
        <f>X28*' Look Up Data'!AA35</f>
        <v>6.7719323743155591E-3</v>
      </c>
      <c r="Y45" s="63">
        <f>Y28*' Look Up Data'!AB35</f>
        <v>6.6395724399521397E-3</v>
      </c>
      <c r="Z45" s="63">
        <f>Z28*' Look Up Data'!AC35</f>
        <v>6.5097995296841083E-3</v>
      </c>
      <c r="AA45" s="63">
        <f>AA28*' Look Up Data'!AD35</f>
        <v>6.3825630791643131E-3</v>
      </c>
      <c r="AB45" s="63">
        <f>AB28*' Look Up Data'!AE35</f>
        <v>6.257813512344554E-3</v>
      </c>
      <c r="AC45" s="63">
        <f>AC28*' Look Up Data'!AF35</f>
        <v>6.1355022221589138E-3</v>
      </c>
      <c r="AD45" s="63">
        <f>AD28*' Look Up Data'!AG35</f>
        <v>6.0155815515846398E-3</v>
      </c>
      <c r="AE45" s="63">
        <f>AE28*' Look Up Data'!AH35</f>
        <v>5.8980047750731924E-3</v>
      </c>
      <c r="AK45" s="71"/>
      <c r="AL45" s="71"/>
      <c r="AM45" s="71"/>
      <c r="AN45" s="71"/>
    </row>
    <row r="46" spans="1:40" s="67" customFormat="1" ht="18" x14ac:dyDescent="0.25">
      <c r="A46" s="86" t="s">
        <v>46</v>
      </c>
      <c r="B46" s="63">
        <f>B29*' Look Up Data'!E36</f>
        <v>3.3473372214412023</v>
      </c>
      <c r="C46" s="63">
        <f>C29*' Look Up Data'!F36</f>
        <v>3.3510919784514814</v>
      </c>
      <c r="D46" s="63">
        <f>D29*' Look Up Data'!G36</f>
        <v>3.35693450808518</v>
      </c>
      <c r="E46" s="63">
        <f>E29*' Look Up Data'!H36</f>
        <v>3.3487625636595379</v>
      </c>
      <c r="F46" s="63">
        <f>F29*' Look Up Data'!I36</f>
        <v>3.3433863486690152</v>
      </c>
      <c r="G46" s="63">
        <f>G29*' Look Up Data'!J36</f>
        <v>3.3396349486323516</v>
      </c>
      <c r="H46" s="63">
        <f>H29*' Look Up Data'!K36</f>
        <v>3.3348610148784945</v>
      </c>
      <c r="I46" s="63">
        <f>I29*' Look Up Data'!L36</f>
        <v>3.3291039844572445</v>
      </c>
      <c r="J46" s="63">
        <f>J29*' Look Up Data'!M36</f>
        <v>3.3224021792310392</v>
      </c>
      <c r="K46" s="63">
        <f>K29*' Look Up Data'!N36</f>
        <v>3.3147928337514689</v>
      </c>
      <c r="L46" s="63">
        <f>L29*' Look Up Data'!O36</f>
        <v>3.3063121224839427</v>
      </c>
      <c r="M46" s="63">
        <f>M29*' Look Up Data'!P36</f>
        <v>3.2969951863951152</v>
      </c>
      <c r="N46" s="63">
        <f>N29*' Look Up Data'!Q36</f>
        <v>3.2868761589173769</v>
      </c>
      <c r="O46" s="63">
        <f>O29*' Look Up Data'!R36</f>
        <v>3.3263880096321561</v>
      </c>
      <c r="P46" s="63">
        <f>P29*' Look Up Data'!S36</f>
        <v>3.3138235300791368</v>
      </c>
      <c r="Q46" s="63">
        <f>Q29*' Look Up Data'!T36</f>
        <v>3.3005710878895242</v>
      </c>
      <c r="R46" s="63">
        <f>R29*' Look Up Data'!U36</f>
        <v>3.2866607072891667</v>
      </c>
      <c r="S46" s="63">
        <f>S29*' Look Up Data'!V36</f>
        <v>3.2721215320194807</v>
      </c>
      <c r="T46" s="63">
        <f>T29*' Look Up Data'!W36</f>
        <v>3.2569818477339885</v>
      </c>
      <c r="U46" s="63">
        <f>U29*' Look Up Data'!X36</f>
        <v>3.2412691038657666</v>
      </c>
      <c r="V46" s="63">
        <f>V29*' Look Up Data'!Y36</f>
        <v>3.2250099349777384</v>
      </c>
      <c r="W46" s="63">
        <f>W29*' Look Up Data'!Z36</f>
        <v>3.2515846435211224</v>
      </c>
      <c r="X46" s="63">
        <f>X29*' Look Up Data'!AA36</f>
        <v>3.2335009760930542</v>
      </c>
      <c r="Y46" s="63">
        <f>Y29*' Look Up Data'!AB36</f>
        <v>3.2149611776327824</v>
      </c>
      <c r="Z46" s="63">
        <f>Z29*' Look Up Data'!AC36</f>
        <v>3.1959885457219452</v>
      </c>
      <c r="AA46" s="63">
        <f>AA29*' Look Up Data'!AD36</f>
        <v>3.1766056677071153</v>
      </c>
      <c r="AB46" s="63">
        <f>AB29*' Look Up Data'!AE36</f>
        <v>3.1568344390860572</v>
      </c>
      <c r="AC46" s="63">
        <f>AC29*' Look Up Data'!AF36</f>
        <v>3.1366960814552467</v>
      </c>
      <c r="AD46" s="63">
        <f>AD29*' Look Up Data'!AG36</f>
        <v>3.154213735150933</v>
      </c>
      <c r="AE46" s="63">
        <f>AE29*' Look Up Data'!AH36</f>
        <v>3.1326935718305999</v>
      </c>
      <c r="AK46" s="71"/>
      <c r="AL46" s="71"/>
      <c r="AM46" s="71"/>
      <c r="AN46" s="71"/>
    </row>
    <row r="47" spans="1:40" x14ac:dyDescent="0.25">
      <c r="A47" s="86" t="s">
        <v>59</v>
      </c>
      <c r="B47" s="63">
        <f>B30*' Look Up Data'!E37</f>
        <v>2.9862039006167982</v>
      </c>
      <c r="C47" s="63">
        <f>C30*' Look Up Data'!F37</f>
        <v>2.6490742903853115</v>
      </c>
      <c r="D47" s="63">
        <f>D30*' Look Up Data'!G37</f>
        <v>2.4031989978646831</v>
      </c>
      <c r="E47" s="63">
        <f>E30*' Look Up Data'!H37</f>
        <v>2.1916756452114301</v>
      </c>
      <c r="F47" s="63">
        <f>F30*' Look Up Data'!I37</f>
        <v>2.0181279276929152</v>
      </c>
      <c r="G47" s="63">
        <f>G30*' Look Up Data'!J37</f>
        <v>1.8223971159405494</v>
      </c>
      <c r="H47" s="63">
        <f>H30*' Look Up Data'!K37</f>
        <v>1.6457517548876541</v>
      </c>
      <c r="I47" s="63">
        <f>I30*' Look Up Data'!L37</f>
        <v>1.4861344962119742</v>
      </c>
      <c r="J47" s="63">
        <f>J30*' Look Up Data'!M37</f>
        <v>1.342072714269442</v>
      </c>
      <c r="K47" s="63">
        <f>K30*' Look Up Data'!N37</f>
        <v>1.2118954191336724</v>
      </c>
      <c r="L47" s="63">
        <f>L30*' Look Up Data'!O37</f>
        <v>1.0795859949681337</v>
      </c>
      <c r="M47" s="63">
        <f>M30*' Look Up Data'!P37</f>
        <v>0.96172153317032982</v>
      </c>
      <c r="N47" s="63">
        <f>N30*' Look Up Data'!Q37</f>
        <v>0.85672499613223541</v>
      </c>
      <c r="O47" s="63">
        <f>O30*' Look Up Data'!R37</f>
        <v>0.76319152029196013</v>
      </c>
      <c r="P47" s="63">
        <f>P30*' Look Up Data'!S37</f>
        <v>0.67986961892687736</v>
      </c>
      <c r="Q47" s="63">
        <f>Q30*' Look Up Data'!T37</f>
        <v>0.60564443714331817</v>
      </c>
      <c r="R47" s="63">
        <f>R30*' Look Up Data'!U37</f>
        <v>0.53952283501301446</v>
      </c>
      <c r="S47" s="63">
        <f>S30*' Look Up Data'!V37</f>
        <v>0.4806200992672518</v>
      </c>
      <c r="T47" s="63">
        <f>T30*' Look Up Data'!W37</f>
        <v>0.42814810574994638</v>
      </c>
      <c r="U47" s="63">
        <f>U30*' Look Up Data'!X37</f>
        <v>0.38140477424215286</v>
      </c>
      <c r="V47" s="63">
        <f>V30*' Look Up Data'!Y37</f>
        <v>0.33976467456256121</v>
      </c>
      <c r="W47" s="63">
        <f>W30*' Look Up Data'!Z37</f>
        <v>0.30267065825272171</v>
      </c>
      <c r="X47" s="63">
        <f>X30*' Look Up Data'!AA37</f>
        <v>0.26962640387815745</v>
      </c>
      <c r="Y47" s="63">
        <f>Y30*' Look Up Data'!AB37</f>
        <v>0.24018977620079088</v>
      </c>
      <c r="Z47" s="63">
        <f>Z30*' Look Up Data'!AC37</f>
        <v>0.21396691036778534</v>
      </c>
      <c r="AA47" s="63">
        <f>AA30*' Look Up Data'!AD37</f>
        <v>0.19060694196269101</v>
      </c>
      <c r="AB47" s="63">
        <f>AB30*' Look Up Data'!AE37</f>
        <v>0.16979731240648235</v>
      </c>
      <c r="AC47" s="63">
        <f>AC30*' Look Up Data'!AF37</f>
        <v>0.15125958689431107</v>
      </c>
      <c r="AD47" s="63">
        <f>AD30*' Look Up Data'!AG37</f>
        <v>0.13474572891157358</v>
      </c>
      <c r="AE47" s="63">
        <f>AE30*' Look Up Data'!AH37</f>
        <v>0.12003478148196731</v>
      </c>
    </row>
    <row r="48" spans="1:40" s="35" customFormat="1" x14ac:dyDescent="0.25">
      <c r="A48" s="61"/>
      <c r="F48" s="97"/>
      <c r="G48" s="31"/>
      <c r="H48" s="31"/>
    </row>
    <row r="49" spans="1:25" x14ac:dyDescent="0.25">
      <c r="A49" s="60" t="s">
        <v>63</v>
      </c>
      <c r="B49" s="57"/>
      <c r="C49" s="57"/>
      <c r="D49" s="57"/>
      <c r="E49" s="57"/>
      <c r="F49" s="57"/>
      <c r="G49" s="15"/>
      <c r="H49" s="10"/>
      <c r="I49" s="10"/>
      <c r="J49" s="10"/>
      <c r="K49" s="10"/>
      <c r="L49" s="10"/>
      <c r="M49" s="10"/>
      <c r="N49" s="10"/>
      <c r="O49" s="10"/>
      <c r="P49" s="10"/>
      <c r="Q49" s="10"/>
      <c r="R49" s="10"/>
      <c r="S49" s="10"/>
      <c r="T49" s="10"/>
      <c r="U49" s="10"/>
      <c r="V49" s="10"/>
      <c r="W49" s="10"/>
      <c r="X49" s="10"/>
    </row>
    <row r="50" spans="1:25" s="67" customFormat="1" x14ac:dyDescent="0.25">
      <c r="A50" s="60"/>
      <c r="B50" s="57"/>
      <c r="C50" s="57"/>
      <c r="D50" s="57"/>
      <c r="E50" s="57"/>
      <c r="F50" s="57"/>
      <c r="G50" s="15"/>
      <c r="H50" s="10"/>
      <c r="I50" s="10"/>
      <c r="J50" s="10"/>
      <c r="K50" s="10"/>
      <c r="L50" s="10"/>
      <c r="M50" s="10"/>
      <c r="N50" s="10"/>
      <c r="O50" s="10"/>
      <c r="P50" s="10"/>
      <c r="Q50" s="10"/>
      <c r="R50" s="10"/>
      <c r="S50" s="10"/>
      <c r="T50" s="10"/>
      <c r="U50" s="10"/>
      <c r="V50" s="10"/>
      <c r="W50" s="10"/>
      <c r="X50" s="10"/>
    </row>
    <row r="51" spans="1:25" x14ac:dyDescent="0.25">
      <c r="A51" s="58" t="s">
        <v>43</v>
      </c>
      <c r="B51" s="57"/>
      <c r="C51" s="57"/>
      <c r="D51" s="57"/>
      <c r="E51" s="57"/>
      <c r="F51" s="57"/>
      <c r="G51" s="15"/>
      <c r="H51" s="10"/>
      <c r="I51" s="10"/>
      <c r="J51" s="10"/>
      <c r="K51" s="10"/>
      <c r="L51" s="10"/>
      <c r="M51" s="10"/>
      <c r="N51" s="10"/>
      <c r="O51" s="10"/>
      <c r="P51" s="10"/>
      <c r="Q51" s="10"/>
      <c r="R51" s="10"/>
      <c r="S51" s="10"/>
      <c r="T51" s="10"/>
      <c r="U51" s="10"/>
      <c r="V51" s="10"/>
      <c r="W51" s="10"/>
      <c r="X51" s="10"/>
    </row>
    <row r="52" spans="1:25" x14ac:dyDescent="0.25">
      <c r="A52" s="59" t="s">
        <v>44</v>
      </c>
      <c r="B52" s="57"/>
      <c r="C52" s="57"/>
      <c r="D52" s="57"/>
      <c r="E52" s="57"/>
      <c r="F52" s="57"/>
      <c r="G52" s="15"/>
      <c r="H52" s="10"/>
      <c r="I52" s="10"/>
      <c r="J52" s="10"/>
      <c r="K52" s="10"/>
      <c r="L52" s="10"/>
      <c r="M52" s="10"/>
      <c r="N52" s="10"/>
      <c r="O52" s="10"/>
      <c r="P52" s="10"/>
      <c r="Q52" s="10"/>
      <c r="R52" s="10"/>
      <c r="S52" s="10"/>
      <c r="T52" s="10"/>
      <c r="U52" s="10"/>
      <c r="V52" s="10"/>
      <c r="W52" s="10"/>
      <c r="X52" s="10"/>
    </row>
    <row r="53" spans="1:25" x14ac:dyDescent="0.25">
      <c r="A53" s="57"/>
      <c r="B53" s="57"/>
      <c r="C53" s="57"/>
      <c r="D53" s="57"/>
      <c r="E53" s="57"/>
      <c r="F53" s="57"/>
      <c r="G53" s="15"/>
      <c r="H53" s="23"/>
      <c r="I53" s="23"/>
      <c r="J53" s="23"/>
      <c r="K53" s="23"/>
      <c r="L53" s="23"/>
      <c r="M53" s="23"/>
      <c r="N53" s="23"/>
      <c r="O53" s="23"/>
      <c r="P53" s="23"/>
      <c r="Q53" s="23"/>
      <c r="R53" s="23"/>
      <c r="S53" s="23"/>
      <c r="T53" s="23"/>
      <c r="U53" s="23"/>
      <c r="V53" s="23"/>
      <c r="W53" s="23"/>
      <c r="X53" s="23"/>
      <c r="Y53" s="8"/>
    </row>
    <row r="54" spans="1:25"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row>
    <row r="55" spans="1:25" x14ac:dyDescent="0.25">
      <c r="E55" s="67"/>
    </row>
  </sheetData>
  <hyperlinks>
    <hyperlink ref="A51" r:id="rId1" xr:uid="{E4AF025F-C7CC-49E7-9342-93A04EFFF1A9}"/>
    <hyperlink ref="A52" r:id="rId2" xr:uid="{330ECC24-729A-4E66-836D-175B34D96AA2}"/>
  </hyperlinks>
  <pageMargins left="0.7" right="0.7" top="0.75" bottom="0.75" header="0.3" footer="0.3"/>
  <pageSetup orientation="portrait"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09A41-691D-4081-9CD4-348F49007131}">
  <sheetPr>
    <tabColor rgb="FF92D050"/>
  </sheetPr>
  <dimension ref="A1:C14"/>
  <sheetViews>
    <sheetView workbookViewId="0">
      <selection activeCell="E14" sqref="E14"/>
    </sheetView>
  </sheetViews>
  <sheetFormatPr defaultRowHeight="15" x14ac:dyDescent="0.25"/>
  <cols>
    <col min="1" max="1" width="30.85546875" style="75" customWidth="1"/>
    <col min="2" max="3" width="13.85546875" customWidth="1"/>
  </cols>
  <sheetData>
    <row r="1" spans="1:3" ht="18.75" x14ac:dyDescent="0.3">
      <c r="A1" s="7" t="s">
        <v>190</v>
      </c>
    </row>
    <row r="5" spans="1:3" x14ac:dyDescent="0.25">
      <c r="A5" s="75" t="s">
        <v>187</v>
      </c>
      <c r="B5">
        <v>16676</v>
      </c>
    </row>
    <row r="6" spans="1:3" ht="30" x14ac:dyDescent="0.25">
      <c r="A6" s="75" t="s">
        <v>188</v>
      </c>
      <c r="B6">
        <f>B5/4</f>
        <v>4169</v>
      </c>
    </row>
    <row r="7" spans="1:3" ht="30" x14ac:dyDescent="0.25">
      <c r="A7" s="75" t="s">
        <v>189</v>
      </c>
      <c r="B7">
        <v>100</v>
      </c>
    </row>
    <row r="8" spans="1:3" x14ac:dyDescent="0.25">
      <c r="A8" s="75" t="s">
        <v>191</v>
      </c>
      <c r="B8">
        <v>90</v>
      </c>
    </row>
    <row r="9" spans="1:3" x14ac:dyDescent="0.25">
      <c r="A9" s="75" t="s">
        <v>192</v>
      </c>
      <c r="B9">
        <v>50</v>
      </c>
    </row>
    <row r="10" spans="1:3" x14ac:dyDescent="0.25">
      <c r="A10" s="75" t="s">
        <v>193</v>
      </c>
      <c r="B10">
        <f>B8-B9</f>
        <v>40</v>
      </c>
    </row>
    <row r="12" spans="1:3" ht="28.7" customHeight="1" x14ac:dyDescent="0.25">
      <c r="A12" s="266" t="s">
        <v>200</v>
      </c>
      <c r="B12" s="265">
        <v>5000</v>
      </c>
      <c r="C12" t="s">
        <v>196</v>
      </c>
    </row>
    <row r="13" spans="1:3" x14ac:dyDescent="0.25">
      <c r="A13" s="266"/>
      <c r="B13" s="265"/>
      <c r="C13" s="4" t="s">
        <v>195</v>
      </c>
    </row>
    <row r="14" spans="1:3" ht="30" x14ac:dyDescent="0.25">
      <c r="A14" s="75" t="s">
        <v>228</v>
      </c>
      <c r="B14" s="190">
        <f>B10/10*B12*B7</f>
        <v>2000000</v>
      </c>
    </row>
  </sheetData>
  <mergeCells count="2">
    <mergeCell ref="B12:B13"/>
    <mergeCell ref="A12:A13"/>
  </mergeCells>
  <hyperlinks>
    <hyperlink ref="C13" r:id="rId1" xr:uid="{0045CD1A-6F9F-46B3-856D-8615BFF7D5BB}"/>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57C3AB3CD281428760A3959EF6E57C" ma:contentTypeVersion="11" ma:contentTypeDescription="Create a new document." ma:contentTypeScope="" ma:versionID="7ad2c0105a8d566fa76e886cc2b7f979">
  <xsd:schema xmlns:xsd="http://www.w3.org/2001/XMLSchema" xmlns:xs="http://www.w3.org/2001/XMLSchema" xmlns:p="http://schemas.microsoft.com/office/2006/metadata/properties" xmlns:ns2="5b3d5c2b-b64d-4b99-b41b-2b402197a6dc" xmlns:ns3="b30adebb-8c17-4f2c-a5e7-bd4f71c4c88a" targetNamespace="http://schemas.microsoft.com/office/2006/metadata/properties" ma:root="true" ma:fieldsID="b70f5b5927e79b4e714606987e512853" ns2:_="" ns3:_="">
    <xsd:import namespace="5b3d5c2b-b64d-4b99-b41b-2b402197a6dc"/>
    <xsd:import namespace="b30adebb-8c17-4f2c-a5e7-bd4f71c4c8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3d5c2b-b64d-4b99-b41b-2b402197a6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0adebb-8c17-4f2c-a5e7-bd4f71c4c8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71D9DE-7E29-426F-8C93-5191A37BEACC}">
  <ds:schemaRefs>
    <ds:schemaRef ds:uri="http://purl.org/dc/dcmitype/"/>
    <ds:schemaRef ds:uri="http://schemas.microsoft.com/office/2006/documentManagement/types"/>
    <ds:schemaRef ds:uri="http://www.w3.org/XML/1998/namespace"/>
    <ds:schemaRef ds:uri="7e168d4e-f650-4b76-bafd-0826542b0a5c"/>
    <ds:schemaRef ds:uri="http://schemas.openxmlformats.org/package/2006/metadata/core-properties"/>
    <ds:schemaRef ds:uri="http://purl.org/dc/elements/1.1/"/>
    <ds:schemaRef ds:uri="http://schemas.microsoft.com/office/infopath/2007/PartnerControls"/>
    <ds:schemaRef ds:uri="9a903cf6-a1bb-469c-8ec6-069130e1654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07BF5CB-C97F-4D17-A49D-049F3D192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3d5c2b-b64d-4b99-b41b-2b402197a6dc"/>
    <ds:schemaRef ds:uri="b30adebb-8c17-4f2c-a5e7-bd4f71c4c8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7A0DCE-1A1A-4DBC-AE22-18A9FA03A3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Results</vt:lpstr>
      <vt:lpstr>Costs</vt:lpstr>
      <vt:lpstr>Travel Time - vehicles</vt:lpstr>
      <vt:lpstr>Travel Reliability</vt:lpstr>
      <vt:lpstr>Travel Time - bike and ped</vt:lpstr>
      <vt:lpstr>Emergency Response</vt:lpstr>
      <vt:lpstr>Fuel Consumption</vt:lpstr>
      <vt:lpstr>Emissions</vt:lpstr>
      <vt:lpstr>Noise</vt:lpstr>
      <vt:lpstr>Crash Reduction</vt:lpstr>
      <vt:lpstr> Look Up Data</vt:lpstr>
      <vt:lpstr>Sheet2</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 Hirschman</dc:creator>
  <cp:keywords/>
  <dc:description/>
  <cp:lastModifiedBy>Sarah McElroy</cp:lastModifiedBy>
  <cp:revision/>
  <dcterms:created xsi:type="dcterms:W3CDTF">2019-10-06T09:35:23Z</dcterms:created>
  <dcterms:modified xsi:type="dcterms:W3CDTF">2022-04-12T21:09:59Z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0x010100E757C3AB3CD281428760A3959EF6E57C</vt:lpwstr>
  </property>
</Properties>
</file>