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Egnyte\Shared\Large File Sharing\CHBP Application Seminole\Appendix - Detailed Cost Estimate\"/>
    </mc:Choice>
  </mc:AlternateContent>
  <xr:revisionPtr revIDLastSave="0" documentId="13_ncr:1_{7E343577-98B2-4856-8407-10897F6152DA}" xr6:coauthVersionLast="38" xr6:coauthVersionMax="38" xr10:uidLastSave="{00000000-0000-0000-0000-000000000000}"/>
  <bookViews>
    <workbookView xWindow="0" yWindow="0" windowWidth="21570" windowHeight="7860" xr2:uid="{00000000-000D-0000-FFFF-FFFF00000000}"/>
  </bookViews>
  <sheets>
    <sheet name="Bridge Funding and Cos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30" i="1"/>
  <c r="I38" i="1"/>
  <c r="I46" i="1"/>
  <c r="I54" i="1"/>
  <c r="I62" i="1"/>
  <c r="I70" i="1"/>
  <c r="Q70" i="1"/>
  <c r="Q69" i="1"/>
  <c r="Q62" i="1"/>
  <c r="Q54" i="1"/>
  <c r="Q53" i="1"/>
  <c r="Q46" i="1"/>
  <c r="Q45" i="1"/>
  <c r="Q38" i="1"/>
  <c r="Q37" i="1"/>
  <c r="Q30" i="1"/>
  <c r="Q29" i="1"/>
  <c r="Q21" i="1"/>
  <c r="Q22" i="1"/>
  <c r="N61" i="1" l="1"/>
  <c r="P61" i="1"/>
  <c r="E61" i="1"/>
  <c r="G61" i="1"/>
  <c r="H69" i="1"/>
  <c r="E69" i="1"/>
  <c r="I69" i="1" s="1"/>
  <c r="H61" i="1"/>
  <c r="H53" i="1"/>
  <c r="E53" i="1"/>
  <c r="H45" i="1"/>
  <c r="E45" i="1"/>
  <c r="I45" i="1" s="1"/>
  <c r="H37" i="1"/>
  <c r="E37" i="1"/>
  <c r="H29" i="1"/>
  <c r="E29" i="1"/>
  <c r="I29" i="1" s="1"/>
  <c r="H21" i="1"/>
  <c r="E21" i="1"/>
  <c r="F68" i="1"/>
  <c r="G68" i="1" s="1"/>
  <c r="D68" i="1"/>
  <c r="D67" i="1"/>
  <c r="F66" i="1"/>
  <c r="G66" i="1" s="1"/>
  <c r="D66" i="1"/>
  <c r="F60" i="1"/>
  <c r="G60" i="1" s="1"/>
  <c r="D60" i="1"/>
  <c r="D59" i="1"/>
  <c r="F58" i="1"/>
  <c r="G58" i="1" s="1"/>
  <c r="D58" i="1"/>
  <c r="F52" i="1"/>
  <c r="G52" i="1" s="1"/>
  <c r="D52" i="1"/>
  <c r="D51" i="1"/>
  <c r="F50" i="1"/>
  <c r="G50" i="1" s="1"/>
  <c r="D50" i="1"/>
  <c r="F44" i="1"/>
  <c r="G44" i="1" s="1"/>
  <c r="D44" i="1"/>
  <c r="D43" i="1"/>
  <c r="F42" i="1"/>
  <c r="G42" i="1" s="1"/>
  <c r="D42" i="1"/>
  <c r="F36" i="1"/>
  <c r="G36" i="1" s="1"/>
  <c r="D36" i="1"/>
  <c r="D35" i="1"/>
  <c r="F34" i="1"/>
  <c r="G34" i="1" s="1"/>
  <c r="D34" i="1"/>
  <c r="F28" i="1"/>
  <c r="G28" i="1" s="1"/>
  <c r="D28" i="1"/>
  <c r="D27" i="1"/>
  <c r="F26" i="1"/>
  <c r="G26" i="1" s="1"/>
  <c r="D26" i="1"/>
  <c r="F20" i="1"/>
  <c r="G20" i="1" s="1"/>
  <c r="D20" i="1"/>
  <c r="D19" i="1"/>
  <c r="F18" i="1"/>
  <c r="D18" i="1"/>
  <c r="D10" i="1" l="1"/>
  <c r="I28" i="1"/>
  <c r="I35" i="1"/>
  <c r="I61" i="1"/>
  <c r="I34" i="1"/>
  <c r="I66" i="1"/>
  <c r="I43" i="1"/>
  <c r="I58" i="1"/>
  <c r="D11" i="1"/>
  <c r="I20" i="1"/>
  <c r="I52" i="1"/>
  <c r="I59" i="1"/>
  <c r="I21" i="1"/>
  <c r="I37" i="1"/>
  <c r="I53" i="1"/>
  <c r="N13" i="1"/>
  <c r="Q61" i="1"/>
  <c r="E28" i="1"/>
  <c r="E35" i="1"/>
  <c r="E50" i="1"/>
  <c r="I50" i="1" s="1"/>
  <c r="E60" i="1"/>
  <c r="I60" i="1" s="1"/>
  <c r="E67" i="1"/>
  <c r="I67" i="1" s="1"/>
  <c r="E19" i="1"/>
  <c r="I19" i="1" s="1"/>
  <c r="E26" i="1"/>
  <c r="I26" i="1" s="1"/>
  <c r="E36" i="1"/>
  <c r="I36" i="1" s="1"/>
  <c r="E43" i="1"/>
  <c r="E58" i="1"/>
  <c r="E68" i="1"/>
  <c r="I68" i="1" s="1"/>
  <c r="E20" i="1"/>
  <c r="E34" i="1"/>
  <c r="E44" i="1"/>
  <c r="I44" i="1" s="1"/>
  <c r="E51" i="1"/>
  <c r="I51" i="1" s="1"/>
  <c r="E66" i="1"/>
  <c r="E18" i="1"/>
  <c r="I18" i="1" s="1"/>
  <c r="E27" i="1"/>
  <c r="I27" i="1" s="1"/>
  <c r="E42" i="1"/>
  <c r="I42" i="1" s="1"/>
  <c r="E52" i="1"/>
  <c r="E59" i="1"/>
  <c r="F12" i="1"/>
  <c r="G12" i="1"/>
  <c r="F10" i="1"/>
  <c r="D12" i="1"/>
  <c r="G18" i="1"/>
  <c r="G10" i="1" s="1"/>
  <c r="E11" i="1" l="1"/>
  <c r="E10" i="1"/>
  <c r="E12" i="1"/>
  <c r="M68" i="1"/>
  <c r="M67" i="1"/>
  <c r="M66" i="1"/>
  <c r="M60" i="1"/>
  <c r="M59" i="1"/>
  <c r="M58" i="1"/>
  <c r="M52" i="1"/>
  <c r="M51" i="1"/>
  <c r="M50" i="1"/>
  <c r="M44" i="1"/>
  <c r="N44" i="1"/>
  <c r="M43" i="1"/>
  <c r="M42" i="1"/>
  <c r="M36" i="1"/>
  <c r="M35" i="1"/>
  <c r="M34" i="1"/>
  <c r="M28" i="1"/>
  <c r="M27" i="1"/>
  <c r="M26" i="1"/>
  <c r="M20" i="1"/>
  <c r="M19" i="1"/>
  <c r="M18" i="1"/>
  <c r="O68" i="1"/>
  <c r="P68" i="1" s="1"/>
  <c r="O66" i="1"/>
  <c r="P66" i="1" s="1"/>
  <c r="O60" i="1"/>
  <c r="P60" i="1" s="1"/>
  <c r="O58" i="1"/>
  <c r="P58" i="1" s="1"/>
  <c r="O52" i="1"/>
  <c r="P52" i="1" s="1"/>
  <c r="O50" i="1"/>
  <c r="P50" i="1" s="1"/>
  <c r="O44" i="1"/>
  <c r="P44" i="1" s="1"/>
  <c r="O42" i="1"/>
  <c r="P42" i="1" s="1"/>
  <c r="O36" i="1"/>
  <c r="P36" i="1" s="1"/>
  <c r="O34" i="1"/>
  <c r="P34" i="1" s="1"/>
  <c r="O28" i="1"/>
  <c r="P28" i="1" s="1"/>
  <c r="O20" i="1"/>
  <c r="P20" i="1" s="1"/>
  <c r="O26" i="1"/>
  <c r="P26" i="1" s="1"/>
  <c r="O18" i="1"/>
  <c r="P18" i="1" s="1"/>
  <c r="N28" i="1" l="1"/>
  <c r="Q28" i="1"/>
  <c r="N50" i="1"/>
  <c r="N55" i="1" s="1"/>
  <c r="Q50" i="1"/>
  <c r="N68" i="1"/>
  <c r="Q68" i="1"/>
  <c r="N43" i="1"/>
  <c r="N47" i="1" s="1"/>
  <c r="Q43" i="1"/>
  <c r="N26" i="1"/>
  <c r="Q26" i="1"/>
  <c r="N66" i="1"/>
  <c r="N71" i="1" s="1"/>
  <c r="Q66" i="1"/>
  <c r="N42" i="1"/>
  <c r="Q42" i="1"/>
  <c r="N59" i="1"/>
  <c r="Q59" i="1"/>
  <c r="N34" i="1"/>
  <c r="Q34" i="1"/>
  <c r="N51" i="1"/>
  <c r="Q51" i="1"/>
  <c r="N60" i="1"/>
  <c r="Q60" i="1"/>
  <c r="N35" i="1"/>
  <c r="N39" i="1" s="1"/>
  <c r="Q35" i="1"/>
  <c r="N52" i="1"/>
  <c r="Q52" i="1"/>
  <c r="N27" i="1"/>
  <c r="N31" i="1" s="1"/>
  <c r="Q27" i="1"/>
  <c r="N36" i="1"/>
  <c r="Q36" i="1"/>
  <c r="Q44" i="1"/>
  <c r="N58" i="1"/>
  <c r="Q58" i="1" s="1"/>
  <c r="N67" i="1"/>
  <c r="Q67" i="1"/>
  <c r="N18" i="1"/>
  <c r="Q18" i="1" s="1"/>
  <c r="N19" i="1"/>
  <c r="Q19" i="1"/>
  <c r="N20" i="1"/>
  <c r="Q20" i="1" s="1"/>
  <c r="P13" i="1"/>
  <c r="P71" i="1"/>
  <c r="O71" i="1"/>
  <c r="M71" i="1"/>
  <c r="P63" i="1"/>
  <c r="O63" i="1"/>
  <c r="M63" i="1"/>
  <c r="P55" i="1"/>
  <c r="O55" i="1"/>
  <c r="M55" i="1"/>
  <c r="P47" i="1"/>
  <c r="O47" i="1"/>
  <c r="M47" i="1"/>
  <c r="P39" i="1"/>
  <c r="O39" i="1"/>
  <c r="M39" i="1"/>
  <c r="P31" i="1"/>
  <c r="O31" i="1"/>
  <c r="M31" i="1"/>
  <c r="P23" i="1"/>
  <c r="O23" i="1"/>
  <c r="M23" i="1"/>
  <c r="P14" i="1"/>
  <c r="N14" i="1"/>
  <c r="P12" i="1"/>
  <c r="O12" i="1"/>
  <c r="M12" i="1"/>
  <c r="M11" i="1"/>
  <c r="P10" i="1"/>
  <c r="O10" i="1"/>
  <c r="M10" i="1"/>
  <c r="H39" i="1"/>
  <c r="H23" i="1"/>
  <c r="H71" i="1"/>
  <c r="G71" i="1"/>
  <c r="F71" i="1"/>
  <c r="E71" i="1"/>
  <c r="D71" i="1"/>
  <c r="H63" i="1"/>
  <c r="G63" i="1"/>
  <c r="F63" i="1"/>
  <c r="E63" i="1"/>
  <c r="D63" i="1"/>
  <c r="H55" i="1"/>
  <c r="G55" i="1"/>
  <c r="F55" i="1"/>
  <c r="E55" i="1"/>
  <c r="D55" i="1"/>
  <c r="H47" i="1"/>
  <c r="G47" i="1"/>
  <c r="F47" i="1"/>
  <c r="E47" i="1"/>
  <c r="D47" i="1"/>
  <c r="G39" i="1"/>
  <c r="F39" i="1"/>
  <c r="E39" i="1"/>
  <c r="D39" i="1"/>
  <c r="H31" i="1"/>
  <c r="G31" i="1"/>
  <c r="F31" i="1"/>
  <c r="E31" i="1"/>
  <c r="D31" i="1"/>
  <c r="G23" i="1"/>
  <c r="F23" i="1"/>
  <c r="E23" i="1"/>
  <c r="D23" i="1"/>
  <c r="G14" i="1"/>
  <c r="G13" i="1"/>
  <c r="E13" i="1"/>
  <c r="E14" i="1"/>
  <c r="N12" i="1" l="1"/>
  <c r="N10" i="1"/>
  <c r="N11" i="1"/>
  <c r="N23" i="1"/>
  <c r="N63" i="1"/>
  <c r="I10" i="1"/>
  <c r="Q55" i="1"/>
  <c r="O15" i="1"/>
  <c r="Q11" i="1"/>
  <c r="Q39" i="1"/>
  <c r="Q10" i="1"/>
  <c r="Q12" i="1"/>
  <c r="Q14" i="1"/>
  <c r="Q47" i="1"/>
  <c r="P15" i="1"/>
  <c r="N15" i="1"/>
  <c r="Q71" i="1"/>
  <c r="Q63" i="1"/>
  <c r="Q13" i="1"/>
  <c r="Q31" i="1"/>
  <c r="Q23" i="1"/>
  <c r="I39" i="1"/>
  <c r="I23" i="1"/>
  <c r="H13" i="1"/>
  <c r="H15" i="1" s="1"/>
  <c r="I71" i="1"/>
  <c r="I63" i="1"/>
  <c r="I55" i="1"/>
  <c r="I47" i="1"/>
  <c r="I31" i="1"/>
  <c r="I14" i="1"/>
  <c r="G15" i="1"/>
  <c r="F15" i="1"/>
  <c r="E15" i="1"/>
  <c r="I11" i="1"/>
  <c r="I12" i="1"/>
  <c r="I15" i="1" l="1"/>
  <c r="Q15" i="1"/>
  <c r="I13" i="1"/>
</calcChain>
</file>

<file path=xl/sharedStrings.xml><?xml version="1.0" encoding="utf-8"?>
<sst xmlns="http://schemas.openxmlformats.org/spreadsheetml/2006/main" count="199" uniqueCount="33">
  <si>
    <t>SOURCES</t>
  </si>
  <si>
    <t>STATE FUNDS</t>
  </si>
  <si>
    <t>FORMULA FEDERAL FUNDS</t>
  </si>
  <si>
    <t>TOTAL PROJECT COST</t>
  </si>
  <si>
    <t>USES</t>
  </si>
  <si>
    <t>All Bridges</t>
  </si>
  <si>
    <t>Engineering Cost</t>
  </si>
  <si>
    <t>ROW</t>
  </si>
  <si>
    <t>Utilities</t>
  </si>
  <si>
    <t>Construction</t>
  </si>
  <si>
    <t>Pavement Reconstruction</t>
  </si>
  <si>
    <t>Total</t>
  </si>
  <si>
    <t xml:space="preserve">UNBUNDLED FUNDING SOURCES and USES </t>
  </si>
  <si>
    <t xml:space="preserve">BUNDLED FUNDING SOURCES and USES </t>
  </si>
  <si>
    <t>By Bridge</t>
  </si>
  <si>
    <t>Unbundled 13079</t>
  </si>
  <si>
    <t>Unbundled 10053</t>
  </si>
  <si>
    <t>Unbundled 12934</t>
  </si>
  <si>
    <t>Unbundled 12980</t>
  </si>
  <si>
    <t>Unbundled 13653</t>
  </si>
  <si>
    <t>Unbundled 13925</t>
  </si>
  <si>
    <t>Unbundled 13783</t>
  </si>
  <si>
    <t>Bundled 13079</t>
  </si>
  <si>
    <t>Bundled 10053</t>
  </si>
  <si>
    <t>Bundled 12934</t>
  </si>
  <si>
    <t>Bundled 12980</t>
  </si>
  <si>
    <t>Bundled 13653</t>
  </si>
  <si>
    <t>Bundled 13925</t>
  </si>
  <si>
    <t>Bundled 13783</t>
  </si>
  <si>
    <t>Previously Incurred</t>
  </si>
  <si>
    <t xml:space="preserve">Future </t>
  </si>
  <si>
    <t>Future</t>
  </si>
  <si>
    <t>CHBP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</si>
</sst>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3" fillId="0" borderId="0" xfId="0" applyFont="1"/>
    <xf numFmtId="44" fontId="3" fillId="0" borderId="7" xfId="1" applyFont="1" applyBorder="1"/>
    <xf numFmtId="44" fontId="3" fillId="0" borderId="8" xfId="1" applyFont="1" applyBorder="1"/>
    <xf numFmtId="44" fontId="0" fillId="0" borderId="11" xfId="1" applyFont="1" applyBorder="1" applyAlignment="1">
      <alignment horizontal="center"/>
    </xf>
    <xf numFmtId="44" fontId="3" fillId="0" borderId="10" xfId="1" applyFont="1" applyBorder="1" applyAlignment="1">
      <alignment horizontal="center"/>
    </xf>
    <xf numFmtId="42" fontId="0" fillId="0" borderId="9" xfId="1" applyNumberFormat="1" applyFont="1" applyBorder="1"/>
    <xf numFmtId="42" fontId="4" fillId="2" borderId="9" xfId="2" applyNumberFormat="1" applyBorder="1"/>
    <xf numFmtId="42" fontId="3" fillId="0" borderId="9" xfId="1" applyNumberFormat="1" applyFont="1" applyBorder="1"/>
    <xf numFmtId="42" fontId="0" fillId="0" borderId="0" xfId="0" applyNumberFormat="1"/>
    <xf numFmtId="44" fontId="0" fillId="0" borderId="12" xfId="1" applyFont="1" applyBorder="1" applyAlignment="1">
      <alignment horizontal="left"/>
    </xf>
    <xf numFmtId="44" fontId="0" fillId="0" borderId="13" xfId="1" applyFont="1" applyBorder="1" applyAlignment="1">
      <alignment horizontal="left"/>
    </xf>
    <xf numFmtId="44" fontId="0" fillId="0" borderId="12" xfId="1" applyFont="1" applyBorder="1" applyAlignment="1"/>
    <xf numFmtId="44" fontId="0" fillId="0" borderId="13" xfId="1" applyFont="1" applyBorder="1" applyAlignment="1"/>
    <xf numFmtId="44" fontId="3" fillId="0" borderId="12" xfId="1" applyFont="1" applyBorder="1" applyAlignment="1"/>
    <xf numFmtId="44" fontId="3" fillId="0" borderId="13" xfId="1" applyFont="1" applyBorder="1" applyAlignment="1"/>
    <xf numFmtId="0" fontId="0" fillId="0" borderId="0" xfId="0" applyFill="1"/>
    <xf numFmtId="42" fontId="0" fillId="0" borderId="9" xfId="1" applyNumberFormat="1" applyFont="1" applyFill="1" applyBorder="1"/>
    <xf numFmtId="42" fontId="3" fillId="0" borderId="9" xfId="1" applyNumberFormat="1" applyFont="1" applyFill="1" applyBorder="1"/>
    <xf numFmtId="44" fontId="0" fillId="0" borderId="0" xfId="0" applyNumberFormat="1"/>
    <xf numFmtId="44" fontId="3" fillId="0" borderId="1" xfId="1" applyFont="1" applyBorder="1" applyAlignment="1">
      <alignment horizontal="center"/>
    </xf>
    <xf numFmtId="44" fontId="3" fillId="0" borderId="2" xfId="1" applyFont="1" applyBorder="1" applyAlignment="1">
      <alignment horizontal="center"/>
    </xf>
    <xf numFmtId="44" fontId="3" fillId="0" borderId="3" xfId="1" applyFont="1" applyBorder="1" applyAlignment="1">
      <alignment horizontal="center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44" fontId="3" fillId="0" borderId="18" xfId="1" applyFont="1" applyBorder="1" applyAlignment="1">
      <alignment horizontal="center" vertical="center"/>
    </xf>
    <xf numFmtId="44" fontId="2" fillId="2" borderId="4" xfId="2" applyNumberFormat="1" applyFont="1" applyBorder="1" applyAlignment="1">
      <alignment horizontal="center" vertical="center"/>
    </xf>
    <xf numFmtId="44" fontId="2" fillId="2" borderId="17" xfId="2" applyNumberFormat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 wrapText="1"/>
    </xf>
    <xf numFmtId="44" fontId="3" fillId="0" borderId="16" xfId="1" applyFont="1" applyBorder="1" applyAlignment="1">
      <alignment horizontal="center" vertical="center" wrapText="1"/>
    </xf>
    <xf numFmtId="42" fontId="4" fillId="3" borderId="9" xfId="1" applyNumberFormat="1" applyFont="1" applyFill="1" applyBorder="1"/>
    <xf numFmtId="44" fontId="0" fillId="0" borderId="12" xfId="1" applyFont="1" applyBorder="1" applyAlignment="1">
      <alignment horizontal="left" vertical="top"/>
    </xf>
    <xf numFmtId="44" fontId="0" fillId="0" borderId="13" xfId="1" applyFont="1" applyBorder="1" applyAlignment="1">
      <alignment horizontal="left" vertical="top"/>
    </xf>
    <xf numFmtId="44" fontId="0" fillId="0" borderId="12" xfId="1" applyFont="1" applyBorder="1" applyAlignment="1">
      <alignment horizontal="left" vertical="top" wrapText="1"/>
    </xf>
    <xf numFmtId="44" fontId="0" fillId="0" borderId="13" xfId="1" applyFont="1" applyBorder="1" applyAlignment="1">
      <alignment horizontal="left" vertical="top" wrapText="1"/>
    </xf>
    <xf numFmtId="44" fontId="3" fillId="0" borderId="12" xfId="1" applyFont="1" applyBorder="1" applyAlignment="1">
      <alignment horizontal="left" vertical="top"/>
    </xf>
    <xf numFmtId="44" fontId="3" fillId="0" borderId="13" xfId="1" applyFont="1" applyBorder="1" applyAlignment="1">
      <alignment horizontal="left" vertical="top"/>
    </xf>
    <xf numFmtId="44" fontId="3" fillId="0" borderId="5" xfId="1" applyFont="1" applyFill="1" applyBorder="1" applyAlignment="1">
      <alignment horizontal="center"/>
    </xf>
    <xf numFmtId="165" fontId="0" fillId="0" borderId="9" xfId="1" applyNumberFormat="1" applyFont="1" applyBorder="1"/>
    <xf numFmtId="167" fontId="0" fillId="0" borderId="0" xfId="3" applyNumberFormat="1" applyFont="1"/>
    <xf numFmtId="167" fontId="0" fillId="0" borderId="0" xfId="0" applyNumberFormat="1"/>
    <xf numFmtId="44" fontId="3" fillId="0" borderId="15" xfId="1" applyFont="1" applyBorder="1" applyAlignment="1">
      <alignment vertical="center"/>
    </xf>
    <xf numFmtId="44" fontId="3" fillId="0" borderId="14" xfId="1" applyFont="1" applyBorder="1" applyAlignment="1">
      <alignment vertical="center"/>
    </xf>
    <xf numFmtId="44" fontId="3" fillId="0" borderId="11" xfId="1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/>
    </xf>
    <xf numFmtId="44" fontId="2" fillId="2" borderId="11" xfId="2" applyNumberFormat="1" applyFont="1" applyBorder="1" applyAlignment="1">
      <alignment horizontal="center" vertical="center"/>
    </xf>
    <xf numFmtId="49" fontId="3" fillId="0" borderId="15" xfId="1" applyNumberFormat="1" applyFont="1" applyBorder="1" applyAlignment="1">
      <alignment horizontal="left" vertical="center"/>
    </xf>
    <xf numFmtId="49" fontId="3" fillId="0" borderId="14" xfId="1" applyNumberFormat="1" applyFont="1" applyBorder="1" applyAlignment="1">
      <alignment horizontal="left" vertical="center"/>
    </xf>
    <xf numFmtId="49" fontId="3" fillId="0" borderId="15" xfId="1" applyNumberFormat="1" applyFont="1" applyBorder="1" applyAlignment="1">
      <alignment horizontal="left"/>
    </xf>
    <xf numFmtId="49" fontId="3" fillId="0" borderId="14" xfId="1" applyNumberFormat="1" applyFont="1" applyBorder="1" applyAlignment="1">
      <alignment horizontal="left"/>
    </xf>
    <xf numFmtId="49" fontId="3" fillId="0" borderId="15" xfId="1" applyNumberFormat="1" applyFont="1" applyBorder="1" applyAlignment="1">
      <alignment vertical="center"/>
    </xf>
    <xf numFmtId="49" fontId="3" fillId="0" borderId="14" xfId="1" applyNumberFormat="1" applyFont="1" applyBorder="1" applyAlignment="1">
      <alignment vertical="center"/>
    </xf>
    <xf numFmtId="0" fontId="5" fillId="0" borderId="0" xfId="0" applyFont="1" applyAlignment="1">
      <alignment horizontal="center" vertical="top"/>
    </xf>
  </cellXfs>
  <cellStyles count="4">
    <cellStyle name="Accent6" xfId="2" builtinId="49"/>
    <cellStyle name="Comma" xfId="3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04FA16-89A2-43E6-A110-C77282CB19DF}"/>
            </a:ext>
          </a:extLst>
        </xdr:cNvPr>
        <xdr:cNvSpPr txBox="1"/>
      </xdr:nvSpPr>
      <xdr:spPr>
        <a:xfrm>
          <a:off x="609600" y="381000"/>
          <a:ext cx="14382750" cy="5905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u="sng"/>
            <a:t>Bridge-by-Bridge Funding Sources and Uses</a:t>
          </a:r>
          <a:endParaRPr lang="en-US" sz="1600" b="0" u="sng"/>
        </a:p>
        <a:p>
          <a:pPr algn="l"/>
          <a:endParaRPr lang="en-US" sz="1000" b="0" i="1" u="none"/>
        </a:p>
        <a:p>
          <a:pPr algn="l"/>
          <a:r>
            <a:rPr lang="en-US" sz="1200" b="0" i="1" u="none"/>
            <a:t>These</a:t>
          </a:r>
          <a:r>
            <a:rPr lang="en-US" sz="1200" b="0" i="1" u="none" baseline="0"/>
            <a:t> tables illustrate and compare funding sources and uses for each bridge included in the US-270 Bundled Bridge Project. Due to rounding, totals may differ slightly from the "Funding Sources and Uses (Bundled)" table, which is Table 2 of the application. The "Funding Sources and Uses (Bundled)" table is authoritative.</a:t>
          </a:r>
          <a:endParaRPr lang="en-US" sz="1200" b="1" i="1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34"/>
  <sheetViews>
    <sheetView tabSelected="1" workbookViewId="0">
      <selection activeCell="E25" sqref="E25"/>
    </sheetView>
  </sheetViews>
  <sheetFormatPr defaultRowHeight="15" x14ac:dyDescent="0.25"/>
  <cols>
    <col min="2" max="2" width="11" customWidth="1"/>
    <col min="3" max="3" width="13.140625" customWidth="1"/>
    <col min="4" max="4" width="11.5703125" customWidth="1"/>
    <col min="5" max="5" width="13.7109375" customWidth="1"/>
    <col min="6" max="6" width="16.140625" customWidth="1"/>
    <col min="7" max="7" width="13.5703125" style="17" customWidth="1"/>
    <col min="8" max="8" width="17.5703125" customWidth="1"/>
    <col min="9" max="9" width="17.7109375" customWidth="1"/>
    <col min="11" max="11" width="11" customWidth="1"/>
    <col min="12" max="12" width="13.140625" customWidth="1"/>
    <col min="13" max="13" width="11" customWidth="1"/>
    <col min="14" max="14" width="12.140625" customWidth="1"/>
    <col min="15" max="15" width="16.140625" customWidth="1"/>
    <col min="16" max="16" width="13.5703125" customWidth="1"/>
    <col min="17" max="17" width="15.140625" customWidth="1"/>
    <col min="18" max="18" width="13.7109375" bestFit="1" customWidth="1"/>
  </cols>
  <sheetData>
    <row r="1" spans="2:17" s="1" customFormat="1" x14ac:dyDescent="0.25">
      <c r="G1" s="17"/>
    </row>
    <row r="2" spans="2:17" s="1" customFormat="1" x14ac:dyDescent="0.25">
      <c r="G2" s="17"/>
    </row>
    <row r="3" spans="2:17" s="1" customFormat="1" ht="23.25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2:17" s="1" customFormat="1" ht="50.25" customHeight="1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2:17" s="1" customFormat="1" ht="15.75" thickBot="1" x14ac:dyDescent="0.3">
      <c r="G5" s="17"/>
    </row>
    <row r="6" spans="2:17" s="1" customFormat="1" ht="15.75" thickBot="1" x14ac:dyDescent="0.3">
      <c r="B6" s="21" t="s">
        <v>13</v>
      </c>
      <c r="C6" s="22"/>
      <c r="D6" s="22"/>
      <c r="E6" s="22"/>
      <c r="F6" s="22"/>
      <c r="G6" s="22"/>
      <c r="H6" s="22"/>
      <c r="I6" s="23"/>
      <c r="K6" s="21" t="s">
        <v>12</v>
      </c>
      <c r="L6" s="22"/>
      <c r="M6" s="22"/>
      <c r="N6" s="22"/>
      <c r="O6" s="22"/>
      <c r="P6" s="22"/>
      <c r="Q6" s="23"/>
    </row>
    <row r="7" spans="2:17" s="1" customFormat="1" ht="14.45" customHeight="1" x14ac:dyDescent="0.25">
      <c r="B7" s="4"/>
      <c r="C7" s="39" t="s">
        <v>0</v>
      </c>
      <c r="D7" s="24" t="s">
        <v>1</v>
      </c>
      <c r="E7" s="25"/>
      <c r="F7" s="24" t="s">
        <v>2</v>
      </c>
      <c r="G7" s="25"/>
      <c r="H7" s="28" t="s">
        <v>32</v>
      </c>
      <c r="I7" s="30" t="s">
        <v>3</v>
      </c>
      <c r="K7" s="4"/>
      <c r="L7" s="39" t="s">
        <v>0</v>
      </c>
      <c r="M7" s="24" t="s">
        <v>1</v>
      </c>
      <c r="N7" s="25"/>
      <c r="O7" s="24" t="s">
        <v>2</v>
      </c>
      <c r="P7" s="25"/>
      <c r="Q7" s="30" t="s">
        <v>3</v>
      </c>
    </row>
    <row r="8" spans="2:17" s="1" customFormat="1" ht="15.75" thickBot="1" x14ac:dyDescent="0.3">
      <c r="B8" s="6" t="s">
        <v>4</v>
      </c>
      <c r="C8" s="3"/>
      <c r="D8" s="26"/>
      <c r="E8" s="27"/>
      <c r="F8" s="26"/>
      <c r="G8" s="27"/>
      <c r="H8" s="29"/>
      <c r="I8" s="31"/>
      <c r="K8" s="6" t="s">
        <v>4</v>
      </c>
      <c r="L8" s="3"/>
      <c r="M8" s="26"/>
      <c r="N8" s="27"/>
      <c r="O8" s="26"/>
      <c r="P8" s="27"/>
      <c r="Q8" s="31"/>
    </row>
    <row r="9" spans="2:17" s="1" customFormat="1" ht="30" x14ac:dyDescent="0.25">
      <c r="B9" s="43" t="s">
        <v>5</v>
      </c>
      <c r="C9" s="44"/>
      <c r="D9" s="45" t="s">
        <v>29</v>
      </c>
      <c r="E9" s="45" t="s">
        <v>30</v>
      </c>
      <c r="F9" s="45" t="s">
        <v>29</v>
      </c>
      <c r="G9" s="45" t="s">
        <v>30</v>
      </c>
      <c r="H9" s="47" t="s">
        <v>31</v>
      </c>
      <c r="I9" s="5"/>
      <c r="K9" s="43" t="s">
        <v>5</v>
      </c>
      <c r="L9" s="44"/>
      <c r="M9" s="45" t="s">
        <v>29</v>
      </c>
      <c r="N9" s="45" t="s">
        <v>30</v>
      </c>
      <c r="O9" s="45" t="s">
        <v>29</v>
      </c>
      <c r="P9" s="45" t="s">
        <v>30</v>
      </c>
      <c r="Q9" s="46"/>
    </row>
    <row r="10" spans="2:17" s="1" customFormat="1" x14ac:dyDescent="0.25">
      <c r="B10" s="35" t="s">
        <v>6</v>
      </c>
      <c r="C10" s="36"/>
      <c r="D10" s="7">
        <f>D18+D26+D34+D42+D50+D58+D66</f>
        <v>255638.69999999998</v>
      </c>
      <c r="E10" s="7">
        <f>E18+E26+E34+E42+E50+E58+E66</f>
        <v>28404.3</v>
      </c>
      <c r="F10" s="7">
        <f>F18+F26+F34+F42+F50+F58+F66</f>
        <v>1022554.8</v>
      </c>
      <c r="G10" s="18">
        <f>G18+G26+G34+G42+G50+G58+G66</f>
        <v>113617.20000000001</v>
      </c>
      <c r="H10" s="8"/>
      <c r="I10" s="40">
        <f>I18+I26+I34+I42+I50+I58+I66</f>
        <v>1420215</v>
      </c>
      <c r="K10" s="35" t="s">
        <v>6</v>
      </c>
      <c r="L10" s="36"/>
      <c r="M10" s="7">
        <f>M18+M26+M34+M42+M50+M58+M66</f>
        <v>255638.69999999998</v>
      </c>
      <c r="N10" s="7">
        <f>N18+N26+N34+N42+N50+N58+N66</f>
        <v>28404.3</v>
      </c>
      <c r="O10" s="7">
        <f>O18+O26+O34+O42+O50+O58+O66</f>
        <v>1022554.8</v>
      </c>
      <c r="P10" s="18">
        <f>P18+P26+P34+P42+P50+P58+P66</f>
        <v>113617.20000000001</v>
      </c>
      <c r="Q10" s="40">
        <f t="shared" ref="Q10:Q14" si="0">Q18+Q26+Q34+Q42+Q50+Q58+Q66</f>
        <v>1420215</v>
      </c>
    </row>
    <row r="11" spans="2:17" s="1" customFormat="1" x14ac:dyDescent="0.25">
      <c r="B11" s="35" t="s">
        <v>7</v>
      </c>
      <c r="C11" s="36"/>
      <c r="D11" s="7">
        <f>D19+D27+D35+D43+D51+D59+D67</f>
        <v>410444.1</v>
      </c>
      <c r="E11" s="7">
        <f t="shared" ref="E11:E12" si="1">E19+E27+E35+E43+E51+E59+E67</f>
        <v>45604.899999999994</v>
      </c>
      <c r="F11" s="7">
        <v>0</v>
      </c>
      <c r="G11" s="18"/>
      <c r="H11" s="8"/>
      <c r="I11" s="40">
        <f t="shared" ref="I11:I14" si="2">I19+I27+I35+I43+I51+I59+I67</f>
        <v>456049</v>
      </c>
      <c r="K11" s="35" t="s">
        <v>7</v>
      </c>
      <c r="L11" s="36"/>
      <c r="M11" s="7">
        <f>M19+M27+M35+M43+M51+M59+M67</f>
        <v>410444.1</v>
      </c>
      <c r="N11" s="7">
        <f t="shared" ref="N11:N14" si="3">N19+N27+N35+N43+N51+N59+N67</f>
        <v>45604.899999999994</v>
      </c>
      <c r="O11" s="7">
        <v>0</v>
      </c>
      <c r="P11" s="18"/>
      <c r="Q11" s="40">
        <f t="shared" si="0"/>
        <v>456049</v>
      </c>
    </row>
    <row r="12" spans="2:17" s="1" customFormat="1" x14ac:dyDescent="0.25">
      <c r="B12" s="35" t="s">
        <v>8</v>
      </c>
      <c r="C12" s="36"/>
      <c r="D12" s="7">
        <f>D20+D28+D36+D44+D52+D60+D68</f>
        <v>32648.25</v>
      </c>
      <c r="E12" s="7">
        <f t="shared" si="1"/>
        <v>10882.75</v>
      </c>
      <c r="F12" s="7">
        <f>F20+F28+F36+F44+F52+F60+F68</f>
        <v>130594.5</v>
      </c>
      <c r="G12" s="18">
        <f>G20+G28+G36+G44+G52+G60+G68</f>
        <v>43531.5</v>
      </c>
      <c r="H12" s="8"/>
      <c r="I12" s="40">
        <f t="shared" si="2"/>
        <v>217657</v>
      </c>
      <c r="K12" s="35" t="s">
        <v>8</v>
      </c>
      <c r="L12" s="36"/>
      <c r="M12" s="7">
        <f>M20+M28+M36+M44+M52+M60+M68</f>
        <v>32648.25</v>
      </c>
      <c r="N12" s="7">
        <f t="shared" si="3"/>
        <v>10882.75</v>
      </c>
      <c r="O12" s="7">
        <f>O20+O28+O36+O44+O52+O60+O68</f>
        <v>130594.5</v>
      </c>
      <c r="P12" s="18">
        <f>P20+P28+P36+P44+P52+P60+P68</f>
        <v>43531.5</v>
      </c>
      <c r="Q12" s="40">
        <f t="shared" si="0"/>
        <v>217657</v>
      </c>
    </row>
    <row r="13" spans="2:17" s="1" customFormat="1" x14ac:dyDescent="0.25">
      <c r="B13" s="35" t="s">
        <v>9</v>
      </c>
      <c r="C13" s="36"/>
      <c r="D13" s="7"/>
      <c r="E13" s="7">
        <f>E21+E29+E37+E45+E53+E61+E69</f>
        <v>5085959.1900000004</v>
      </c>
      <c r="F13" s="7">
        <v>0</v>
      </c>
      <c r="G13" s="18">
        <f>G21+G29+G37+G45+G53+G61+G69</f>
        <v>741369.21</v>
      </c>
      <c r="H13" s="32">
        <f>H21+H29+H37+H45+H53+H61+H69</f>
        <v>6812585.0999999996</v>
      </c>
      <c r="I13" s="40">
        <f t="shared" si="2"/>
        <v>12639913.5</v>
      </c>
      <c r="K13" s="35" t="s">
        <v>9</v>
      </c>
      <c r="L13" s="36"/>
      <c r="M13" s="7"/>
      <c r="N13" s="7">
        <f>N21+N29+N37+N45+N53+N61+N69</f>
        <v>5714560</v>
      </c>
      <c r="O13" s="7">
        <v>0</v>
      </c>
      <c r="P13" s="18">
        <f>P21+P29+P37+P45+P53+P61+P69</f>
        <v>8487590</v>
      </c>
      <c r="Q13" s="40">
        <f t="shared" si="0"/>
        <v>14202150</v>
      </c>
    </row>
    <row r="14" spans="2:17" s="1" customFormat="1" x14ac:dyDescent="0.25">
      <c r="B14" s="35" t="s">
        <v>10</v>
      </c>
      <c r="C14" s="36"/>
      <c r="D14" s="7"/>
      <c r="E14" s="7">
        <f t="shared" ref="E14" si="4">E22+E30+E38+E46+E54+E62+E70</f>
        <v>119798.6</v>
      </c>
      <c r="F14" s="7"/>
      <c r="G14" s="18">
        <f>G22+G30+G38+G46+G54+G62+G70</f>
        <v>119798.6</v>
      </c>
      <c r="H14" s="8"/>
      <c r="I14" s="40">
        <f t="shared" si="2"/>
        <v>239597.2</v>
      </c>
      <c r="K14" s="35" t="s">
        <v>10</v>
      </c>
      <c r="L14" s="36"/>
      <c r="M14" s="7"/>
      <c r="N14" s="7">
        <f t="shared" si="3"/>
        <v>134604.79999999999</v>
      </c>
      <c r="O14" s="7"/>
      <c r="P14" s="18">
        <f>P22+P30+P38+P46+P54+P62+P70</f>
        <v>134604.79999999999</v>
      </c>
      <c r="Q14" s="40">
        <f t="shared" si="0"/>
        <v>269209.59999999998</v>
      </c>
    </row>
    <row r="15" spans="2:17" s="1" customFormat="1" x14ac:dyDescent="0.25">
      <c r="B15" s="37" t="s">
        <v>11</v>
      </c>
      <c r="C15" s="38"/>
      <c r="D15" s="9">
        <v>698732.92089473689</v>
      </c>
      <c r="E15" s="9">
        <f>E10+E11+E12+E13+E14</f>
        <v>5290649.74</v>
      </c>
      <c r="F15" s="9">
        <f>F10+F11+F12+F13+F14</f>
        <v>1153149.3</v>
      </c>
      <c r="G15" s="19">
        <f>G14+G13+G12+G11+G10</f>
        <v>1018316.51</v>
      </c>
      <c r="H15" s="9">
        <f>H13</f>
        <v>6812585.0999999996</v>
      </c>
      <c r="I15" s="9">
        <f>I23+I31+I39+I47+I55+I63+I71</f>
        <v>14973431.700000001</v>
      </c>
      <c r="K15" s="37" t="s">
        <v>11</v>
      </c>
      <c r="L15" s="38"/>
      <c r="M15" s="9">
        <v>698732.92089473689</v>
      </c>
      <c r="N15" s="9">
        <f>N10+N11+N12+N13+N14</f>
        <v>5934056.75</v>
      </c>
      <c r="O15" s="9">
        <f>O10+O11+O12+O13+O14</f>
        <v>1153149.3</v>
      </c>
      <c r="P15" s="19">
        <f>P14+P13+P12+P11+P10</f>
        <v>8779343.5</v>
      </c>
      <c r="Q15" s="9">
        <f>Q23+Q31+Q39+Q47+Q55+Q63+Q71</f>
        <v>16565280.600000001</v>
      </c>
    </row>
    <row r="16" spans="2:17" s="1" customFormat="1" ht="15.75" thickBot="1" x14ac:dyDescent="0.3">
      <c r="B16" s="2" t="s">
        <v>14</v>
      </c>
      <c r="G16" s="17"/>
      <c r="I16" s="10"/>
      <c r="K16" s="2" t="s">
        <v>14</v>
      </c>
      <c r="P16" s="17"/>
    </row>
    <row r="17" spans="2:21" s="1" customFormat="1" ht="30" x14ac:dyDescent="0.25">
      <c r="B17" s="50" t="s">
        <v>22</v>
      </c>
      <c r="C17" s="51"/>
      <c r="D17" s="45" t="s">
        <v>29</v>
      </c>
      <c r="E17" s="45" t="s">
        <v>30</v>
      </c>
      <c r="F17" s="45" t="s">
        <v>29</v>
      </c>
      <c r="G17" s="45" t="s">
        <v>30</v>
      </c>
      <c r="H17" s="47" t="s">
        <v>31</v>
      </c>
      <c r="I17" s="46"/>
      <c r="K17" s="48" t="s">
        <v>15</v>
      </c>
      <c r="L17" s="49"/>
      <c r="M17" s="45" t="s">
        <v>29</v>
      </c>
      <c r="N17" s="45" t="s">
        <v>30</v>
      </c>
      <c r="O17" s="45" t="s">
        <v>29</v>
      </c>
      <c r="P17" s="45" t="s">
        <v>30</v>
      </c>
      <c r="Q17" s="46"/>
    </row>
    <row r="18" spans="2:21" s="1" customFormat="1" x14ac:dyDescent="0.25">
      <c r="B18" s="35" t="s">
        <v>6</v>
      </c>
      <c r="C18" s="36"/>
      <c r="D18" s="7">
        <f>49161*0.9</f>
        <v>44244.9</v>
      </c>
      <c r="E18" s="7">
        <f>D18/0.9*0.1</f>
        <v>4916.1000000000004</v>
      </c>
      <c r="F18" s="7">
        <f>196643*0.9</f>
        <v>176978.7</v>
      </c>
      <c r="G18" s="18">
        <f>F18/0.9*0.1</f>
        <v>19664.300000000003</v>
      </c>
      <c r="H18" s="8"/>
      <c r="I18" s="40">
        <f>SUM(D18:H18)</f>
        <v>245804</v>
      </c>
      <c r="K18" s="13" t="s">
        <v>6</v>
      </c>
      <c r="L18" s="14"/>
      <c r="M18" s="7">
        <f>49161*0.9</f>
        <v>44244.9</v>
      </c>
      <c r="N18" s="7">
        <f>M18/0.9*0.1</f>
        <v>4916.1000000000004</v>
      </c>
      <c r="O18" s="7">
        <f>196643*0.9</f>
        <v>176978.7</v>
      </c>
      <c r="P18" s="18">
        <f>O18/0.9*0.1</f>
        <v>19664.300000000003</v>
      </c>
      <c r="Q18" s="40">
        <f>M18+N18+O18+P18</f>
        <v>245804</v>
      </c>
      <c r="S18" s="10"/>
      <c r="T18" s="10"/>
      <c r="U18" s="10"/>
    </row>
    <row r="19" spans="2:21" s="1" customFormat="1" ht="14.45" customHeight="1" x14ac:dyDescent="0.25">
      <c r="B19" s="35" t="s">
        <v>7</v>
      </c>
      <c r="C19" s="36"/>
      <c r="D19" s="7">
        <f>77684*0.9</f>
        <v>69915.600000000006</v>
      </c>
      <c r="E19" s="7">
        <f>D19/0.9*0.1</f>
        <v>7768.4000000000005</v>
      </c>
      <c r="F19" s="7">
        <v>0</v>
      </c>
      <c r="G19" s="18"/>
      <c r="H19" s="8"/>
      <c r="I19" s="40">
        <f>SUM(D19:H19)</f>
        <v>77684</v>
      </c>
      <c r="K19" s="13" t="s">
        <v>7</v>
      </c>
      <c r="L19" s="14"/>
      <c r="M19" s="7">
        <f>77684*0.9</f>
        <v>69915.600000000006</v>
      </c>
      <c r="N19" s="7">
        <f>M19/0.9*0.1</f>
        <v>7768.4000000000005</v>
      </c>
      <c r="O19" s="7">
        <v>0</v>
      </c>
      <c r="P19" s="18"/>
      <c r="Q19" s="40">
        <f t="shared" ref="Q19:Q22" si="5">M19+N19+O19+P19</f>
        <v>77684</v>
      </c>
      <c r="S19" s="10"/>
      <c r="T19" s="10"/>
      <c r="U19" s="10"/>
    </row>
    <row r="20" spans="2:21" s="1" customFormat="1" x14ac:dyDescent="0.25">
      <c r="B20" s="35" t="s">
        <v>8</v>
      </c>
      <c r="C20" s="36"/>
      <c r="D20" s="7">
        <f>1931*0.75</f>
        <v>1448.25</v>
      </c>
      <c r="E20" s="7">
        <f>D20/0.75*0.25</f>
        <v>482.75</v>
      </c>
      <c r="F20" s="7">
        <f>7724*0.75</f>
        <v>5793</v>
      </c>
      <c r="G20" s="18">
        <f>F20/0.75*0.25</f>
        <v>1931</v>
      </c>
      <c r="H20" s="8"/>
      <c r="I20" s="40">
        <f>SUM(D20:H20)</f>
        <v>9655</v>
      </c>
      <c r="K20" s="13" t="s">
        <v>8</v>
      </c>
      <c r="L20" s="14"/>
      <c r="M20" s="7">
        <f>1931*0.75</f>
        <v>1448.25</v>
      </c>
      <c r="N20" s="7">
        <f>M20/0.75*0.25</f>
        <v>482.75</v>
      </c>
      <c r="O20" s="7">
        <f>7724*0.75</f>
        <v>5793</v>
      </c>
      <c r="P20" s="18">
        <f>O20/0.75*0.25</f>
        <v>1931</v>
      </c>
      <c r="Q20" s="40">
        <f t="shared" si="5"/>
        <v>9655</v>
      </c>
      <c r="S20" s="10"/>
      <c r="T20" s="10"/>
      <c r="U20" s="10"/>
    </row>
    <row r="21" spans="2:21" s="1" customFormat="1" x14ac:dyDescent="0.25">
      <c r="B21" s="35" t="s">
        <v>9</v>
      </c>
      <c r="C21" s="36"/>
      <c r="D21" s="7">
        <v>0</v>
      </c>
      <c r="E21" s="7">
        <f>1000000*0.89</f>
        <v>890000</v>
      </c>
      <c r="F21" s="7">
        <v>0</v>
      </c>
      <c r="G21" s="18">
        <v>0</v>
      </c>
      <c r="H21" s="8">
        <f>1458043*0.89</f>
        <v>1297658.27</v>
      </c>
      <c r="I21" s="40">
        <f>SUM(D21:H21)</f>
        <v>2187658.27</v>
      </c>
      <c r="K21" s="13" t="s">
        <v>9</v>
      </c>
      <c r="L21" s="14"/>
      <c r="M21" s="7">
        <v>0</v>
      </c>
      <c r="N21" s="7">
        <v>1000000</v>
      </c>
      <c r="O21" s="7">
        <v>0</v>
      </c>
      <c r="P21" s="18">
        <v>1458043</v>
      </c>
      <c r="Q21" s="40">
        <f t="shared" si="5"/>
        <v>2458043</v>
      </c>
      <c r="S21" s="10"/>
      <c r="T21" s="10"/>
      <c r="U21" s="10"/>
    </row>
    <row r="22" spans="2:21" s="1" customFormat="1" x14ac:dyDescent="0.25">
      <c r="B22" s="35" t="s">
        <v>10</v>
      </c>
      <c r="C22" s="36"/>
      <c r="D22" s="7"/>
      <c r="E22" s="7">
        <v>0</v>
      </c>
      <c r="F22" s="7"/>
      <c r="G22" s="18">
        <v>0</v>
      </c>
      <c r="H22" s="8"/>
      <c r="I22" s="40">
        <f>SUM(D22:H22)</f>
        <v>0</v>
      </c>
      <c r="K22" s="11" t="s">
        <v>10</v>
      </c>
      <c r="L22" s="12"/>
      <c r="M22" s="7"/>
      <c r="N22" s="7">
        <v>0</v>
      </c>
      <c r="O22" s="7"/>
      <c r="P22" s="18">
        <v>0</v>
      </c>
      <c r="Q22" s="40">
        <f t="shared" si="5"/>
        <v>0</v>
      </c>
      <c r="S22" s="10"/>
      <c r="T22" s="10"/>
      <c r="U22" s="10"/>
    </row>
    <row r="23" spans="2:21" s="1" customFormat="1" x14ac:dyDescent="0.25">
      <c r="B23" s="37" t="s">
        <v>11</v>
      </c>
      <c r="C23" s="38"/>
      <c r="D23" s="9">
        <f>D18+D19+D20+D21+D22</f>
        <v>115608.75</v>
      </c>
      <c r="E23" s="9">
        <f t="shared" ref="E23:H23" si="6">E18+E19+E20+E21+E22</f>
        <v>903167.25</v>
      </c>
      <c r="F23" s="9">
        <f t="shared" si="6"/>
        <v>182771.7</v>
      </c>
      <c r="G23" s="19">
        <f t="shared" si="6"/>
        <v>21595.300000000003</v>
      </c>
      <c r="H23" s="9">
        <f t="shared" si="6"/>
        <v>1297658.27</v>
      </c>
      <c r="I23" s="9">
        <f>SUM(I18:I22)</f>
        <v>2520801.27</v>
      </c>
      <c r="K23" s="15" t="s">
        <v>11</v>
      </c>
      <c r="L23" s="16"/>
      <c r="M23" s="9">
        <f>M18+M19+M20+M21+M22</f>
        <v>115608.75</v>
      </c>
      <c r="N23" s="9">
        <f t="shared" ref="N23" si="7">N18+N19+N20+N21+N22</f>
        <v>1013167.25</v>
      </c>
      <c r="O23" s="9">
        <f t="shared" ref="O23" si="8">O18+O19+O20+O21+O22</f>
        <v>182771.7</v>
      </c>
      <c r="P23" s="19">
        <f t="shared" ref="P23" si="9">P18+P19+P20+P21+P22</f>
        <v>1479638.3</v>
      </c>
      <c r="Q23" s="9">
        <f>SUM(Q18:Q22)</f>
        <v>2791186</v>
      </c>
    </row>
    <row r="24" spans="2:21" s="1" customFormat="1" ht="15.75" thickBot="1" x14ac:dyDescent="0.3">
      <c r="G24" s="17"/>
      <c r="P24" s="17"/>
    </row>
    <row r="25" spans="2:21" s="1" customFormat="1" ht="30" x14ac:dyDescent="0.25">
      <c r="B25" s="48" t="s">
        <v>23</v>
      </c>
      <c r="C25" s="49"/>
      <c r="D25" s="45" t="s">
        <v>29</v>
      </c>
      <c r="E25" s="45" t="s">
        <v>30</v>
      </c>
      <c r="F25" s="45" t="s">
        <v>29</v>
      </c>
      <c r="G25" s="45" t="s">
        <v>30</v>
      </c>
      <c r="H25" s="47" t="s">
        <v>31</v>
      </c>
      <c r="I25" s="5"/>
      <c r="K25" s="48" t="s">
        <v>16</v>
      </c>
      <c r="L25" s="49"/>
      <c r="M25" s="45" t="s">
        <v>29</v>
      </c>
      <c r="N25" s="45" t="s">
        <v>30</v>
      </c>
      <c r="O25" s="45" t="s">
        <v>29</v>
      </c>
      <c r="P25" s="45" t="s">
        <v>30</v>
      </c>
      <c r="Q25" s="5"/>
    </row>
    <row r="26" spans="2:21" s="1" customFormat="1" x14ac:dyDescent="0.25">
      <c r="B26" s="35" t="s">
        <v>6</v>
      </c>
      <c r="C26" s="36"/>
      <c r="D26" s="7">
        <f>33655*0.9</f>
        <v>30289.5</v>
      </c>
      <c r="E26" s="7">
        <f>D26/0.9*0.1</f>
        <v>3365.5</v>
      </c>
      <c r="F26" s="7">
        <f>134620*0.9</f>
        <v>121158</v>
      </c>
      <c r="G26" s="18">
        <f>F26/0.9*0.1</f>
        <v>13462</v>
      </c>
      <c r="H26" s="8"/>
      <c r="I26" s="40">
        <f>SUM(D26:H26)</f>
        <v>168275</v>
      </c>
      <c r="K26" s="35" t="s">
        <v>6</v>
      </c>
      <c r="L26" s="36"/>
      <c r="M26" s="7">
        <f>33655*0.9</f>
        <v>30289.5</v>
      </c>
      <c r="N26" s="7">
        <f>M26/0.9*0.1</f>
        <v>3365.5</v>
      </c>
      <c r="O26" s="7">
        <f>134620*0.9</f>
        <v>121158</v>
      </c>
      <c r="P26" s="18">
        <f>O26/0.9*0.1</f>
        <v>13462</v>
      </c>
      <c r="Q26" s="40">
        <f>M26+N26+O26+P26</f>
        <v>168275</v>
      </c>
    </row>
    <row r="27" spans="2:21" s="1" customFormat="1" x14ac:dyDescent="0.25">
      <c r="B27" s="35" t="s">
        <v>7</v>
      </c>
      <c r="C27" s="36"/>
      <c r="D27" s="7">
        <f>77684*0.9</f>
        <v>69915.600000000006</v>
      </c>
      <c r="E27" s="7">
        <f>D27/0.9*0.1</f>
        <v>7768.4000000000005</v>
      </c>
      <c r="F27" s="7">
        <v>0</v>
      </c>
      <c r="G27" s="18"/>
      <c r="H27" s="8"/>
      <c r="I27" s="40">
        <f>SUM(D27:H27)</f>
        <v>77684</v>
      </c>
      <c r="K27" s="35" t="s">
        <v>7</v>
      </c>
      <c r="L27" s="36"/>
      <c r="M27" s="7">
        <f>77684*0.9</f>
        <v>69915.600000000006</v>
      </c>
      <c r="N27" s="7">
        <f>M27/0.9*0.1</f>
        <v>7768.4000000000005</v>
      </c>
      <c r="O27" s="7">
        <v>0</v>
      </c>
      <c r="P27" s="18"/>
      <c r="Q27" s="40">
        <f t="shared" ref="Q27:Q30" si="10">M27+N27+O27+P27</f>
        <v>77684</v>
      </c>
    </row>
    <row r="28" spans="2:21" s="1" customFormat="1" x14ac:dyDescent="0.25">
      <c r="B28" s="35" t="s">
        <v>8</v>
      </c>
      <c r="C28" s="36"/>
      <c r="D28" s="7">
        <f>1931*0.75</f>
        <v>1448.25</v>
      </c>
      <c r="E28" s="7">
        <f>D28/0.75*0.25</f>
        <v>482.75</v>
      </c>
      <c r="F28" s="7">
        <f>7724*0.75</f>
        <v>5793</v>
      </c>
      <c r="G28" s="18">
        <f>F28/0.75*0.25</f>
        <v>1931</v>
      </c>
      <c r="H28" s="8"/>
      <c r="I28" s="40">
        <f>SUM(D28:H28)</f>
        <v>9655</v>
      </c>
      <c r="K28" s="35" t="s">
        <v>8</v>
      </c>
      <c r="L28" s="36"/>
      <c r="M28" s="7">
        <f>1931*0.75</f>
        <v>1448.25</v>
      </c>
      <c r="N28" s="7">
        <f>M28/0.75*0.25</f>
        <v>482.75</v>
      </c>
      <c r="O28" s="7">
        <f>7724*0.75</f>
        <v>5793</v>
      </c>
      <c r="P28" s="18">
        <f>O28/0.75*0.25</f>
        <v>1931</v>
      </c>
      <c r="Q28" s="40">
        <f t="shared" si="10"/>
        <v>9655</v>
      </c>
    </row>
    <row r="29" spans="2:21" s="1" customFormat="1" x14ac:dyDescent="0.25">
      <c r="B29" s="35" t="s">
        <v>9</v>
      </c>
      <c r="C29" s="36"/>
      <c r="D29" s="7">
        <v>0</v>
      </c>
      <c r="E29" s="7">
        <f>841374*0.89</f>
        <v>748822.86</v>
      </c>
      <c r="F29" s="7">
        <v>0</v>
      </c>
      <c r="G29" s="18">
        <v>0</v>
      </c>
      <c r="H29" s="8">
        <f>841374*0.89</f>
        <v>748822.86</v>
      </c>
      <c r="I29" s="40">
        <f>SUM(D29:H29)</f>
        <v>1497645.72</v>
      </c>
      <c r="K29" s="35" t="s">
        <v>9</v>
      </c>
      <c r="L29" s="36"/>
      <c r="M29" s="7">
        <v>0</v>
      </c>
      <c r="N29" s="7">
        <v>841374</v>
      </c>
      <c r="O29" s="7">
        <v>0</v>
      </c>
      <c r="P29" s="18">
        <v>841374</v>
      </c>
      <c r="Q29" s="40">
        <f t="shared" si="10"/>
        <v>1682748</v>
      </c>
    </row>
    <row r="30" spans="2:21" s="1" customFormat="1" x14ac:dyDescent="0.25">
      <c r="B30" s="35" t="s">
        <v>10</v>
      </c>
      <c r="C30" s="36"/>
      <c r="D30" s="7"/>
      <c r="E30" s="7">
        <v>0</v>
      </c>
      <c r="F30" s="7"/>
      <c r="G30" s="18">
        <v>0</v>
      </c>
      <c r="H30" s="8"/>
      <c r="I30" s="40">
        <f>SUM(D30:H30)</f>
        <v>0</v>
      </c>
      <c r="K30" s="35" t="s">
        <v>10</v>
      </c>
      <c r="L30" s="36"/>
      <c r="M30" s="7"/>
      <c r="N30" s="7">
        <v>0</v>
      </c>
      <c r="O30" s="7"/>
      <c r="P30" s="18">
        <v>0</v>
      </c>
      <c r="Q30" s="40">
        <f t="shared" si="10"/>
        <v>0</v>
      </c>
    </row>
    <row r="31" spans="2:21" s="1" customFormat="1" x14ac:dyDescent="0.25">
      <c r="B31" s="37" t="s">
        <v>11</v>
      </c>
      <c r="C31" s="38"/>
      <c r="D31" s="9">
        <f>D26+D27+D28+D29+D30</f>
        <v>101653.35</v>
      </c>
      <c r="E31" s="9">
        <f t="shared" ref="E31" si="11">E26+E27+E28+E29+E30</f>
        <v>760439.51</v>
      </c>
      <c r="F31" s="9">
        <f t="shared" ref="F31" si="12">F26+F27+F28+F29+F30</f>
        <v>126951</v>
      </c>
      <c r="G31" s="19">
        <f t="shared" ref="G31" si="13">G26+G27+G28+G29+G30</f>
        <v>15393</v>
      </c>
      <c r="H31" s="9">
        <f t="shared" ref="H31" si="14">H26+H27+H28+H29+H30</f>
        <v>748822.86</v>
      </c>
      <c r="I31" s="9">
        <f>SUM(I26:I30)</f>
        <v>1753259.72</v>
      </c>
      <c r="K31" s="37" t="s">
        <v>11</v>
      </c>
      <c r="L31" s="38"/>
      <c r="M31" s="9">
        <f>M26+M27+M28+M29+M30</f>
        <v>101653.35</v>
      </c>
      <c r="N31" s="9">
        <f t="shared" ref="N31" si="15">N26+N27+N28+N29+N30</f>
        <v>852990.65</v>
      </c>
      <c r="O31" s="9">
        <f t="shared" ref="O31" si="16">O26+O27+O28+O29+O30</f>
        <v>126951</v>
      </c>
      <c r="P31" s="19">
        <f t="shared" ref="P31" si="17">P26+P27+P28+P29+P30</f>
        <v>856767</v>
      </c>
      <c r="Q31" s="9">
        <f>SUM(Q26:Q30)</f>
        <v>1938362</v>
      </c>
    </row>
    <row r="32" spans="2:21" s="1" customFormat="1" ht="15.75" thickBot="1" x14ac:dyDescent="0.3">
      <c r="G32" s="17"/>
      <c r="P32" s="17"/>
    </row>
    <row r="33" spans="2:17" s="1" customFormat="1" ht="30" x14ac:dyDescent="0.25">
      <c r="B33" s="48" t="s">
        <v>24</v>
      </c>
      <c r="C33" s="49"/>
      <c r="D33" s="45" t="s">
        <v>29</v>
      </c>
      <c r="E33" s="45" t="s">
        <v>30</v>
      </c>
      <c r="F33" s="45" t="s">
        <v>29</v>
      </c>
      <c r="G33" s="45" t="s">
        <v>30</v>
      </c>
      <c r="H33" s="47" t="s">
        <v>31</v>
      </c>
      <c r="I33" s="5"/>
      <c r="K33" s="48" t="s">
        <v>17</v>
      </c>
      <c r="L33" s="49"/>
      <c r="M33" s="45" t="s">
        <v>29</v>
      </c>
      <c r="N33" s="45" t="s">
        <v>30</v>
      </c>
      <c r="O33" s="45" t="s">
        <v>29</v>
      </c>
      <c r="P33" s="45" t="s">
        <v>30</v>
      </c>
      <c r="Q33" s="5"/>
    </row>
    <row r="34" spans="2:17" s="1" customFormat="1" x14ac:dyDescent="0.25">
      <c r="B34" s="35" t="s">
        <v>6</v>
      </c>
      <c r="C34" s="36"/>
      <c r="D34" s="7">
        <f>21545*0.9</f>
        <v>19390.5</v>
      </c>
      <c r="E34" s="7">
        <f>D34/0.9*0.1</f>
        <v>2154.5</v>
      </c>
      <c r="F34" s="7">
        <f>86180*0.9</f>
        <v>77562</v>
      </c>
      <c r="G34" s="18">
        <f>F34/0.9*0.1</f>
        <v>8618</v>
      </c>
      <c r="H34" s="8"/>
      <c r="I34" s="40">
        <f>SUM(D34:H34)</f>
        <v>107725</v>
      </c>
      <c r="K34" s="35" t="s">
        <v>6</v>
      </c>
      <c r="L34" s="36"/>
      <c r="M34" s="7">
        <f>21545*0.9</f>
        <v>19390.5</v>
      </c>
      <c r="N34" s="7">
        <f>M34/0.9*0.1</f>
        <v>2154.5</v>
      </c>
      <c r="O34" s="7">
        <f>86180*0.9</f>
        <v>77562</v>
      </c>
      <c r="P34" s="18">
        <f>O34/0.9*0.1</f>
        <v>8618</v>
      </c>
      <c r="Q34" s="40">
        <f>M34+N34+O34+P34</f>
        <v>107725</v>
      </c>
    </row>
    <row r="35" spans="2:17" s="1" customFormat="1" x14ac:dyDescent="0.25">
      <c r="B35" s="35" t="s">
        <v>7</v>
      </c>
      <c r="C35" s="36"/>
      <c r="D35" s="7">
        <f>76907*0.9</f>
        <v>69216.3</v>
      </c>
      <c r="E35" s="7">
        <f>D35/0.9*0.1</f>
        <v>7690.7000000000007</v>
      </c>
      <c r="F35" s="7">
        <v>0</v>
      </c>
      <c r="G35" s="18"/>
      <c r="H35" s="8"/>
      <c r="I35" s="40">
        <f>SUM(D35:H35)</f>
        <v>76907</v>
      </c>
      <c r="K35" s="35" t="s">
        <v>7</v>
      </c>
      <c r="L35" s="36"/>
      <c r="M35" s="7">
        <f>76907*0.9</f>
        <v>69216.3</v>
      </c>
      <c r="N35" s="7">
        <f>M35/0.9*0.1</f>
        <v>7690.7000000000007</v>
      </c>
      <c r="O35" s="7">
        <v>0</v>
      </c>
      <c r="P35" s="18"/>
      <c r="Q35" s="40">
        <f t="shared" ref="Q35:Q38" si="18">M35+N35+O35+P35</f>
        <v>76907</v>
      </c>
    </row>
    <row r="36" spans="2:17" s="1" customFormat="1" x14ac:dyDescent="0.25">
      <c r="B36" s="35" t="s">
        <v>8</v>
      </c>
      <c r="C36" s="36"/>
      <c r="D36" s="7">
        <f>12617*0.75</f>
        <v>9462.75</v>
      </c>
      <c r="E36" s="7">
        <f>D36/0.75*0.25</f>
        <v>3154.25</v>
      </c>
      <c r="F36" s="7">
        <f>50470*0.75</f>
        <v>37852.5</v>
      </c>
      <c r="G36" s="18">
        <f>F36/0.75*0.25</f>
        <v>12617.5</v>
      </c>
      <c r="H36" s="8"/>
      <c r="I36" s="40">
        <f>SUM(D36:H36)</f>
        <v>63087</v>
      </c>
      <c r="K36" s="35" t="s">
        <v>8</v>
      </c>
      <c r="L36" s="36"/>
      <c r="M36" s="7">
        <f>12617*0.75</f>
        <v>9462.75</v>
      </c>
      <c r="N36" s="7">
        <f>M36/0.75*0.25</f>
        <v>3154.25</v>
      </c>
      <c r="O36" s="7">
        <f>50470*0.75</f>
        <v>37852.5</v>
      </c>
      <c r="P36" s="18">
        <f>O36/0.75*0.25</f>
        <v>12617.5</v>
      </c>
      <c r="Q36" s="40">
        <f t="shared" si="18"/>
        <v>63087</v>
      </c>
    </row>
    <row r="37" spans="2:17" s="1" customFormat="1" x14ac:dyDescent="0.25">
      <c r="B37" s="35" t="s">
        <v>9</v>
      </c>
      <c r="C37" s="36"/>
      <c r="D37" s="7">
        <v>0</v>
      </c>
      <c r="E37" s="7">
        <f>538625*0.89</f>
        <v>479376.25</v>
      </c>
      <c r="F37" s="7">
        <v>0</v>
      </c>
      <c r="G37" s="18">
        <v>0</v>
      </c>
      <c r="H37" s="8">
        <f>538625*0.89</f>
        <v>479376.25</v>
      </c>
      <c r="I37" s="40">
        <f>SUM(D37:H37)</f>
        <v>958752.5</v>
      </c>
      <c r="K37" s="35" t="s">
        <v>9</v>
      </c>
      <c r="L37" s="36"/>
      <c r="M37" s="7">
        <v>0</v>
      </c>
      <c r="N37" s="7">
        <v>538625</v>
      </c>
      <c r="O37" s="7">
        <v>0</v>
      </c>
      <c r="P37" s="18">
        <v>538625</v>
      </c>
      <c r="Q37" s="40">
        <f t="shared" si="18"/>
        <v>1077250</v>
      </c>
    </row>
    <row r="38" spans="2:17" s="1" customFormat="1" x14ac:dyDescent="0.25">
      <c r="B38" s="35" t="s">
        <v>10</v>
      </c>
      <c r="C38" s="36"/>
      <c r="D38" s="7"/>
      <c r="E38" s="7">
        <v>0</v>
      </c>
      <c r="F38" s="7"/>
      <c r="G38" s="18">
        <v>0</v>
      </c>
      <c r="H38" s="8"/>
      <c r="I38" s="40">
        <f>SUM(D38:H38)</f>
        <v>0</v>
      </c>
      <c r="K38" s="35" t="s">
        <v>10</v>
      </c>
      <c r="L38" s="36"/>
      <c r="M38" s="7"/>
      <c r="N38" s="7">
        <v>0</v>
      </c>
      <c r="O38" s="7"/>
      <c r="P38" s="18">
        <v>0</v>
      </c>
      <c r="Q38" s="40">
        <f t="shared" si="18"/>
        <v>0</v>
      </c>
    </row>
    <row r="39" spans="2:17" s="1" customFormat="1" x14ac:dyDescent="0.25">
      <c r="B39" s="37" t="s">
        <v>11</v>
      </c>
      <c r="C39" s="38"/>
      <c r="D39" s="9">
        <f>D34+D35+D36+D37+D38</f>
        <v>98069.55</v>
      </c>
      <c r="E39" s="9">
        <f t="shared" ref="E39" si="19">E34+E35+E36+E37+E38</f>
        <v>492375.7</v>
      </c>
      <c r="F39" s="9">
        <f t="shared" ref="F39" si="20">F34+F35+F36+F37+F38</f>
        <v>115414.5</v>
      </c>
      <c r="G39" s="19">
        <f t="shared" ref="G39" si="21">G34+G35+G36+G37+G38</f>
        <v>21235.5</v>
      </c>
      <c r="H39" s="9">
        <f t="shared" ref="H39" si="22">H34+H35+H36+H37+H38</f>
        <v>479376.25</v>
      </c>
      <c r="I39" s="9">
        <f>SUM(I34:I38)</f>
        <v>1206471.5</v>
      </c>
      <c r="K39" s="37" t="s">
        <v>11</v>
      </c>
      <c r="L39" s="38"/>
      <c r="M39" s="9">
        <f>M34+M35+M36+M37+M38</f>
        <v>98069.55</v>
      </c>
      <c r="N39" s="9">
        <f t="shared" ref="N39" si="23">N34+N35+N36+N37+N38</f>
        <v>551624.44999999995</v>
      </c>
      <c r="O39" s="9">
        <f t="shared" ref="O39" si="24">O34+O35+O36+O37+O38</f>
        <v>115414.5</v>
      </c>
      <c r="P39" s="19">
        <f t="shared" ref="P39" si="25">P34+P35+P36+P37+P38</f>
        <v>559860.5</v>
      </c>
      <c r="Q39" s="9">
        <f>SUM(Q34:Q38)</f>
        <v>1324969</v>
      </c>
    </row>
    <row r="40" spans="2:17" s="1" customFormat="1" ht="15.75" thickBot="1" x14ac:dyDescent="0.3">
      <c r="G40" s="17"/>
      <c r="P40" s="17"/>
    </row>
    <row r="41" spans="2:17" s="1" customFormat="1" ht="30" x14ac:dyDescent="0.25">
      <c r="B41" s="48" t="s">
        <v>25</v>
      </c>
      <c r="C41" s="49"/>
      <c r="D41" s="45" t="s">
        <v>29</v>
      </c>
      <c r="E41" s="45" t="s">
        <v>30</v>
      </c>
      <c r="F41" s="45" t="s">
        <v>29</v>
      </c>
      <c r="G41" s="45" t="s">
        <v>30</v>
      </c>
      <c r="H41" s="47" t="s">
        <v>31</v>
      </c>
      <c r="I41" s="5"/>
      <c r="K41" s="48" t="s">
        <v>18</v>
      </c>
      <c r="L41" s="49"/>
      <c r="M41" s="45" t="s">
        <v>29</v>
      </c>
      <c r="N41" s="45" t="s">
        <v>30</v>
      </c>
      <c r="O41" s="45" t="s">
        <v>29</v>
      </c>
      <c r="P41" s="45" t="s">
        <v>30</v>
      </c>
      <c r="Q41" s="5"/>
    </row>
    <row r="42" spans="2:17" s="1" customFormat="1" x14ac:dyDescent="0.25">
      <c r="B42" s="35" t="s">
        <v>6</v>
      </c>
      <c r="C42" s="36"/>
      <c r="D42" s="7">
        <f>16911*0.9</f>
        <v>15219.9</v>
      </c>
      <c r="E42" s="7">
        <f>D42/0.9*0.1</f>
        <v>1691.1000000000001</v>
      </c>
      <c r="F42" s="7">
        <f>67645*0.9</f>
        <v>60880.5</v>
      </c>
      <c r="G42" s="18">
        <f>F42/0.9*0.1</f>
        <v>6764.5</v>
      </c>
      <c r="H42" s="8"/>
      <c r="I42" s="40">
        <f>SUM(D42:H42)</f>
        <v>84556</v>
      </c>
      <c r="K42" s="35" t="s">
        <v>6</v>
      </c>
      <c r="L42" s="36"/>
      <c r="M42" s="7">
        <f>16911*0.9</f>
        <v>15219.9</v>
      </c>
      <c r="N42" s="7">
        <f>M42/0.9*0.1</f>
        <v>1691.1000000000001</v>
      </c>
      <c r="O42" s="7">
        <f>67645*0.9</f>
        <v>60880.5</v>
      </c>
      <c r="P42" s="18">
        <f>O42/0.9*0.1</f>
        <v>6764.5</v>
      </c>
      <c r="Q42" s="40">
        <f>M42+N42+O42+P42</f>
        <v>84556</v>
      </c>
    </row>
    <row r="43" spans="2:17" s="1" customFormat="1" x14ac:dyDescent="0.25">
      <c r="B43" s="35" t="s">
        <v>7</v>
      </c>
      <c r="C43" s="36"/>
      <c r="D43" s="7">
        <f>76907*0.9</f>
        <v>69216.3</v>
      </c>
      <c r="E43" s="7">
        <f>D43/0.9*0.1</f>
        <v>7690.7000000000007</v>
      </c>
      <c r="F43" s="7">
        <v>0</v>
      </c>
      <c r="G43" s="18"/>
      <c r="H43" s="8"/>
      <c r="I43" s="40">
        <f>SUM(D43:H43)</f>
        <v>76907</v>
      </c>
      <c r="K43" s="35" t="s">
        <v>7</v>
      </c>
      <c r="L43" s="36"/>
      <c r="M43" s="7">
        <f>76907*0.9</f>
        <v>69216.3</v>
      </c>
      <c r="N43" s="7">
        <f>M43/0.9*0.1</f>
        <v>7690.7000000000007</v>
      </c>
      <c r="O43" s="7">
        <v>0</v>
      </c>
      <c r="P43" s="18"/>
      <c r="Q43" s="40">
        <f t="shared" ref="Q43:Q46" si="26">M43+N43+O43+P43</f>
        <v>76907</v>
      </c>
    </row>
    <row r="44" spans="2:17" s="1" customFormat="1" x14ac:dyDescent="0.25">
      <c r="B44" s="35" t="s">
        <v>8</v>
      </c>
      <c r="C44" s="36"/>
      <c r="D44" s="7">
        <f>12617*0.75</f>
        <v>9462.75</v>
      </c>
      <c r="E44" s="7">
        <f>D44/0.75*0.25</f>
        <v>3154.25</v>
      </c>
      <c r="F44" s="7">
        <f>50470*0.75</f>
        <v>37852.5</v>
      </c>
      <c r="G44" s="18">
        <f>F44/0.75*0.25</f>
        <v>12617.5</v>
      </c>
      <c r="H44" s="8"/>
      <c r="I44" s="40">
        <f>SUM(D44:H44)</f>
        <v>63087</v>
      </c>
      <c r="K44" s="35" t="s">
        <v>8</v>
      </c>
      <c r="L44" s="36"/>
      <c r="M44" s="7">
        <f>12617*0.75</f>
        <v>9462.75</v>
      </c>
      <c r="N44" s="7">
        <f>M44/0.75*0.25</f>
        <v>3154.25</v>
      </c>
      <c r="O44" s="7">
        <f>50470*0.75</f>
        <v>37852.5</v>
      </c>
      <c r="P44" s="18">
        <f>O44/0.75*0.25</f>
        <v>12617.5</v>
      </c>
      <c r="Q44" s="40">
        <f t="shared" si="26"/>
        <v>63087</v>
      </c>
    </row>
    <row r="45" spans="2:17" s="1" customFormat="1" x14ac:dyDescent="0.25">
      <c r="B45" s="35" t="s">
        <v>9</v>
      </c>
      <c r="C45" s="36"/>
      <c r="D45" s="7">
        <v>0</v>
      </c>
      <c r="E45" s="7">
        <f>422780*0.89</f>
        <v>376274.2</v>
      </c>
      <c r="F45" s="7">
        <v>0</v>
      </c>
      <c r="G45" s="18">
        <v>0</v>
      </c>
      <c r="H45" s="8">
        <f>422780*0.89</f>
        <v>376274.2</v>
      </c>
      <c r="I45" s="40">
        <f>SUM(D45:H45)</f>
        <v>752548.4</v>
      </c>
      <c r="K45" s="35" t="s">
        <v>9</v>
      </c>
      <c r="L45" s="36"/>
      <c r="M45" s="7">
        <v>0</v>
      </c>
      <c r="N45" s="7">
        <v>422780</v>
      </c>
      <c r="O45" s="7">
        <v>0</v>
      </c>
      <c r="P45" s="18">
        <v>422780</v>
      </c>
      <c r="Q45" s="40">
        <f t="shared" si="26"/>
        <v>845560</v>
      </c>
    </row>
    <row r="46" spans="2:17" s="1" customFormat="1" x14ac:dyDescent="0.25">
      <c r="B46" s="35" t="s">
        <v>10</v>
      </c>
      <c r="C46" s="36"/>
      <c r="D46" s="7"/>
      <c r="E46" s="7">
        <v>0</v>
      </c>
      <c r="F46" s="7"/>
      <c r="G46" s="18">
        <v>0</v>
      </c>
      <c r="H46" s="8"/>
      <c r="I46" s="40">
        <f>SUM(D46:H46)</f>
        <v>0</v>
      </c>
      <c r="K46" s="35" t="s">
        <v>10</v>
      </c>
      <c r="L46" s="36"/>
      <c r="M46" s="7"/>
      <c r="N46" s="7">
        <v>0</v>
      </c>
      <c r="O46" s="7"/>
      <c r="P46" s="18">
        <v>0</v>
      </c>
      <c r="Q46" s="40">
        <f t="shared" si="26"/>
        <v>0</v>
      </c>
    </row>
    <row r="47" spans="2:17" s="1" customFormat="1" x14ac:dyDescent="0.25">
      <c r="B47" s="37" t="s">
        <v>11</v>
      </c>
      <c r="C47" s="38"/>
      <c r="D47" s="9">
        <f>D42+D43+D44+D45+D46</f>
        <v>93898.95</v>
      </c>
      <c r="E47" s="9">
        <f t="shared" ref="E47" si="27">E42+E43+E44+E45+E46</f>
        <v>388810.25</v>
      </c>
      <c r="F47" s="9">
        <f t="shared" ref="F47" si="28">F42+F43+F44+F45+F46</f>
        <v>98733</v>
      </c>
      <c r="G47" s="19">
        <f t="shared" ref="G47" si="29">G42+G43+G44+G45+G46</f>
        <v>19382</v>
      </c>
      <c r="H47" s="9">
        <f t="shared" ref="H47" si="30">H42+H43+H44+H45+H46</f>
        <v>376274.2</v>
      </c>
      <c r="I47" s="9">
        <f>SUM(I42:I46)</f>
        <v>977098.4</v>
      </c>
      <c r="K47" s="37" t="s">
        <v>11</v>
      </c>
      <c r="L47" s="38"/>
      <c r="M47" s="9">
        <f>M42+M43+M44+M45+M46</f>
        <v>93898.95</v>
      </c>
      <c r="N47" s="9">
        <f t="shared" ref="N47" si="31">N42+N43+N44+N45+N46</f>
        <v>435316.05</v>
      </c>
      <c r="O47" s="9">
        <f t="shared" ref="O47" si="32">O42+O43+O44+O45+O46</f>
        <v>98733</v>
      </c>
      <c r="P47" s="19">
        <f t="shared" ref="P47" si="33">P42+P43+P44+P45+P46</f>
        <v>442162</v>
      </c>
      <c r="Q47" s="9">
        <f>SUM(Q42:Q46)</f>
        <v>1070110</v>
      </c>
    </row>
    <row r="48" spans="2:17" s="1" customFormat="1" ht="15.75" thickBot="1" x14ac:dyDescent="0.3">
      <c r="G48" s="17"/>
      <c r="P48" s="17"/>
    </row>
    <row r="49" spans="2:18" s="1" customFormat="1" ht="30" x14ac:dyDescent="0.25">
      <c r="B49" s="48" t="s">
        <v>26</v>
      </c>
      <c r="C49" s="49"/>
      <c r="D49" s="45" t="s">
        <v>29</v>
      </c>
      <c r="E49" s="45" t="s">
        <v>30</v>
      </c>
      <c r="F49" s="45" t="s">
        <v>29</v>
      </c>
      <c r="G49" s="45" t="s">
        <v>30</v>
      </c>
      <c r="H49" s="47" t="s">
        <v>31</v>
      </c>
      <c r="I49" s="5"/>
      <c r="K49" s="48" t="s">
        <v>19</v>
      </c>
      <c r="L49" s="49"/>
      <c r="M49" s="45" t="s">
        <v>29</v>
      </c>
      <c r="N49" s="45" t="s">
        <v>30</v>
      </c>
      <c r="O49" s="45" t="s">
        <v>29</v>
      </c>
      <c r="P49" s="45" t="s">
        <v>30</v>
      </c>
      <c r="Q49" s="5"/>
    </row>
    <row r="50" spans="2:18" s="1" customFormat="1" x14ac:dyDescent="0.25">
      <c r="B50" s="35" t="s">
        <v>6</v>
      </c>
      <c r="C50" s="36"/>
      <c r="D50" s="7">
        <f>52980*0.9</f>
        <v>47682</v>
      </c>
      <c r="E50" s="7">
        <f>D50/0.9*0.1</f>
        <v>5298</v>
      </c>
      <c r="F50" s="7">
        <f>211919*0.9</f>
        <v>190727.1</v>
      </c>
      <c r="G50" s="18">
        <f>F50/0.9*0.1</f>
        <v>21191.9</v>
      </c>
      <c r="H50" s="8"/>
      <c r="I50" s="40">
        <f>SUM(D50:H50)</f>
        <v>264899</v>
      </c>
      <c r="K50" s="35" t="s">
        <v>6</v>
      </c>
      <c r="L50" s="36"/>
      <c r="M50" s="7">
        <f>52980*0.9</f>
        <v>47682</v>
      </c>
      <c r="N50" s="7">
        <f>M50/0.9*0.1</f>
        <v>5298</v>
      </c>
      <c r="O50" s="7">
        <f>211919*0.9</f>
        <v>190727.1</v>
      </c>
      <c r="P50" s="18">
        <f>O50/0.9*0.1</f>
        <v>21191.9</v>
      </c>
      <c r="Q50" s="40">
        <f>M50+N50+O50+P50</f>
        <v>264899</v>
      </c>
    </row>
    <row r="51" spans="2:18" s="1" customFormat="1" x14ac:dyDescent="0.25">
      <c r="B51" s="35" t="s">
        <v>7</v>
      </c>
      <c r="C51" s="36"/>
      <c r="D51" s="7">
        <f>34980*0.9</f>
        <v>31482</v>
      </c>
      <c r="E51" s="7">
        <f>D51/0.9*0.1</f>
        <v>3498</v>
      </c>
      <c r="F51" s="7">
        <v>0</v>
      </c>
      <c r="G51" s="18"/>
      <c r="H51" s="8"/>
      <c r="I51" s="40">
        <f>SUM(D51:H51)</f>
        <v>34980</v>
      </c>
      <c r="K51" s="35" t="s">
        <v>7</v>
      </c>
      <c r="L51" s="36"/>
      <c r="M51" s="7">
        <f>34980*0.9</f>
        <v>31482</v>
      </c>
      <c r="N51" s="7">
        <f>M51/0.9*0.1</f>
        <v>3498</v>
      </c>
      <c r="O51" s="7">
        <v>0</v>
      </c>
      <c r="P51" s="18"/>
      <c r="Q51" s="40">
        <f t="shared" ref="Q51:Q54" si="34">M51+N51+O51+P51</f>
        <v>34980</v>
      </c>
    </row>
    <row r="52" spans="2:18" s="1" customFormat="1" x14ac:dyDescent="0.25">
      <c r="B52" s="35" t="s">
        <v>8</v>
      </c>
      <c r="C52" s="36"/>
      <c r="D52" s="7">
        <f>909*0.75</f>
        <v>681.75</v>
      </c>
      <c r="E52" s="7">
        <f>D52/0.75*0.25</f>
        <v>227.25</v>
      </c>
      <c r="F52" s="7">
        <f>3634*0.75</f>
        <v>2725.5</v>
      </c>
      <c r="G52" s="18">
        <f>F52/0.75*0.25</f>
        <v>908.5</v>
      </c>
      <c r="H52" s="8"/>
      <c r="I52" s="40">
        <f>SUM(D52:H52)</f>
        <v>4543</v>
      </c>
      <c r="K52" s="35" t="s">
        <v>8</v>
      </c>
      <c r="L52" s="36"/>
      <c r="M52" s="7">
        <f>909*0.75</f>
        <v>681.75</v>
      </c>
      <c r="N52" s="7">
        <f>M52/0.75*0.25</f>
        <v>227.25</v>
      </c>
      <c r="O52" s="7">
        <f>3634*0.75</f>
        <v>2725.5</v>
      </c>
      <c r="P52" s="18">
        <f>O52/0.75*0.25</f>
        <v>908.5</v>
      </c>
      <c r="Q52" s="40">
        <f t="shared" si="34"/>
        <v>4543</v>
      </c>
    </row>
    <row r="53" spans="2:18" s="1" customFormat="1" x14ac:dyDescent="0.25">
      <c r="B53" s="35" t="s">
        <v>9</v>
      </c>
      <c r="C53" s="36"/>
      <c r="D53" s="7">
        <v>0</v>
      </c>
      <c r="E53" s="7">
        <f>1000000*0.89</f>
        <v>890000</v>
      </c>
      <c r="F53" s="7">
        <v>0</v>
      </c>
      <c r="G53" s="18">
        <v>0</v>
      </c>
      <c r="H53" s="8">
        <f>1648986*0.89</f>
        <v>1467597.54</v>
      </c>
      <c r="I53" s="40">
        <f>SUM(D53:H53)</f>
        <v>2357597.54</v>
      </c>
      <c r="K53" s="35" t="s">
        <v>9</v>
      </c>
      <c r="L53" s="36"/>
      <c r="M53" s="7">
        <v>0</v>
      </c>
      <c r="N53" s="7">
        <v>1000000</v>
      </c>
      <c r="O53" s="7">
        <v>0</v>
      </c>
      <c r="P53" s="18">
        <v>1648986</v>
      </c>
      <c r="Q53" s="40">
        <f t="shared" si="34"/>
        <v>2648986</v>
      </c>
    </row>
    <row r="54" spans="2:18" s="1" customFormat="1" x14ac:dyDescent="0.25">
      <c r="B54" s="35" t="s">
        <v>10</v>
      </c>
      <c r="C54" s="36"/>
      <c r="D54" s="7"/>
      <c r="E54" s="7">
        <v>59899.3</v>
      </c>
      <c r="F54" s="7"/>
      <c r="G54" s="18">
        <v>59899.3</v>
      </c>
      <c r="H54" s="8"/>
      <c r="I54" s="40">
        <f>SUM(D54:H54)</f>
        <v>119798.6</v>
      </c>
      <c r="K54" s="35" t="s">
        <v>10</v>
      </c>
      <c r="L54" s="36"/>
      <c r="M54" s="7"/>
      <c r="N54" s="7">
        <v>67302.399999999994</v>
      </c>
      <c r="O54" s="7"/>
      <c r="P54" s="18">
        <v>67302.399999999994</v>
      </c>
      <c r="Q54" s="40">
        <f t="shared" si="34"/>
        <v>134604.79999999999</v>
      </c>
      <c r="R54" s="20"/>
    </row>
    <row r="55" spans="2:18" s="1" customFormat="1" x14ac:dyDescent="0.25">
      <c r="B55" s="37" t="s">
        <v>11</v>
      </c>
      <c r="C55" s="38"/>
      <c r="D55" s="9">
        <f>D50+D51+D52+D53+D54</f>
        <v>79845.75</v>
      </c>
      <c r="E55" s="9">
        <f t="shared" ref="E55" si="35">E50+E51+E52+E53+E54</f>
        <v>958922.55</v>
      </c>
      <c r="F55" s="9">
        <f t="shared" ref="F55" si="36">F50+F51+F52+F53+F54</f>
        <v>193452.6</v>
      </c>
      <c r="G55" s="19">
        <f t="shared" ref="G55" si="37">G50+G51+G52+G53+G54</f>
        <v>81999.700000000012</v>
      </c>
      <c r="H55" s="9">
        <f t="shared" ref="H55" si="38">H50+H51+H52+H53+H54</f>
        <v>1467597.54</v>
      </c>
      <c r="I55" s="9">
        <f>SUM(I50:I54)</f>
        <v>2781818.14</v>
      </c>
      <c r="K55" s="37" t="s">
        <v>11</v>
      </c>
      <c r="L55" s="38"/>
      <c r="M55" s="9">
        <f>M50+M51+M52+M53+M54</f>
        <v>79845.75</v>
      </c>
      <c r="N55" s="9">
        <f t="shared" ref="N55" si="39">N50+N51+N52+N53+N54</f>
        <v>1076325.6499999999</v>
      </c>
      <c r="O55" s="9">
        <f t="shared" ref="O55" si="40">O50+O51+O52+O53+O54</f>
        <v>193452.6</v>
      </c>
      <c r="P55" s="19">
        <f t="shared" ref="P55" si="41">P50+P51+P52+P53+P54</f>
        <v>1738388.7999999998</v>
      </c>
      <c r="Q55" s="9">
        <f>SUM(Q50:Q54)</f>
        <v>3088012.8</v>
      </c>
    </row>
    <row r="56" spans="2:18" s="1" customFormat="1" ht="15.75" thickBot="1" x14ac:dyDescent="0.3">
      <c r="G56" s="17"/>
      <c r="P56" s="17"/>
    </row>
    <row r="57" spans="2:18" s="1" customFormat="1" ht="30" x14ac:dyDescent="0.25">
      <c r="B57" s="48" t="s">
        <v>27</v>
      </c>
      <c r="C57" s="49"/>
      <c r="D57" s="45" t="s">
        <v>29</v>
      </c>
      <c r="E57" s="45" t="s">
        <v>30</v>
      </c>
      <c r="F57" s="45" t="s">
        <v>29</v>
      </c>
      <c r="G57" s="45" t="s">
        <v>30</v>
      </c>
      <c r="H57" s="47" t="s">
        <v>31</v>
      </c>
      <c r="I57" s="5"/>
      <c r="K57" s="48" t="s">
        <v>20</v>
      </c>
      <c r="L57" s="49"/>
      <c r="M57" s="45" t="s">
        <v>29</v>
      </c>
      <c r="N57" s="45" t="s">
        <v>30</v>
      </c>
      <c r="O57" s="45" t="s">
        <v>29</v>
      </c>
      <c r="P57" s="45" t="s">
        <v>30</v>
      </c>
      <c r="Q57" s="5"/>
    </row>
    <row r="58" spans="2:18" s="1" customFormat="1" x14ac:dyDescent="0.25">
      <c r="B58" s="35" t="s">
        <v>6</v>
      </c>
      <c r="C58" s="36"/>
      <c r="D58" s="7">
        <f>89604*0.9</f>
        <v>80643.600000000006</v>
      </c>
      <c r="E58" s="7">
        <f>D58/0.9*0.1</f>
        <v>8960.4</v>
      </c>
      <c r="F58" s="7">
        <f>358418*0.9</f>
        <v>322576.2</v>
      </c>
      <c r="G58" s="18">
        <f>F58/0.9*0.1</f>
        <v>35841.800000000003</v>
      </c>
      <c r="H58" s="8"/>
      <c r="I58" s="40">
        <f>SUM(D58:H58)</f>
        <v>448022</v>
      </c>
      <c r="K58" s="35" t="s">
        <v>6</v>
      </c>
      <c r="L58" s="36"/>
      <c r="M58" s="7">
        <f>89604*0.9</f>
        <v>80643.600000000006</v>
      </c>
      <c r="N58" s="7">
        <f>M58/0.9*0.1</f>
        <v>8960.4</v>
      </c>
      <c r="O58" s="7">
        <f>358418*0.9</f>
        <v>322576.2</v>
      </c>
      <c r="P58" s="18">
        <f>O58/0.9*0.1</f>
        <v>35841.800000000003</v>
      </c>
      <c r="Q58" s="40">
        <f>M58+N58+O58+P58</f>
        <v>448022</v>
      </c>
    </row>
    <row r="59" spans="2:18" s="1" customFormat="1" x14ac:dyDescent="0.25">
      <c r="B59" s="35" t="s">
        <v>7</v>
      </c>
      <c r="C59" s="36"/>
      <c r="D59" s="7">
        <f>34980*0.9</f>
        <v>31482</v>
      </c>
      <c r="E59" s="7">
        <f>D59/0.9*0.1</f>
        <v>3498</v>
      </c>
      <c r="F59" s="7">
        <v>0</v>
      </c>
      <c r="G59" s="18">
        <v>0</v>
      </c>
      <c r="H59" s="8"/>
      <c r="I59" s="40">
        <f>SUM(D59:H59)</f>
        <v>34980</v>
      </c>
      <c r="K59" s="35" t="s">
        <v>7</v>
      </c>
      <c r="L59" s="36"/>
      <c r="M59" s="7">
        <f>34980*0.9</f>
        <v>31482</v>
      </c>
      <c r="N59" s="7">
        <f>M59/0.9*0.1</f>
        <v>3498</v>
      </c>
      <c r="O59" s="7">
        <v>0</v>
      </c>
      <c r="P59" s="18">
        <v>0</v>
      </c>
      <c r="Q59" s="40">
        <f t="shared" ref="Q59:Q62" si="42">M59+N59+O59+P59</f>
        <v>34980</v>
      </c>
    </row>
    <row r="60" spans="2:18" s="1" customFormat="1" x14ac:dyDescent="0.25">
      <c r="B60" s="35" t="s">
        <v>8</v>
      </c>
      <c r="C60" s="36"/>
      <c r="D60" s="7">
        <f>909*0.75</f>
        <v>681.75</v>
      </c>
      <c r="E60" s="7">
        <f>D60/0.75*0.25</f>
        <v>227.25</v>
      </c>
      <c r="F60" s="7">
        <f>3634*0.75</f>
        <v>2725.5</v>
      </c>
      <c r="G60" s="18">
        <f>F60/0.75*0.25</f>
        <v>908.5</v>
      </c>
      <c r="H60" s="8"/>
      <c r="I60" s="40">
        <f>SUM(D60:H60)</f>
        <v>4543</v>
      </c>
      <c r="K60" s="35" t="s">
        <v>8</v>
      </c>
      <c r="L60" s="36"/>
      <c r="M60" s="7">
        <f>909*0.75</f>
        <v>681.75</v>
      </c>
      <c r="N60" s="7">
        <f>M60/0.75*0.25</f>
        <v>227.25</v>
      </c>
      <c r="O60" s="7">
        <f>3634*0.75</f>
        <v>2725.5</v>
      </c>
      <c r="P60" s="18">
        <f>O60/0.75*0.25</f>
        <v>908.5</v>
      </c>
      <c r="Q60" s="40">
        <f t="shared" si="42"/>
        <v>4543</v>
      </c>
    </row>
    <row r="61" spans="2:18" s="1" customFormat="1" x14ac:dyDescent="0.25">
      <c r="B61" s="35" t="s">
        <v>9</v>
      </c>
      <c r="C61" s="36"/>
      <c r="D61" s="7">
        <v>0</v>
      </c>
      <c r="E61" s="7">
        <f>1248022*0.89+141590</f>
        <v>1252329.58</v>
      </c>
      <c r="F61" s="7">
        <v>0</v>
      </c>
      <c r="G61" s="18">
        <f>992089*0.89-141590</f>
        <v>741369.21</v>
      </c>
      <c r="H61" s="8">
        <f>2240112*0.89</f>
        <v>1993699.68</v>
      </c>
      <c r="I61" s="40">
        <f>SUM(D61:H61)</f>
        <v>3987398.4699999997</v>
      </c>
      <c r="K61" s="35" t="s">
        <v>9</v>
      </c>
      <c r="L61" s="36"/>
      <c r="M61" s="7">
        <v>0</v>
      </c>
      <c r="N61" s="7">
        <f>1248022+159089</f>
        <v>1407111</v>
      </c>
      <c r="O61" s="7">
        <v>0</v>
      </c>
      <c r="P61" s="18">
        <f>992089+2240112-159089</f>
        <v>3073112</v>
      </c>
      <c r="Q61" s="40">
        <f t="shared" si="42"/>
        <v>4480223</v>
      </c>
    </row>
    <row r="62" spans="2:18" s="1" customFormat="1" x14ac:dyDescent="0.25">
      <c r="B62" s="35" t="s">
        <v>10</v>
      </c>
      <c r="C62" s="36"/>
      <c r="D62" s="7"/>
      <c r="E62" s="7">
        <v>59899.3</v>
      </c>
      <c r="F62" s="7"/>
      <c r="G62" s="18">
        <v>59899.3</v>
      </c>
      <c r="H62" s="8"/>
      <c r="I62" s="40">
        <f>SUM(D62:H62)</f>
        <v>119798.6</v>
      </c>
      <c r="K62" s="35" t="s">
        <v>10</v>
      </c>
      <c r="L62" s="36"/>
      <c r="M62" s="7"/>
      <c r="N62" s="7">
        <v>67302.399999999994</v>
      </c>
      <c r="O62" s="7"/>
      <c r="P62" s="18">
        <v>67302.399999999994</v>
      </c>
      <c r="Q62" s="40">
        <f t="shared" si="42"/>
        <v>134604.79999999999</v>
      </c>
      <c r="R62" s="20"/>
    </row>
    <row r="63" spans="2:18" s="1" customFormat="1" x14ac:dyDescent="0.25">
      <c r="B63" s="37" t="s">
        <v>11</v>
      </c>
      <c r="C63" s="38"/>
      <c r="D63" s="9">
        <f>D58+D59+D60+D61+D62</f>
        <v>112807.35</v>
      </c>
      <c r="E63" s="9">
        <f t="shared" ref="E63" si="43">E58+E59+E60+E61+E62</f>
        <v>1324914.53</v>
      </c>
      <c r="F63" s="9">
        <f t="shared" ref="F63" si="44">F58+F59+F60+F61+F62</f>
        <v>325301.7</v>
      </c>
      <c r="G63" s="19">
        <f t="shared" ref="G63" si="45">G58+G59+G60+G61+G62</f>
        <v>838018.81</v>
      </c>
      <c r="H63" s="9">
        <f t="shared" ref="H63" si="46">H58+H59+H60+H61+H62</f>
        <v>1993699.68</v>
      </c>
      <c r="I63" s="9">
        <f>SUM(I58:I62)</f>
        <v>4594742.0699999994</v>
      </c>
      <c r="K63" s="37" t="s">
        <v>11</v>
      </c>
      <c r="L63" s="38"/>
      <c r="M63" s="9">
        <f>M58+M59+M60+M61+M62</f>
        <v>112807.35</v>
      </c>
      <c r="N63" s="9">
        <f t="shared" ref="N63" si="47">N58+N59+N60+N61+N62</f>
        <v>1487099.0499999998</v>
      </c>
      <c r="O63" s="9">
        <f t="shared" ref="O63" si="48">O58+O59+O60+O61+O62</f>
        <v>325301.7</v>
      </c>
      <c r="P63" s="19">
        <f t="shared" ref="P63" si="49">P58+P59+P60+P61+P62</f>
        <v>3177164.6999999997</v>
      </c>
      <c r="Q63" s="9">
        <f>SUM(Q58:Q62)</f>
        <v>5102372.8</v>
      </c>
    </row>
    <row r="64" spans="2:18" s="1" customFormat="1" ht="15.75" thickBot="1" x14ac:dyDescent="0.3">
      <c r="G64" s="17"/>
      <c r="P64" s="17"/>
    </row>
    <row r="65" spans="2:17" s="1" customFormat="1" ht="30" x14ac:dyDescent="0.25">
      <c r="B65" s="52" t="s">
        <v>28</v>
      </c>
      <c r="C65" s="53"/>
      <c r="D65" s="45" t="s">
        <v>29</v>
      </c>
      <c r="E65" s="45" t="s">
        <v>30</v>
      </c>
      <c r="F65" s="45" t="s">
        <v>29</v>
      </c>
      <c r="G65" s="45" t="s">
        <v>30</v>
      </c>
      <c r="H65" s="47" t="s">
        <v>31</v>
      </c>
      <c r="I65" s="5"/>
      <c r="K65" s="52" t="s">
        <v>21</v>
      </c>
      <c r="L65" s="53"/>
      <c r="M65" s="45" t="s">
        <v>29</v>
      </c>
      <c r="N65" s="45" t="s">
        <v>30</v>
      </c>
      <c r="O65" s="45" t="s">
        <v>29</v>
      </c>
      <c r="P65" s="45" t="s">
        <v>30</v>
      </c>
      <c r="Q65" s="5"/>
    </row>
    <row r="66" spans="2:17" s="1" customFormat="1" x14ac:dyDescent="0.25">
      <c r="B66" s="35" t="s">
        <v>6</v>
      </c>
      <c r="C66" s="36"/>
      <c r="D66" s="7">
        <f>20187*0.9</f>
        <v>18168.3</v>
      </c>
      <c r="E66" s="7">
        <f>D66/0.9*0.1</f>
        <v>2018.7</v>
      </c>
      <c r="F66" s="7">
        <f>80747*0.9</f>
        <v>72672.3</v>
      </c>
      <c r="G66" s="18">
        <f>F66/0.9*0.1</f>
        <v>8074.7000000000007</v>
      </c>
      <c r="H66" s="8"/>
      <c r="I66" s="40">
        <f>SUM(D66:H66)</f>
        <v>100934</v>
      </c>
      <c r="K66" s="35" t="s">
        <v>6</v>
      </c>
      <c r="L66" s="36"/>
      <c r="M66" s="7">
        <f>20187*0.9</f>
        <v>18168.3</v>
      </c>
      <c r="N66" s="7">
        <f>M66/0.9*0.1</f>
        <v>2018.7</v>
      </c>
      <c r="O66" s="7">
        <f>80747*0.9</f>
        <v>72672.3</v>
      </c>
      <c r="P66" s="18">
        <f>O66/0.9*0.1</f>
        <v>8074.7000000000007</v>
      </c>
      <c r="Q66" s="40">
        <f>M66+N66+O66+P66</f>
        <v>100934</v>
      </c>
    </row>
    <row r="67" spans="2:17" s="1" customFormat="1" x14ac:dyDescent="0.25">
      <c r="B67" s="35" t="s">
        <v>7</v>
      </c>
      <c r="C67" s="36"/>
      <c r="D67" s="7">
        <f>76907*0.9</f>
        <v>69216.3</v>
      </c>
      <c r="E67" s="7">
        <f>D67/0.9*0.1</f>
        <v>7690.7000000000007</v>
      </c>
      <c r="F67" s="7">
        <v>0</v>
      </c>
      <c r="G67" s="18">
        <v>0</v>
      </c>
      <c r="H67" s="8"/>
      <c r="I67" s="40">
        <f>SUM(D67:H67)</f>
        <v>76907</v>
      </c>
      <c r="K67" s="35" t="s">
        <v>7</v>
      </c>
      <c r="L67" s="36"/>
      <c r="M67" s="7">
        <f>76907*0.9</f>
        <v>69216.3</v>
      </c>
      <c r="N67" s="7">
        <f>M67/0.9*0.1</f>
        <v>7690.7000000000007</v>
      </c>
      <c r="O67" s="7">
        <v>0</v>
      </c>
      <c r="P67" s="18">
        <v>0</v>
      </c>
      <c r="Q67" s="40">
        <f t="shared" ref="Q67:Q70" si="50">M67+N67+O67+P67</f>
        <v>76907</v>
      </c>
    </row>
    <row r="68" spans="2:17" s="1" customFormat="1" x14ac:dyDescent="0.25">
      <c r="B68" s="35" t="s">
        <v>8</v>
      </c>
      <c r="C68" s="36"/>
      <c r="D68" s="7">
        <f>12617*0.75</f>
        <v>9462.75</v>
      </c>
      <c r="E68" s="7">
        <f>D68/0.75*0.25</f>
        <v>3154.25</v>
      </c>
      <c r="F68" s="7">
        <f>50470*0.75</f>
        <v>37852.5</v>
      </c>
      <c r="G68" s="18">
        <f>F68/0.75*0.25</f>
        <v>12617.5</v>
      </c>
      <c r="H68" s="8"/>
      <c r="I68" s="40">
        <f>SUM(D68:H68)</f>
        <v>63087</v>
      </c>
      <c r="K68" s="35" t="s">
        <v>8</v>
      </c>
      <c r="L68" s="36"/>
      <c r="M68" s="7">
        <f>12617*0.75</f>
        <v>9462.75</v>
      </c>
      <c r="N68" s="7">
        <f>M68/0.75*0.25</f>
        <v>3154.25</v>
      </c>
      <c r="O68" s="7">
        <f>50470*0.75</f>
        <v>37852.5</v>
      </c>
      <c r="P68" s="18">
        <f>O68/0.75*0.25</f>
        <v>12617.5</v>
      </c>
      <c r="Q68" s="40">
        <f t="shared" si="50"/>
        <v>63087</v>
      </c>
    </row>
    <row r="69" spans="2:17" s="1" customFormat="1" x14ac:dyDescent="0.25">
      <c r="B69" s="35" t="s">
        <v>9</v>
      </c>
      <c r="C69" s="36"/>
      <c r="D69" s="7">
        <v>0</v>
      </c>
      <c r="E69" s="7">
        <f>504670*0.89</f>
        <v>449156.3</v>
      </c>
      <c r="F69" s="7">
        <v>0</v>
      </c>
      <c r="G69" s="18">
        <v>0</v>
      </c>
      <c r="H69" s="8">
        <f>504670*0.89</f>
        <v>449156.3</v>
      </c>
      <c r="I69" s="40">
        <f>SUM(D69:H69)</f>
        <v>898312.6</v>
      </c>
      <c r="K69" s="35" t="s">
        <v>9</v>
      </c>
      <c r="L69" s="36"/>
      <c r="M69" s="7">
        <v>0</v>
      </c>
      <c r="N69" s="7">
        <v>504670</v>
      </c>
      <c r="O69" s="7">
        <v>0</v>
      </c>
      <c r="P69" s="18">
        <v>504670</v>
      </c>
      <c r="Q69" s="40">
        <f t="shared" si="50"/>
        <v>1009340</v>
      </c>
    </row>
    <row r="70" spans="2:17" s="1" customFormat="1" x14ac:dyDescent="0.25">
      <c r="B70" s="33" t="s">
        <v>10</v>
      </c>
      <c r="C70" s="34"/>
      <c r="D70" s="7"/>
      <c r="E70" s="7">
        <v>0</v>
      </c>
      <c r="F70" s="7"/>
      <c r="G70" s="18">
        <v>0</v>
      </c>
      <c r="H70" s="8"/>
      <c r="I70" s="40">
        <f>SUM(D70:H70)</f>
        <v>0</v>
      </c>
      <c r="K70" s="35" t="s">
        <v>10</v>
      </c>
      <c r="L70" s="36"/>
      <c r="M70" s="7"/>
      <c r="N70" s="7">
        <v>0</v>
      </c>
      <c r="O70" s="7"/>
      <c r="P70" s="18">
        <v>0</v>
      </c>
      <c r="Q70" s="40">
        <f t="shared" si="50"/>
        <v>0</v>
      </c>
    </row>
    <row r="71" spans="2:17" s="1" customFormat="1" x14ac:dyDescent="0.25">
      <c r="B71" s="37" t="s">
        <v>11</v>
      </c>
      <c r="C71" s="38"/>
      <c r="D71" s="9">
        <f>D66+D67+D68+D69+D70</f>
        <v>96847.35</v>
      </c>
      <c r="E71" s="9">
        <f t="shared" ref="E71" si="51">E66+E67+E68+E69+E70</f>
        <v>462019.95</v>
      </c>
      <c r="F71" s="9">
        <f t="shared" ref="F71" si="52">F66+F67+F68+F69+F70</f>
        <v>110524.8</v>
      </c>
      <c r="G71" s="19">
        <f t="shared" ref="G71" si="53">G66+G67+G68+G69+G70</f>
        <v>20692.2</v>
      </c>
      <c r="H71" s="9">
        <f t="shared" ref="H71" si="54">H66+H67+H68+H69+H70</f>
        <v>449156.3</v>
      </c>
      <c r="I71" s="9">
        <f>SUM(I66:I70)</f>
        <v>1139240.6000000001</v>
      </c>
      <c r="K71" s="37" t="s">
        <v>11</v>
      </c>
      <c r="L71" s="38"/>
      <c r="M71" s="9">
        <f>M66+M67+M68+M69+M70</f>
        <v>96847.35</v>
      </c>
      <c r="N71" s="9">
        <f t="shared" ref="N71" si="55">N66+N67+N68+N69+N70</f>
        <v>517533.65</v>
      </c>
      <c r="O71" s="9">
        <f t="shared" ref="O71" si="56">O66+O67+O68+O69+O70</f>
        <v>110524.8</v>
      </c>
      <c r="P71" s="19">
        <f t="shared" ref="P71" si="57">P66+P67+P68+P69+P70</f>
        <v>525362.19999999995</v>
      </c>
      <c r="Q71" s="9">
        <f>SUM(Q66:Q70)</f>
        <v>1250268</v>
      </c>
    </row>
    <row r="72" spans="2:17" s="1" customFormat="1" x14ac:dyDescent="0.25">
      <c r="G72" s="17"/>
    </row>
    <row r="74" spans="2:17" x14ac:dyDescent="0.25">
      <c r="I74" s="42"/>
    </row>
    <row r="75" spans="2:17" x14ac:dyDescent="0.25">
      <c r="I75" s="42"/>
    </row>
    <row r="76" spans="2:17" x14ac:dyDescent="0.25">
      <c r="I76" s="42"/>
    </row>
    <row r="77" spans="2:17" x14ac:dyDescent="0.25">
      <c r="I77" s="42"/>
    </row>
    <row r="78" spans="2:17" x14ac:dyDescent="0.25">
      <c r="I78" s="42"/>
    </row>
    <row r="79" spans="2:17" x14ac:dyDescent="0.25">
      <c r="I79" s="42"/>
    </row>
    <row r="80" spans="2:17" x14ac:dyDescent="0.25">
      <c r="I80" s="42"/>
    </row>
    <row r="81" spans="9:9" x14ac:dyDescent="0.25">
      <c r="I81" s="41"/>
    </row>
    <row r="82" spans="9:9" x14ac:dyDescent="0.25">
      <c r="I82" s="41"/>
    </row>
    <row r="83" spans="9:9" x14ac:dyDescent="0.25">
      <c r="I83" s="41"/>
    </row>
    <row r="84" spans="9:9" x14ac:dyDescent="0.25">
      <c r="I84" s="41"/>
    </row>
    <row r="85" spans="9:9" x14ac:dyDescent="0.25">
      <c r="I85" s="41"/>
    </row>
    <row r="86" spans="9:9" x14ac:dyDescent="0.25">
      <c r="I86" s="41"/>
    </row>
    <row r="87" spans="9:9" x14ac:dyDescent="0.25">
      <c r="I87" s="41"/>
    </row>
    <row r="88" spans="9:9" x14ac:dyDescent="0.25">
      <c r="I88" s="41"/>
    </row>
    <row r="89" spans="9:9" x14ac:dyDescent="0.25">
      <c r="I89" s="41"/>
    </row>
    <row r="90" spans="9:9" x14ac:dyDescent="0.25">
      <c r="I90" s="41"/>
    </row>
    <row r="91" spans="9:9" x14ac:dyDescent="0.25">
      <c r="I91" s="41"/>
    </row>
    <row r="92" spans="9:9" x14ac:dyDescent="0.25">
      <c r="I92" s="41"/>
    </row>
    <row r="93" spans="9:9" x14ac:dyDescent="0.25">
      <c r="I93" s="41"/>
    </row>
    <row r="94" spans="9:9" x14ac:dyDescent="0.25">
      <c r="I94" s="41"/>
    </row>
    <row r="95" spans="9:9" x14ac:dyDescent="0.25">
      <c r="I95" s="41"/>
    </row>
    <row r="96" spans="9:9" x14ac:dyDescent="0.25">
      <c r="I96" s="41"/>
    </row>
    <row r="97" spans="9:9" x14ac:dyDescent="0.25">
      <c r="I97" s="41"/>
    </row>
    <row r="98" spans="9:9" x14ac:dyDescent="0.25">
      <c r="I98" s="41"/>
    </row>
    <row r="99" spans="9:9" x14ac:dyDescent="0.25">
      <c r="I99" s="41"/>
    </row>
    <row r="100" spans="9:9" x14ac:dyDescent="0.25">
      <c r="I100" s="41"/>
    </row>
    <row r="101" spans="9:9" x14ac:dyDescent="0.25">
      <c r="I101" s="41"/>
    </row>
    <row r="102" spans="9:9" x14ac:dyDescent="0.25">
      <c r="I102" s="41"/>
    </row>
    <row r="103" spans="9:9" x14ac:dyDescent="0.25">
      <c r="I103" s="41"/>
    </row>
    <row r="104" spans="9:9" x14ac:dyDescent="0.25">
      <c r="I104" s="41"/>
    </row>
    <row r="105" spans="9:9" x14ac:dyDescent="0.25">
      <c r="I105" s="41"/>
    </row>
    <row r="106" spans="9:9" x14ac:dyDescent="0.25">
      <c r="I106" s="41"/>
    </row>
    <row r="107" spans="9:9" x14ac:dyDescent="0.25">
      <c r="I107" s="41"/>
    </row>
    <row r="108" spans="9:9" x14ac:dyDescent="0.25">
      <c r="I108" s="41"/>
    </row>
    <row r="109" spans="9:9" x14ac:dyDescent="0.25">
      <c r="I109" s="41"/>
    </row>
    <row r="110" spans="9:9" x14ac:dyDescent="0.25">
      <c r="I110" s="41"/>
    </row>
    <row r="111" spans="9:9" x14ac:dyDescent="0.25">
      <c r="I111" s="41"/>
    </row>
    <row r="112" spans="9:9" x14ac:dyDescent="0.25">
      <c r="I112" s="41"/>
    </row>
    <row r="113" spans="9:9" x14ac:dyDescent="0.25">
      <c r="I113" s="41"/>
    </row>
    <row r="114" spans="9:9" x14ac:dyDescent="0.25">
      <c r="I114" s="41"/>
    </row>
    <row r="115" spans="9:9" x14ac:dyDescent="0.25">
      <c r="I115" s="41"/>
    </row>
    <row r="116" spans="9:9" x14ac:dyDescent="0.25">
      <c r="I116" s="41"/>
    </row>
    <row r="117" spans="9:9" x14ac:dyDescent="0.25">
      <c r="I117" s="41"/>
    </row>
    <row r="118" spans="9:9" x14ac:dyDescent="0.25">
      <c r="I118" s="41"/>
    </row>
    <row r="119" spans="9:9" x14ac:dyDescent="0.25">
      <c r="I119" s="41"/>
    </row>
    <row r="120" spans="9:9" x14ac:dyDescent="0.25">
      <c r="I120" s="41"/>
    </row>
    <row r="121" spans="9:9" x14ac:dyDescent="0.25">
      <c r="I121" s="41"/>
    </row>
    <row r="122" spans="9:9" x14ac:dyDescent="0.25">
      <c r="I122" s="41"/>
    </row>
    <row r="123" spans="9:9" x14ac:dyDescent="0.25">
      <c r="I123" s="41"/>
    </row>
    <row r="124" spans="9:9" x14ac:dyDescent="0.25">
      <c r="I124" s="41"/>
    </row>
    <row r="125" spans="9:9" x14ac:dyDescent="0.25">
      <c r="I125" s="41"/>
    </row>
    <row r="126" spans="9:9" x14ac:dyDescent="0.25">
      <c r="I126" s="41"/>
    </row>
    <row r="127" spans="9:9" x14ac:dyDescent="0.25">
      <c r="I127" s="41"/>
    </row>
    <row r="128" spans="9:9" x14ac:dyDescent="0.25">
      <c r="I128" s="41"/>
    </row>
    <row r="129" spans="9:9" x14ac:dyDescent="0.25">
      <c r="I129" s="41"/>
    </row>
    <row r="130" spans="9:9" x14ac:dyDescent="0.25">
      <c r="I130" s="41"/>
    </row>
    <row r="131" spans="9:9" x14ac:dyDescent="0.25">
      <c r="I131" s="41"/>
    </row>
    <row r="132" spans="9:9" x14ac:dyDescent="0.25">
      <c r="I132" s="41"/>
    </row>
    <row r="133" spans="9:9" x14ac:dyDescent="0.25">
      <c r="I133" s="41"/>
    </row>
    <row r="134" spans="9:9" x14ac:dyDescent="0.25">
      <c r="I134" s="41"/>
    </row>
  </sheetData>
  <mergeCells count="117">
    <mergeCell ref="B3:Q3"/>
    <mergeCell ref="B4:Q4"/>
    <mergeCell ref="B49:C49"/>
    <mergeCell ref="K49:L49"/>
    <mergeCell ref="K41:L41"/>
    <mergeCell ref="B41:C41"/>
    <mergeCell ref="K57:L57"/>
    <mergeCell ref="B57:C57"/>
    <mergeCell ref="B33:C33"/>
    <mergeCell ref="K33:L33"/>
    <mergeCell ref="K25:L25"/>
    <mergeCell ref="B25:C25"/>
    <mergeCell ref="B17:C17"/>
    <mergeCell ref="K17:L17"/>
    <mergeCell ref="B31:C31"/>
    <mergeCell ref="B18:C18"/>
    <mergeCell ref="B19:C19"/>
    <mergeCell ref="B20:C20"/>
    <mergeCell ref="B21:C21"/>
    <mergeCell ref="B22:C22"/>
    <mergeCell ref="B23:C23"/>
    <mergeCell ref="B26:C26"/>
    <mergeCell ref="B27:C27"/>
    <mergeCell ref="B28:C28"/>
    <mergeCell ref="B29:C29"/>
    <mergeCell ref="B30:C30"/>
    <mergeCell ref="K46:L46"/>
    <mergeCell ref="K47:L47"/>
    <mergeCell ref="K26:L26"/>
    <mergeCell ref="K27:L27"/>
    <mergeCell ref="K28:L28"/>
    <mergeCell ref="K29:L29"/>
    <mergeCell ref="K30:L30"/>
    <mergeCell ref="K31:L31"/>
    <mergeCell ref="K39:L39"/>
    <mergeCell ref="K42:L42"/>
    <mergeCell ref="K43:L43"/>
    <mergeCell ref="K44:L44"/>
    <mergeCell ref="K45:L45"/>
    <mergeCell ref="K34:L34"/>
    <mergeCell ref="K35:L35"/>
    <mergeCell ref="K36:L36"/>
    <mergeCell ref="K37:L37"/>
    <mergeCell ref="K38:L38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39:C39"/>
    <mergeCell ref="K52:L52"/>
    <mergeCell ref="K53:L53"/>
    <mergeCell ref="K54:L54"/>
    <mergeCell ref="K55:L55"/>
    <mergeCell ref="B50:C50"/>
    <mergeCell ref="B51:C51"/>
    <mergeCell ref="B52:C52"/>
    <mergeCell ref="B53:C53"/>
    <mergeCell ref="B54:C54"/>
    <mergeCell ref="B55:C55"/>
    <mergeCell ref="B71:C71"/>
    <mergeCell ref="K66:L66"/>
    <mergeCell ref="K67:L67"/>
    <mergeCell ref="K68:L68"/>
    <mergeCell ref="K69:L69"/>
    <mergeCell ref="K70:L70"/>
    <mergeCell ref="K71:L71"/>
    <mergeCell ref="B66:C66"/>
    <mergeCell ref="B70:C70"/>
    <mergeCell ref="B69:C69"/>
    <mergeCell ref="B68:C68"/>
    <mergeCell ref="B67:C67"/>
    <mergeCell ref="B6:I6"/>
    <mergeCell ref="D7:E8"/>
    <mergeCell ref="F7:G8"/>
    <mergeCell ref="H7:H8"/>
    <mergeCell ref="I7:I8"/>
    <mergeCell ref="B14:C14"/>
    <mergeCell ref="B15:C15"/>
    <mergeCell ref="B65:C65"/>
    <mergeCell ref="B9:C9"/>
    <mergeCell ref="B10:C10"/>
    <mergeCell ref="B11:C11"/>
    <mergeCell ref="B12:C12"/>
    <mergeCell ref="B13:C13"/>
    <mergeCell ref="B58:C58"/>
    <mergeCell ref="B59:C59"/>
    <mergeCell ref="B60:C60"/>
    <mergeCell ref="B61:C61"/>
    <mergeCell ref="B62:C62"/>
    <mergeCell ref="B63:C63"/>
    <mergeCell ref="B42:C42"/>
    <mergeCell ref="B43:C43"/>
    <mergeCell ref="K6:Q6"/>
    <mergeCell ref="M7:N8"/>
    <mergeCell ref="O7:P8"/>
    <mergeCell ref="Q7:Q8"/>
    <mergeCell ref="K14:L14"/>
    <mergeCell ref="K15:L15"/>
    <mergeCell ref="K65:L65"/>
    <mergeCell ref="K9:L9"/>
    <mergeCell ref="K10:L10"/>
    <mergeCell ref="K11:L11"/>
    <mergeCell ref="K12:L12"/>
    <mergeCell ref="K13:L13"/>
    <mergeCell ref="K58:L58"/>
    <mergeCell ref="K59:L59"/>
    <mergeCell ref="K60:L60"/>
    <mergeCell ref="K61:L61"/>
    <mergeCell ref="K62:L62"/>
    <mergeCell ref="K63:L63"/>
    <mergeCell ref="K50:L50"/>
    <mergeCell ref="K51:L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Funding and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Bowman</dc:creator>
  <cp:lastModifiedBy>Peter H</cp:lastModifiedBy>
  <dcterms:created xsi:type="dcterms:W3CDTF">2018-11-29T17:13:28Z</dcterms:created>
  <dcterms:modified xsi:type="dcterms:W3CDTF">2018-11-30T14:22:31Z</dcterms:modified>
</cp:coreProperties>
</file>