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ProjectManagementDivision/Shared Documents/STIP-Grants/Grant - Applications/BIP/Large Bridge/2023-2024/1. I-35 OK River/Final/Website Files/4.Preliminary Engineering/"/>
    </mc:Choice>
  </mc:AlternateContent>
  <xr:revisionPtr revIDLastSave="0" documentId="8_{B687C398-E3EE-4A28-96F8-77B04CE422B7}" xr6:coauthVersionLast="47" xr6:coauthVersionMax="47" xr10:uidLastSave="{00000000-0000-0000-0000-000000000000}"/>
  <bookViews>
    <workbookView xWindow="-120" yWindow="-120" windowWidth="29040" windowHeight="15840" xr2:uid="{B5992802-F35C-41D4-951B-A49B8252E8A3}"/>
  </bookViews>
  <sheets>
    <sheet name="Cost Estimate" sheetId="1" r:id="rId1"/>
    <sheet name="Bridge Estimate" sheetId="2" r:id="rId2"/>
    <sheet name="Ped Bridge" sheetId="4" r:id="rId3"/>
    <sheet name="Granular Schedule" sheetId="5" r:id="rId4"/>
    <sheet name="Granular Cost Est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H46" i="1"/>
  <c r="H31" i="1"/>
  <c r="H29" i="1"/>
  <c r="H27" i="1"/>
  <c r="D12" i="6"/>
  <c r="D11" i="6"/>
  <c r="D10" i="6"/>
  <c r="J12" i="4"/>
  <c r="E12" i="4"/>
  <c r="G12" i="4" s="1"/>
  <c r="G13" i="4"/>
  <c r="J9" i="2"/>
  <c r="J6" i="2"/>
  <c r="J14" i="4"/>
  <c r="J5" i="4"/>
  <c r="G22" i="4"/>
  <c r="G23" i="4"/>
  <c r="G24" i="4"/>
  <c r="G25" i="4"/>
  <c r="G26" i="4"/>
  <c r="E21" i="4"/>
  <c r="G21" i="4" s="1"/>
  <c r="E27" i="4"/>
  <c r="G27" i="4" s="1"/>
  <c r="G14" i="4"/>
  <c r="G11" i="4"/>
  <c r="G10" i="4"/>
  <c r="E8" i="4"/>
  <c r="G8" i="4" s="1"/>
  <c r="G7" i="4"/>
  <c r="G6" i="4"/>
  <c r="G5" i="4"/>
  <c r="G9" i="2"/>
  <c r="G51" i="2"/>
  <c r="G50" i="2"/>
  <c r="G49" i="2"/>
  <c r="G48" i="2"/>
  <c r="G47" i="2"/>
  <c r="G45" i="2"/>
  <c r="G44" i="2"/>
  <c r="G43" i="2"/>
  <c r="G42" i="2"/>
  <c r="G33" i="2"/>
  <c r="G32" i="2"/>
  <c r="G31" i="2"/>
  <c r="G30" i="2"/>
  <c r="G29" i="2"/>
  <c r="G27" i="2"/>
  <c r="G26" i="2"/>
  <c r="G25" i="2"/>
  <c r="G24" i="2"/>
  <c r="G15" i="2"/>
  <c r="G14" i="2"/>
  <c r="G13" i="2"/>
  <c r="G12" i="2"/>
  <c r="G11" i="2"/>
  <c r="G8" i="2"/>
  <c r="G7" i="2"/>
  <c r="G29" i="4" l="1"/>
  <c r="G16" i="4"/>
  <c r="G53" i="2"/>
  <c r="G54" i="2" s="1"/>
  <c r="G55" i="2" s="1"/>
  <c r="H24" i="1" s="1"/>
  <c r="G35" i="2"/>
  <c r="G36" i="2" s="1"/>
  <c r="G37" i="2" s="1"/>
  <c r="H23" i="1" s="1"/>
  <c r="G6" i="2"/>
  <c r="G17" i="2" s="1"/>
  <c r="G18" i="2" s="1"/>
  <c r="G19" i="2" s="1"/>
  <c r="H22" i="1" s="1"/>
  <c r="G17" i="4" l="1"/>
  <c r="G19" i="4"/>
  <c r="D13" i="6"/>
  <c r="G30" i="4"/>
  <c r="G31" i="4" s="1"/>
  <c r="G33" i="4" s="1"/>
  <c r="H25" i="1" s="1"/>
  <c r="D15" i="6"/>
  <c r="H14" i="1"/>
  <c r="H13" i="1"/>
  <c r="H12" i="1"/>
  <c r="H11" i="1"/>
  <c r="H10" i="1"/>
  <c r="H9" i="1"/>
  <c r="H8" i="1"/>
  <c r="H7" i="1"/>
  <c r="H15" i="1" l="1"/>
  <c r="H18" i="1" l="1"/>
  <c r="H19" i="1" s="1"/>
  <c r="H33" i="1"/>
  <c r="K16" i="1" s="1"/>
  <c r="D7" i="6" s="1"/>
  <c r="H34" i="1"/>
  <c r="H41" i="1"/>
  <c r="H40" i="1"/>
  <c r="H36" i="1"/>
  <c r="K17" i="1" s="1"/>
  <c r="D8" i="6" s="1"/>
  <c r="H39" i="1"/>
  <c r="H35" i="1"/>
  <c r="H38" i="1"/>
  <c r="H37" i="1"/>
  <c r="D18" i="6" l="1"/>
  <c r="D17" i="6"/>
  <c r="D19" i="6" s="1"/>
  <c r="H42" i="1"/>
  <c r="H44" i="1" s="1"/>
  <c r="H48" i="1" l="1"/>
</calcChain>
</file>

<file path=xl/sharedStrings.xml><?xml version="1.0" encoding="utf-8"?>
<sst xmlns="http://schemas.openxmlformats.org/spreadsheetml/2006/main" count="303" uniqueCount="152">
  <si>
    <t>Major Items</t>
  </si>
  <si>
    <t>Roadway</t>
  </si>
  <si>
    <t>Payitem</t>
  </si>
  <si>
    <t>Quantity</t>
  </si>
  <si>
    <t>Price per Unit</t>
  </si>
  <si>
    <t>Total</t>
  </si>
  <si>
    <t>202(D)</t>
  </si>
  <si>
    <t>0184</t>
  </si>
  <si>
    <t>Unclassified Borrow</t>
  </si>
  <si>
    <t>CY</t>
  </si>
  <si>
    <t>303(A)</t>
  </si>
  <si>
    <t>2100</t>
  </si>
  <si>
    <t>Aggregate Base Type A</t>
  </si>
  <si>
    <t>307(K)</t>
  </si>
  <si>
    <t>4300</t>
  </si>
  <si>
    <t>Stabilized Subgrade</t>
  </si>
  <si>
    <t>SY</t>
  </si>
  <si>
    <t>4270</t>
  </si>
  <si>
    <t>Cement Treated Base</t>
  </si>
  <si>
    <t>5271</t>
  </si>
  <si>
    <t>Separator Fabric</t>
  </si>
  <si>
    <t>5774</t>
  </si>
  <si>
    <t>Prime Coat</t>
  </si>
  <si>
    <t>GAL</t>
  </si>
  <si>
    <t>414(B)</t>
  </si>
  <si>
    <t>5725</t>
  </si>
  <si>
    <t>Dowel Jointed P.C.C. Pvt. (Placement)</t>
  </si>
  <si>
    <t>414(G)</t>
  </si>
  <si>
    <t>5275</t>
  </si>
  <si>
    <t>P.C. Concrete for Pavement</t>
  </si>
  <si>
    <t>Roadway Total:</t>
  </si>
  <si>
    <t>Earthwork</t>
  </si>
  <si>
    <t>Preliminary Earthwork Estimate (50%)</t>
  </si>
  <si>
    <t>Earthwork Totals:</t>
  </si>
  <si>
    <t>Bridge</t>
  </si>
  <si>
    <t>Bridge Totals:</t>
  </si>
  <si>
    <t>Major Items Total:</t>
  </si>
  <si>
    <t>Minor Items</t>
  </si>
  <si>
    <t>Erosion Control</t>
  </si>
  <si>
    <t>Clearing &amp; Grubbing &amp; Removals</t>
  </si>
  <si>
    <t>Misc. Pipe Underdrain, Guardrail, Etc.</t>
  </si>
  <si>
    <t>Mobilization, Field Office, Staking</t>
  </si>
  <si>
    <t>SWPPP Doc. &amp; Management, Contr. Quality Control</t>
  </si>
  <si>
    <t>Construction Traffic Control</t>
  </si>
  <si>
    <t>Storm Sewer, Drainage</t>
  </si>
  <si>
    <t>Traffic Control</t>
  </si>
  <si>
    <t>Signing &amp; Marking</t>
  </si>
  <si>
    <t>Minor Items Total:</t>
  </si>
  <si>
    <t>Major Items + Minor Items Total:</t>
  </si>
  <si>
    <t>30% Contengency
(Does Not Include Bridge)</t>
  </si>
  <si>
    <t>Grand Total:</t>
  </si>
  <si>
    <t>Dallas Junction</t>
  </si>
  <si>
    <t>I-35 SB OVER OKLAHOMA RIVER</t>
  </si>
  <si>
    <t>ITEM NO.</t>
  </si>
  <si>
    <t>DESCRIPTION</t>
  </si>
  <si>
    <t>UNIT</t>
  </si>
  <si>
    <t>QUANT</t>
  </si>
  <si>
    <t>UNIT COST</t>
  </si>
  <si>
    <t>TOTAL COST</t>
  </si>
  <si>
    <t>504 (A)</t>
  </si>
  <si>
    <t>APPROACH SLAB</t>
  </si>
  <si>
    <t>504 (E)</t>
  </si>
  <si>
    <t>42" F-SHAPED PARAPET</t>
  </si>
  <si>
    <t>LF</t>
  </si>
  <si>
    <t>506 (A)</t>
  </si>
  <si>
    <t>STRUCTURAL STEEL</t>
  </si>
  <si>
    <t>LB</t>
  </si>
  <si>
    <t>507 (A)</t>
  </si>
  <si>
    <t>STAINLESS STEEL FIXED BEARING ASSEMBLY</t>
  </si>
  <si>
    <t>EA</t>
  </si>
  <si>
    <t>507 (B)</t>
  </si>
  <si>
    <t>STAINLESS STEEL EXPANSION BEARING ASSEMBLY</t>
  </si>
  <si>
    <t>509 (A)</t>
  </si>
  <si>
    <t>CLASS AA CONCRETE</t>
  </si>
  <si>
    <t>509 (B)</t>
  </si>
  <si>
    <t>CLASS A CONCRETE</t>
  </si>
  <si>
    <t>511 (B)</t>
  </si>
  <si>
    <t>EPOXY COATED REINFORCING STEEL</t>
  </si>
  <si>
    <t>516 (A)</t>
  </si>
  <si>
    <t>DRILLED SHAFTS 72" DIAMETER</t>
  </si>
  <si>
    <t>601 (B)</t>
  </si>
  <si>
    <t>TYPE I-A PLAIN RIPRAP</t>
  </si>
  <si>
    <t>TON</t>
  </si>
  <si>
    <t>CONSTRUCTION TOTAL</t>
  </si>
  <si>
    <t>10% CONTINGENCY</t>
  </si>
  <si>
    <t>BRIDGE TOTAL</t>
  </si>
  <si>
    <t>I-35 NB OVER OKLAHOMA RIVER</t>
  </si>
  <si>
    <t>I-35 RAMP OVER OKLAHOMA RIVER</t>
  </si>
  <si>
    <t>PED BRIDGE OVER OKLAHOMA RIVER</t>
  </si>
  <si>
    <t>Date</t>
  </si>
  <si>
    <t>Comments</t>
  </si>
  <si>
    <t xml:space="preserve">Design </t>
  </si>
  <si>
    <t>Milestone</t>
  </si>
  <si>
    <t>Design Survey Upgrade</t>
  </si>
  <si>
    <t xml:space="preserve">Construction </t>
  </si>
  <si>
    <t>Letting Date</t>
  </si>
  <si>
    <t>End Construction Activities</t>
  </si>
  <si>
    <t>265-360-150 (2022 Unit Price)</t>
  </si>
  <si>
    <t>30% CONTINGENCY</t>
  </si>
  <si>
    <t>MULTIMODAL TRAIL (NORTH BANK)</t>
  </si>
  <si>
    <t>MULTIMODAL TRAIL (SOUTH BANK)</t>
  </si>
  <si>
    <t>MULTIMODAL TRAIL (SOUTH BANK OKANA EXTENSION)</t>
  </si>
  <si>
    <t>504(F)</t>
  </si>
  <si>
    <t>HANDRAILING</t>
  </si>
  <si>
    <t>MULTIMODAL RAMP (NORTH BANK)</t>
  </si>
  <si>
    <t>MULTIMODAL RAMP (SOUTH BANK)</t>
  </si>
  <si>
    <t>510(D)</t>
  </si>
  <si>
    <t>MSE RETAINING WALL (NORTH BANK)</t>
  </si>
  <si>
    <t>I-35 SB over Oklahoma River</t>
  </si>
  <si>
    <t>I-35 NB over Oklahoma River</t>
  </si>
  <si>
    <t>I-35 Ramp over Oklahoma River</t>
  </si>
  <si>
    <t>Pedestrian Bridge over Oklahoma River</t>
  </si>
  <si>
    <t>PRELIMINARY COST ESTIMATE (Q4 2022 Dollars)
2-8-2023</t>
  </si>
  <si>
    <t>TRAIL TOTAL</t>
  </si>
  <si>
    <t>BRIDGE &amp; TRAIL TOTAL</t>
  </si>
  <si>
    <t>CONCRETE PARAPET</t>
  </si>
  <si>
    <t>Task</t>
  </si>
  <si>
    <t>Preliminary Study</t>
  </si>
  <si>
    <t>Survey</t>
  </si>
  <si>
    <t>Access Justification Report (AJR)</t>
  </si>
  <si>
    <t>Pre-Construction</t>
  </si>
  <si>
    <t>Utility Relocation</t>
  </si>
  <si>
    <t>Final Plans</t>
  </si>
  <si>
    <t>Authorization &amp; Letting</t>
  </si>
  <si>
    <t>Construction</t>
  </si>
  <si>
    <t xml:space="preserve">I-35 Bridge &amp; Multimodal Path </t>
  </si>
  <si>
    <t>Cost Estimate</t>
  </si>
  <si>
    <t>(Q4 2022 Dollars)</t>
  </si>
  <si>
    <t>Item</t>
  </si>
  <si>
    <t>Cost</t>
  </si>
  <si>
    <t>Trail Improvements</t>
  </si>
  <si>
    <t>Grand Total</t>
  </si>
  <si>
    <t>30% Contigency (Excluding Bridge Items)</t>
  </si>
  <si>
    <t>NEPA (DCE)</t>
  </si>
  <si>
    <t>Other Items (Traffic Control, Striping, Etc.)</t>
  </si>
  <si>
    <t>CITY OF OKC MAPS 4 AESTHETICS ETC.</t>
  </si>
  <si>
    <t>I-35 over Stillwater RR Bridge Rehab</t>
  </si>
  <si>
    <t>Preliminary Design (up to 65%)</t>
  </si>
  <si>
    <t>Right of Way Acquistion (if necessary)</t>
  </si>
  <si>
    <t>Compiled on 7/31/2023</t>
  </si>
  <si>
    <t>June-24 to July-25</t>
  </si>
  <si>
    <t>Preliminary Design (65%)</t>
  </si>
  <si>
    <t xml:space="preserve">Access Justification Report </t>
  </si>
  <si>
    <t>Jan-24 to July-25</t>
  </si>
  <si>
    <t>Start at 30% Plans and complete by 65% Design</t>
  </si>
  <si>
    <t xml:space="preserve">ROW Acquisition </t>
  </si>
  <si>
    <t>July-25 to Dec25</t>
  </si>
  <si>
    <t>July-25 to April-26</t>
  </si>
  <si>
    <t xml:space="preserve">Final Plans </t>
  </si>
  <si>
    <t>July-25 to Feb-26</t>
  </si>
  <si>
    <t>Authorization and Letting</t>
  </si>
  <si>
    <t>Feb-26 to April-26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</si>
</sst>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mmm\-yy;@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9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65">
    <xf numFmtId="0" fontId="0" fillId="0" borderId="0" xfId="0"/>
    <xf numFmtId="0" fontId="0" fillId="2" borderId="0" xfId="0" applyFill="1"/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49" fontId="1" fillId="2" borderId="12" xfId="1" applyNumberFormat="1" applyFill="1" applyBorder="1" applyAlignment="1">
      <alignment horizontal="left"/>
    </xf>
    <xf numFmtId="0" fontId="1" fillId="2" borderId="13" xfId="1" applyFill="1" applyBorder="1"/>
    <xf numFmtId="3" fontId="1" fillId="2" borderId="13" xfId="1" applyNumberFormat="1" applyFill="1" applyBorder="1"/>
    <xf numFmtId="44" fontId="1" fillId="2" borderId="13" xfId="1" applyNumberFormat="1" applyFill="1" applyBorder="1"/>
    <xf numFmtId="44" fontId="0" fillId="2" borderId="14" xfId="2" applyFont="1" applyFill="1" applyBorder="1"/>
    <xf numFmtId="0" fontId="1" fillId="2" borderId="15" xfId="1" applyFill="1" applyBorder="1" applyAlignment="1">
      <alignment horizontal="left"/>
    </xf>
    <xf numFmtId="3" fontId="1" fillId="2" borderId="16" xfId="1" applyNumberFormat="1" applyFill="1" applyBorder="1"/>
    <xf numFmtId="0" fontId="1" fillId="2" borderId="16" xfId="1" applyFill="1" applyBorder="1"/>
    <xf numFmtId="44" fontId="0" fillId="2" borderId="0" xfId="2" applyFont="1" applyFill="1"/>
    <xf numFmtId="44" fontId="0" fillId="2" borderId="17" xfId="2" applyFont="1" applyFill="1" applyBorder="1"/>
    <xf numFmtId="0" fontId="1" fillId="2" borderId="18" xfId="1" applyFill="1" applyBorder="1"/>
    <xf numFmtId="49" fontId="1" fillId="2" borderId="19" xfId="1" applyNumberFormat="1" applyFill="1" applyBorder="1" applyAlignment="1">
      <alignment horizontal="left"/>
    </xf>
    <xf numFmtId="0" fontId="1" fillId="2" borderId="19" xfId="1" applyFill="1" applyBorder="1"/>
    <xf numFmtId="44" fontId="1" fillId="2" borderId="12" xfId="1" applyNumberFormat="1" applyFill="1" applyBorder="1"/>
    <xf numFmtId="44" fontId="1" fillId="2" borderId="14" xfId="1" applyNumberFormat="1" applyFill="1" applyBorder="1"/>
    <xf numFmtId="0" fontId="1" fillId="2" borderId="20" xfId="1" applyFill="1" applyBorder="1"/>
    <xf numFmtId="0" fontId="1" fillId="2" borderId="21" xfId="1" applyFill="1" applyBorder="1"/>
    <xf numFmtId="0" fontId="1" fillId="2" borderId="22" xfId="1" applyFill="1" applyBorder="1"/>
    <xf numFmtId="0" fontId="1" fillId="2" borderId="27" xfId="1" applyFill="1" applyBorder="1" applyAlignment="1">
      <alignment horizontal="right"/>
    </xf>
    <xf numFmtId="0" fontId="1" fillId="2" borderId="0" xfId="1" applyFill="1" applyAlignment="1">
      <alignment horizontal="right"/>
    </xf>
    <xf numFmtId="0" fontId="1" fillId="2" borderId="32" xfId="1" applyFill="1" applyBorder="1"/>
    <xf numFmtId="0" fontId="1" fillId="2" borderId="12" xfId="1" applyFill="1" applyBorder="1"/>
    <xf numFmtId="0" fontId="1" fillId="2" borderId="33" xfId="1" applyFill="1" applyBorder="1"/>
    <xf numFmtId="0" fontId="1" fillId="2" borderId="34" xfId="1" applyFill="1" applyBorder="1"/>
    <xf numFmtId="0" fontId="1" fillId="2" borderId="35" xfId="1" applyFill="1" applyBorder="1"/>
    <xf numFmtId="0" fontId="1" fillId="2" borderId="36" xfId="1" applyFill="1" applyBorder="1"/>
    <xf numFmtId="0" fontId="1" fillId="2" borderId="37" xfId="1" applyFill="1" applyBorder="1"/>
    <xf numFmtId="44" fontId="1" fillId="2" borderId="38" xfId="1" applyNumberFormat="1" applyFill="1" applyBorder="1"/>
    <xf numFmtId="3" fontId="0" fillId="0" borderId="0" xfId="0" applyNumberFormat="1"/>
    <xf numFmtId="0" fontId="0" fillId="0" borderId="48" xfId="0" applyBorder="1"/>
    <xf numFmtId="0" fontId="0" fillId="0" borderId="50" xfId="0" applyBorder="1"/>
    <xf numFmtId="0" fontId="0" fillId="0" borderId="11" xfId="0" applyBorder="1"/>
    <xf numFmtId="0" fontId="0" fillId="0" borderId="14" xfId="0" applyBorder="1"/>
    <xf numFmtId="0" fontId="2" fillId="3" borderId="46" xfId="0" applyFont="1" applyFill="1" applyBorder="1" applyAlignment="1">
      <alignment horizontal="center"/>
    </xf>
    <xf numFmtId="165" fontId="2" fillId="3" borderId="4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165" fontId="12" fillId="0" borderId="49" xfId="0" applyNumberFormat="1" applyFont="1" applyBorder="1" applyAlignment="1">
      <alignment horizontal="center"/>
    </xf>
    <xf numFmtId="0" fontId="0" fillId="4" borderId="11" xfId="0" applyFill="1" applyBorder="1"/>
    <xf numFmtId="165" fontId="12" fillId="4" borderId="13" xfId="0" applyNumberFormat="1" applyFont="1" applyFill="1" applyBorder="1" applyAlignment="1">
      <alignment horizontal="center"/>
    </xf>
    <xf numFmtId="0" fontId="0" fillId="4" borderId="14" xfId="0" applyFill="1" applyBorder="1"/>
    <xf numFmtId="165" fontId="12" fillId="0" borderId="13" xfId="0" applyNumberFormat="1" applyFont="1" applyBorder="1" applyAlignment="1">
      <alignment horizontal="center"/>
    </xf>
    <xf numFmtId="0" fontId="0" fillId="4" borderId="46" xfId="0" applyFill="1" applyBorder="1"/>
    <xf numFmtId="165" fontId="0" fillId="4" borderId="47" xfId="0" applyNumberFormat="1" applyFill="1" applyBorder="1" applyAlignment="1">
      <alignment horizontal="center"/>
    </xf>
    <xf numFmtId="0" fontId="0" fillId="4" borderId="38" xfId="0" applyFill="1" applyBorder="1"/>
    <xf numFmtId="0" fontId="2" fillId="5" borderId="46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0" fillId="6" borderId="46" xfId="0" applyFill="1" applyBorder="1" applyAlignment="1">
      <alignment horizontal="left" vertical="top"/>
    </xf>
    <xf numFmtId="0" fontId="0" fillId="6" borderId="38" xfId="0" applyFill="1" applyBorder="1"/>
    <xf numFmtId="165" fontId="0" fillId="2" borderId="0" xfId="0" applyNumberFormat="1" applyFill="1"/>
    <xf numFmtId="0" fontId="0" fillId="0" borderId="49" xfId="0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0" fontId="8" fillId="2" borderId="4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8" fontId="8" fillId="2" borderId="6" xfId="0" applyNumberFormat="1" applyFont="1" applyFill="1" applyBorder="1" applyAlignment="1">
      <alignment horizontal="right" vertical="center"/>
    </xf>
    <xf numFmtId="8" fontId="10" fillId="2" borderId="6" xfId="0" applyNumberFormat="1" applyFont="1" applyFill="1" applyBorder="1" applyAlignment="1">
      <alignment horizontal="right" vertical="center"/>
    </xf>
    <xf numFmtId="44" fontId="1" fillId="2" borderId="51" xfId="1" applyNumberFormat="1" applyFill="1" applyBorder="1" applyAlignment="1">
      <alignment horizontal="center"/>
    </xf>
    <xf numFmtId="3" fontId="0" fillId="2" borderId="0" xfId="0" applyNumberFormat="1" applyFill="1"/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0" fillId="0" borderId="18" xfId="0" applyBorder="1"/>
    <xf numFmtId="0" fontId="0" fillId="0" borderId="53" xfId="0" applyBorder="1"/>
    <xf numFmtId="0" fontId="2" fillId="0" borderId="55" xfId="0" applyFont="1" applyBorder="1" applyAlignment="1">
      <alignment horizontal="center"/>
    </xf>
    <xf numFmtId="0" fontId="0" fillId="0" borderId="20" xfId="0" applyBorder="1"/>
    <xf numFmtId="0" fontId="0" fillId="0" borderId="57" xfId="0" applyBorder="1"/>
    <xf numFmtId="0" fontId="0" fillId="0" borderId="74" xfId="0" applyBorder="1"/>
    <xf numFmtId="0" fontId="0" fillId="0" borderId="78" xfId="0" applyBorder="1"/>
    <xf numFmtId="0" fontId="0" fillId="8" borderId="80" xfId="0" applyFill="1" applyBorder="1"/>
    <xf numFmtId="0" fontId="0" fillId="8" borderId="81" xfId="0" applyFill="1" applyBorder="1"/>
    <xf numFmtId="0" fontId="0" fillId="8" borderId="82" xfId="0" applyFill="1" applyBorder="1"/>
    <xf numFmtId="0" fontId="0" fillId="8" borderId="79" xfId="0" applyFill="1" applyBorder="1"/>
    <xf numFmtId="0" fontId="0" fillId="8" borderId="75" xfId="0" applyFill="1" applyBorder="1"/>
    <xf numFmtId="0" fontId="0" fillId="8" borderId="76" xfId="0" applyFill="1" applyBorder="1"/>
    <xf numFmtId="0" fontId="0" fillId="8" borderId="77" xfId="0" applyFill="1" applyBorder="1"/>
    <xf numFmtId="0" fontId="0" fillId="8" borderId="72" xfId="0" applyFill="1" applyBorder="1"/>
    <xf numFmtId="0" fontId="0" fillId="8" borderId="73" xfId="0" applyFill="1" applyBorder="1"/>
    <xf numFmtId="166" fontId="0" fillId="0" borderId="0" xfId="0" applyNumberFormat="1"/>
    <xf numFmtId="44" fontId="0" fillId="0" borderId="0" xfId="0" applyNumberFormat="1"/>
    <xf numFmtId="0" fontId="0" fillId="2" borderId="27" xfId="0" applyFill="1" applyBorder="1"/>
    <xf numFmtId="0" fontId="0" fillId="2" borderId="18" xfId="0" applyFill="1" applyBorder="1"/>
    <xf numFmtId="0" fontId="0" fillId="2" borderId="19" xfId="0" applyFill="1" applyBorder="1"/>
    <xf numFmtId="166" fontId="0" fillId="2" borderId="14" xfId="0" applyNumberFormat="1" applyFill="1" applyBorder="1"/>
    <xf numFmtId="166" fontId="2" fillId="10" borderId="54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166" fontId="0" fillId="0" borderId="52" xfId="0" applyNumberFormat="1" applyBorder="1"/>
    <xf numFmtId="0" fontId="0" fillId="9" borderId="20" xfId="0" applyFill="1" applyBorder="1"/>
    <xf numFmtId="0" fontId="0" fillId="9" borderId="21" xfId="0" applyFill="1" applyBorder="1"/>
    <xf numFmtId="166" fontId="0" fillId="9" borderId="50" xfId="0" applyNumberFormat="1" applyFill="1" applyBorder="1"/>
    <xf numFmtId="0" fontId="2" fillId="9" borderId="57" xfId="0" applyFont="1" applyFill="1" applyBorder="1"/>
    <xf numFmtId="0" fontId="0" fillId="9" borderId="58" xfId="0" applyFill="1" applyBorder="1"/>
    <xf numFmtId="166" fontId="0" fillId="9" borderId="26" xfId="0" applyNumberFormat="1" applyFill="1" applyBorder="1"/>
    <xf numFmtId="0" fontId="1" fillId="9" borderId="21" xfId="1" applyFill="1" applyBorder="1"/>
    <xf numFmtId="0" fontId="0" fillId="9" borderId="18" xfId="0" applyFill="1" applyBorder="1"/>
    <xf numFmtId="0" fontId="1" fillId="9" borderId="19" xfId="1" applyFill="1" applyBorder="1"/>
    <xf numFmtId="166" fontId="0" fillId="9" borderId="14" xfId="0" applyNumberFormat="1" applyFill="1" applyBorder="1"/>
    <xf numFmtId="0" fontId="0" fillId="9" borderId="19" xfId="0" applyFill="1" applyBorder="1"/>
    <xf numFmtId="0" fontId="8" fillId="2" borderId="43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horizontal="center" vertical="center"/>
    </xf>
    <xf numFmtId="164" fontId="8" fillId="2" borderId="44" xfId="0" applyNumberFormat="1" applyFont="1" applyFill="1" applyBorder="1" applyAlignment="1">
      <alignment horizontal="right" vertical="center"/>
    </xf>
    <xf numFmtId="8" fontId="10" fillId="2" borderId="45" xfId="0" applyNumberFormat="1" applyFont="1" applyFill="1" applyBorder="1" applyAlignment="1">
      <alignment horizontal="right" vertical="center"/>
    </xf>
    <xf numFmtId="0" fontId="2" fillId="0" borderId="18" xfId="0" applyFont="1" applyBorder="1"/>
    <xf numFmtId="0" fontId="0" fillId="0" borderId="19" xfId="0" applyBorder="1"/>
    <xf numFmtId="166" fontId="0" fillId="0" borderId="14" xfId="0" applyNumberFormat="1" applyBorder="1"/>
    <xf numFmtId="0" fontId="0" fillId="0" borderId="34" xfId="0" applyBorder="1"/>
    <xf numFmtId="0" fontId="2" fillId="0" borderId="35" xfId="0" applyFont="1" applyBorder="1"/>
    <xf numFmtId="166" fontId="2" fillId="0" borderId="38" xfId="0" applyNumberFormat="1" applyFont="1" applyBorder="1"/>
    <xf numFmtId="0" fontId="2" fillId="2" borderId="27" xfId="0" applyFont="1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2" borderId="62" xfId="0" applyFill="1" applyBorder="1"/>
    <xf numFmtId="0" fontId="0" fillId="2" borderId="63" xfId="0" applyFill="1" applyBorder="1"/>
    <xf numFmtId="0" fontId="0" fillId="2" borderId="83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84" xfId="0" applyBorder="1"/>
    <xf numFmtId="0" fontId="0" fillId="0" borderId="83" xfId="0" applyBorder="1"/>
    <xf numFmtId="0" fontId="0" fillId="2" borderId="64" xfId="0" applyFill="1" applyBorder="1"/>
    <xf numFmtId="0" fontId="0" fillId="0" borderId="85" xfId="0" applyBorder="1"/>
    <xf numFmtId="0" fontId="0" fillId="0" borderId="86" xfId="0" applyBorder="1"/>
    <xf numFmtId="0" fontId="0" fillId="0" borderId="71" xfId="0" applyBorder="1"/>
    <xf numFmtId="0" fontId="0" fillId="2" borderId="66" xfId="0" applyFill="1" applyBorder="1"/>
    <xf numFmtId="0" fontId="0" fillId="2" borderId="67" xfId="0" applyFill="1" applyBorder="1"/>
    <xf numFmtId="0" fontId="0" fillId="0" borderId="30" xfId="0" applyBorder="1"/>
    <xf numFmtId="0" fontId="0" fillId="0" borderId="35" xfId="0" applyBorder="1"/>
    <xf numFmtId="0" fontId="0" fillId="0" borderId="87" xfId="0" applyBorder="1"/>
    <xf numFmtId="0" fontId="0" fillId="0" borderId="88" xfId="0" applyBorder="1"/>
    <xf numFmtId="0" fontId="0" fillId="2" borderId="89" xfId="0" applyFill="1" applyBorder="1"/>
    <xf numFmtId="0" fontId="0" fillId="0" borderId="90" xfId="0" applyBorder="1"/>
    <xf numFmtId="0" fontId="0" fillId="2" borderId="84" xfId="0" applyFill="1" applyBorder="1"/>
    <xf numFmtId="0" fontId="0" fillId="2" borderId="91" xfId="0" applyFill="1" applyBorder="1"/>
    <xf numFmtId="0" fontId="0" fillId="0" borderId="89" xfId="0" applyBorder="1"/>
    <xf numFmtId="0" fontId="0" fillId="0" borderId="92" xfId="0" applyBorder="1"/>
    <xf numFmtId="0" fontId="0" fillId="0" borderId="93" xfId="0" applyBorder="1"/>
    <xf numFmtId="166" fontId="12" fillId="9" borderId="14" xfId="0" applyNumberFormat="1" applyFont="1" applyFill="1" applyBorder="1"/>
    <xf numFmtId="44" fontId="12" fillId="2" borderId="14" xfId="1" applyNumberFormat="1" applyFont="1" applyFill="1" applyBorder="1"/>
    <xf numFmtId="14" fontId="0" fillId="0" borderId="0" xfId="0" applyNumberFormat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1" fillId="2" borderId="7" xfId="1" applyFill="1" applyBorder="1" applyAlignment="1">
      <alignment horizontal="left"/>
    </xf>
    <xf numFmtId="0" fontId="1" fillId="2" borderId="8" xfId="1" applyFill="1" applyBorder="1" applyAlignment="1">
      <alignment horizontal="left"/>
    </xf>
    <xf numFmtId="0" fontId="1" fillId="2" borderId="9" xfId="1" applyFill="1" applyBorder="1" applyAlignment="1">
      <alignment horizontal="left"/>
    </xf>
    <xf numFmtId="0" fontId="1" fillId="2" borderId="10" xfId="1" applyFill="1" applyBorder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2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1" fillId="2" borderId="14" xfId="1" applyFill="1" applyBorder="1" applyAlignment="1">
      <alignment horizontal="left"/>
    </xf>
    <xf numFmtId="0" fontId="1" fillId="2" borderId="11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27" xfId="1" applyFill="1" applyBorder="1" applyAlignment="1">
      <alignment horizontal="right"/>
    </xf>
    <xf numFmtId="0" fontId="1" fillId="2" borderId="0" xfId="1" applyFill="1" applyAlignment="1">
      <alignment horizontal="right"/>
    </xf>
    <xf numFmtId="0" fontId="1" fillId="2" borderId="39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1" fillId="2" borderId="5" xfId="1" applyFill="1" applyBorder="1" applyAlignment="1">
      <alignment horizontal="right"/>
    </xf>
    <xf numFmtId="0" fontId="1" fillId="2" borderId="40" xfId="1" applyFill="1" applyBorder="1" applyAlignment="1">
      <alignment horizontal="right"/>
    </xf>
    <xf numFmtId="44" fontId="1" fillId="2" borderId="28" xfId="1" applyNumberFormat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11" xfId="1" applyFill="1" applyBorder="1" applyAlignment="1">
      <alignment horizontal="right"/>
    </xf>
    <xf numFmtId="0" fontId="1" fillId="2" borderId="12" xfId="1" applyFill="1" applyBorder="1" applyAlignment="1">
      <alignment horizontal="right"/>
    </xf>
    <xf numFmtId="0" fontId="1" fillId="2" borderId="13" xfId="1" applyFill="1" applyBorder="1" applyAlignment="1">
      <alignment horizontal="right"/>
    </xf>
    <xf numFmtId="44" fontId="0" fillId="2" borderId="14" xfId="2" applyFont="1" applyFill="1" applyBorder="1" applyAlignment="1">
      <alignment horizontal="right"/>
    </xf>
    <xf numFmtId="44" fontId="1" fillId="2" borderId="14" xfId="1" applyNumberFormat="1" applyFill="1" applyBorder="1" applyAlignment="1">
      <alignment horizontal="right"/>
    </xf>
    <xf numFmtId="0" fontId="1" fillId="2" borderId="14" xfId="1" applyFill="1" applyBorder="1" applyAlignment="1">
      <alignment horizontal="right"/>
    </xf>
    <xf numFmtId="0" fontId="1" fillId="2" borderId="23" xfId="1" applyFill="1" applyBorder="1" applyAlignment="1">
      <alignment horizontal="right"/>
    </xf>
    <xf numFmtId="0" fontId="1" fillId="2" borderId="24" xfId="1" applyFill="1" applyBorder="1" applyAlignment="1">
      <alignment horizontal="right"/>
    </xf>
    <xf numFmtId="0" fontId="1" fillId="2" borderId="25" xfId="1" applyFill="1" applyBorder="1" applyAlignment="1">
      <alignment horizontal="right"/>
    </xf>
    <xf numFmtId="44" fontId="1" fillId="2" borderId="14" xfId="1" applyNumberFormat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" fillId="2" borderId="29" xfId="1" applyFill="1" applyBorder="1" applyAlignment="1">
      <alignment horizontal="left"/>
    </xf>
    <xf numFmtId="0" fontId="1" fillId="2" borderId="30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0" fontId="1" fillId="2" borderId="31" xfId="1" applyFill="1" applyBorder="1" applyAlignment="1">
      <alignment horizontal="left"/>
    </xf>
    <xf numFmtId="0" fontId="1" fillId="2" borderId="1" xfId="1" applyFill="1" applyBorder="1" applyAlignment="1">
      <alignment horizontal="right"/>
    </xf>
    <xf numFmtId="0" fontId="1" fillId="2" borderId="2" xfId="1" applyFill="1" applyBorder="1" applyAlignment="1">
      <alignment horizontal="right"/>
    </xf>
    <xf numFmtId="44" fontId="1" fillId="2" borderId="52" xfId="1" applyNumberFormat="1" applyFill="1" applyBorder="1" applyAlignment="1">
      <alignment horizontal="center"/>
    </xf>
    <xf numFmtId="0" fontId="1" fillId="2" borderId="51" xfId="1" applyFill="1" applyBorder="1" applyAlignment="1">
      <alignment horizontal="center"/>
    </xf>
    <xf numFmtId="0" fontId="1" fillId="2" borderId="1" xfId="1" applyFill="1" applyBorder="1" applyAlignment="1">
      <alignment horizontal="right" wrapText="1"/>
    </xf>
    <xf numFmtId="44" fontId="1" fillId="2" borderId="52" xfId="1" applyNumberFormat="1" applyFill="1" applyBorder="1" applyAlignment="1">
      <alignment horizontal="right"/>
    </xf>
    <xf numFmtId="0" fontId="1" fillId="2" borderId="51" xfId="1" applyFill="1" applyBorder="1" applyAlignment="1">
      <alignment horizontal="right"/>
    </xf>
    <xf numFmtId="3" fontId="8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3" fontId="7" fillId="2" borderId="41" xfId="0" applyNumberFormat="1" applyFont="1" applyFill="1" applyBorder="1" applyAlignment="1">
      <alignment horizontal="center" vertical="center"/>
    </xf>
    <xf numFmtId="3" fontId="7" fillId="2" borderId="42" xfId="0" applyNumberFormat="1" applyFont="1" applyFill="1" applyBorder="1" applyAlignment="1">
      <alignment horizontal="center" vertical="center"/>
    </xf>
    <xf numFmtId="164" fontId="7" fillId="2" borderId="41" xfId="0" applyNumberFormat="1" applyFont="1" applyFill="1" applyBorder="1" applyAlignment="1">
      <alignment horizontal="center" vertical="center" wrapText="1"/>
    </xf>
    <xf numFmtId="164" fontId="7" fillId="2" borderId="42" xfId="0" applyNumberFormat="1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3" fontId="8" fillId="0" borderId="41" xfId="0" applyNumberFormat="1" applyFont="1" applyBorder="1" applyAlignment="1">
      <alignment horizontal="center" vertical="center"/>
    </xf>
    <xf numFmtId="3" fontId="8" fillId="0" borderId="42" xfId="0" applyNumberFormat="1" applyFont="1" applyBorder="1" applyAlignment="1">
      <alignment horizontal="center" vertical="center"/>
    </xf>
    <xf numFmtId="164" fontId="8" fillId="2" borderId="41" xfId="0" applyNumberFormat="1" applyFont="1" applyFill="1" applyBorder="1" applyAlignment="1">
      <alignment horizontal="right" vertical="center"/>
    </xf>
    <xf numFmtId="164" fontId="8" fillId="2" borderId="42" xfId="0" applyNumberFormat="1" applyFont="1" applyFill="1" applyBorder="1" applyAlignment="1">
      <alignment horizontal="right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42" xfId="0" applyNumberFormat="1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</cellXfs>
  <cellStyles count="3">
    <cellStyle name="Currency 2" xfId="2" xr:uid="{7D2262A8-0721-4B7F-8B14-A50ECFAFA805}"/>
    <cellStyle name="Normal" xfId="0" builtinId="0"/>
    <cellStyle name="Normal 9" xfId="1" xr:uid="{CD751B26-31AA-4406-939F-54817A9A2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1</xdr:row>
      <xdr:rowOff>95251</xdr:rowOff>
    </xdr:from>
    <xdr:ext cx="1000125" cy="698312"/>
    <xdr:pic>
      <xdr:nvPicPr>
        <xdr:cNvPr id="3" name="Picture 2">
          <a:extLst>
            <a:ext uri="{FF2B5EF4-FFF2-40B4-BE49-F238E27FC236}">
              <a16:creationId xmlns:a16="http://schemas.microsoft.com/office/drawing/2014/main" id="{2BFE216F-1061-4474-877D-D2C77106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0325101"/>
          <a:ext cx="1000125" cy="6983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5F19-354E-446A-A40E-9EF46C70C808}">
  <sheetPr>
    <pageSetUpPr fitToPage="1"/>
  </sheetPr>
  <dimension ref="A1:K50"/>
  <sheetViews>
    <sheetView tabSelected="1" zoomScaleNormal="100" workbookViewId="0">
      <selection activeCell="H26" sqref="H26"/>
    </sheetView>
  </sheetViews>
  <sheetFormatPr defaultRowHeight="15" x14ac:dyDescent="0.25"/>
  <cols>
    <col min="2" max="3" width="8.7109375" customWidth="1"/>
    <col min="4" max="4" width="40.7109375" customWidth="1"/>
    <col min="5" max="5" width="10.7109375" customWidth="1"/>
    <col min="6" max="6" width="8.7109375" customWidth="1"/>
    <col min="7" max="7" width="12.7109375" customWidth="1"/>
    <col min="8" max="8" width="20.7109375" customWidth="1"/>
    <col min="11" max="11" width="15.28515625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11" ht="35.25" customHeight="1" x14ac:dyDescent="0.35">
      <c r="A2" s="1"/>
      <c r="B2" s="176" t="s">
        <v>51</v>
      </c>
      <c r="C2" s="177"/>
      <c r="D2" s="177"/>
      <c r="E2" s="177"/>
      <c r="F2" s="177"/>
      <c r="G2" s="177"/>
      <c r="H2" s="178"/>
      <c r="I2" s="1"/>
    </row>
    <row r="3" spans="1:11" ht="35.25" customHeight="1" thickBot="1" x14ac:dyDescent="0.3">
      <c r="A3" s="1"/>
      <c r="B3" s="179" t="s">
        <v>112</v>
      </c>
      <c r="C3" s="180"/>
      <c r="D3" s="180"/>
      <c r="E3" s="180"/>
      <c r="F3" s="180"/>
      <c r="G3" s="180"/>
      <c r="H3" s="181"/>
      <c r="I3" s="1"/>
    </row>
    <row r="4" spans="1:11" x14ac:dyDescent="0.25">
      <c r="A4" s="1"/>
      <c r="B4" s="182" t="s">
        <v>0</v>
      </c>
      <c r="C4" s="183"/>
      <c r="D4" s="184"/>
      <c r="E4" s="184"/>
      <c r="F4" s="184"/>
      <c r="G4" s="184"/>
      <c r="H4" s="185"/>
      <c r="I4" s="1"/>
    </row>
    <row r="5" spans="1:11" x14ac:dyDescent="0.25">
      <c r="A5" s="1"/>
      <c r="B5" s="186" t="s">
        <v>1</v>
      </c>
      <c r="C5" s="187"/>
      <c r="D5" s="188"/>
      <c r="E5" s="188"/>
      <c r="F5" s="188"/>
      <c r="G5" s="188"/>
      <c r="H5" s="189"/>
      <c r="I5" s="1"/>
    </row>
    <row r="6" spans="1:11" x14ac:dyDescent="0.25">
      <c r="A6" s="1"/>
      <c r="B6" s="190" t="s">
        <v>2</v>
      </c>
      <c r="C6" s="191"/>
      <c r="D6" s="192"/>
      <c r="E6" s="192" t="s">
        <v>3</v>
      </c>
      <c r="F6" s="192"/>
      <c r="G6" s="3" t="s">
        <v>4</v>
      </c>
      <c r="H6" s="4" t="s">
        <v>5</v>
      </c>
      <c r="I6" s="1"/>
    </row>
    <row r="7" spans="1:11" x14ac:dyDescent="0.25">
      <c r="A7" s="1"/>
      <c r="B7" s="2" t="s">
        <v>6</v>
      </c>
      <c r="C7" s="5" t="s">
        <v>7</v>
      </c>
      <c r="D7" s="6" t="s">
        <v>8</v>
      </c>
      <c r="E7" s="7">
        <v>13690</v>
      </c>
      <c r="F7" s="6" t="s">
        <v>9</v>
      </c>
      <c r="G7" s="8">
        <v>8.5</v>
      </c>
      <c r="H7" s="9">
        <f>E7*G7</f>
        <v>116365</v>
      </c>
      <c r="I7" s="1"/>
    </row>
    <row r="8" spans="1:11" x14ac:dyDescent="0.25">
      <c r="A8" s="1"/>
      <c r="B8" s="2" t="s">
        <v>10</v>
      </c>
      <c r="C8" s="5" t="s">
        <v>11</v>
      </c>
      <c r="D8" s="6" t="s">
        <v>12</v>
      </c>
      <c r="E8" s="7">
        <v>30380</v>
      </c>
      <c r="F8" s="6" t="s">
        <v>9</v>
      </c>
      <c r="G8" s="8">
        <v>67</v>
      </c>
      <c r="H8" s="9">
        <f t="shared" ref="H8:H11" si="0">E8*G8</f>
        <v>2035460</v>
      </c>
      <c r="I8" s="1"/>
    </row>
    <row r="9" spans="1:11" x14ac:dyDescent="0.25">
      <c r="A9" s="1"/>
      <c r="B9" s="2" t="s">
        <v>13</v>
      </c>
      <c r="C9" s="5" t="s">
        <v>14</v>
      </c>
      <c r="D9" s="6" t="s">
        <v>15</v>
      </c>
      <c r="E9" s="7">
        <v>144410</v>
      </c>
      <c r="F9" s="6" t="s">
        <v>16</v>
      </c>
      <c r="G9" s="8">
        <v>7</v>
      </c>
      <c r="H9" s="9">
        <f t="shared" si="0"/>
        <v>1010870</v>
      </c>
      <c r="I9" s="1"/>
    </row>
    <row r="10" spans="1:11" x14ac:dyDescent="0.25">
      <c r="A10" s="1"/>
      <c r="B10" s="2">
        <v>317</v>
      </c>
      <c r="C10" s="5" t="s">
        <v>17</v>
      </c>
      <c r="D10" s="6" t="s">
        <v>18</v>
      </c>
      <c r="E10" s="7">
        <v>128960</v>
      </c>
      <c r="F10" s="6" t="s">
        <v>16</v>
      </c>
      <c r="G10" s="8">
        <v>18</v>
      </c>
      <c r="H10" s="9">
        <f t="shared" si="0"/>
        <v>2321280</v>
      </c>
      <c r="I10" s="1"/>
    </row>
    <row r="11" spans="1:11" x14ac:dyDescent="0.25">
      <c r="A11" s="1"/>
      <c r="B11" s="2">
        <v>325</v>
      </c>
      <c r="C11" s="5" t="s">
        <v>19</v>
      </c>
      <c r="D11" s="6" t="s">
        <v>20</v>
      </c>
      <c r="E11" s="7">
        <v>144410</v>
      </c>
      <c r="F11" s="6" t="s">
        <v>16</v>
      </c>
      <c r="G11" s="8">
        <v>2</v>
      </c>
      <c r="H11" s="9">
        <f t="shared" si="0"/>
        <v>288820</v>
      </c>
      <c r="I11" s="1"/>
    </row>
    <row r="12" spans="1:11" x14ac:dyDescent="0.25">
      <c r="A12" s="1"/>
      <c r="B12" s="2">
        <v>408</v>
      </c>
      <c r="C12" s="5" t="s">
        <v>21</v>
      </c>
      <c r="D12" s="6" t="s">
        <v>22</v>
      </c>
      <c r="E12" s="7">
        <v>80080</v>
      </c>
      <c r="F12" s="6" t="s">
        <v>23</v>
      </c>
      <c r="G12" s="8">
        <v>4</v>
      </c>
      <c r="H12" s="9">
        <f>E12*G12</f>
        <v>320320</v>
      </c>
      <c r="I12" s="1"/>
    </row>
    <row r="13" spans="1:11" x14ac:dyDescent="0.25">
      <c r="A13" s="1"/>
      <c r="B13" s="2" t="s">
        <v>24</v>
      </c>
      <c r="C13" s="5" t="s">
        <v>25</v>
      </c>
      <c r="D13" s="6" t="s">
        <v>26</v>
      </c>
      <c r="E13" s="7">
        <v>121000</v>
      </c>
      <c r="F13" s="6" t="s">
        <v>16</v>
      </c>
      <c r="G13" s="8">
        <v>29</v>
      </c>
      <c r="H13" s="9">
        <f>E13*G13</f>
        <v>3509000</v>
      </c>
      <c r="I13" s="1"/>
    </row>
    <row r="14" spans="1:11" x14ac:dyDescent="0.25">
      <c r="A14" s="1"/>
      <c r="B14" s="10" t="s">
        <v>27</v>
      </c>
      <c r="C14" s="5" t="s">
        <v>28</v>
      </c>
      <c r="D14" s="6" t="s">
        <v>29</v>
      </c>
      <c r="E14" s="11">
        <v>40340</v>
      </c>
      <c r="F14" s="12" t="s">
        <v>9</v>
      </c>
      <c r="G14" s="13">
        <v>175</v>
      </c>
      <c r="H14" s="14">
        <f>E14*G14</f>
        <v>7059500</v>
      </c>
      <c r="I14" s="1"/>
    </row>
    <row r="15" spans="1:11" x14ac:dyDescent="0.25">
      <c r="A15" s="1"/>
      <c r="B15" s="201" t="s">
        <v>30</v>
      </c>
      <c r="C15" s="202"/>
      <c r="D15" s="203"/>
      <c r="E15" s="203"/>
      <c r="F15" s="203"/>
      <c r="G15" s="203"/>
      <c r="H15" s="204">
        <f>SUM(H7:H14)</f>
        <v>16661615</v>
      </c>
      <c r="I15" s="1"/>
    </row>
    <row r="16" spans="1:11" x14ac:dyDescent="0.25">
      <c r="A16" s="1"/>
      <c r="B16" s="201"/>
      <c r="C16" s="202"/>
      <c r="D16" s="203"/>
      <c r="E16" s="203"/>
      <c r="F16" s="203"/>
      <c r="G16" s="203"/>
      <c r="H16" s="204"/>
      <c r="I16" s="1"/>
      <c r="K16" s="107">
        <f>SUM(H15,H19,H33,H34,H35,H39)</f>
        <v>27524549.516447369</v>
      </c>
    </row>
    <row r="17" spans="1:11" x14ac:dyDescent="0.25">
      <c r="A17" s="1"/>
      <c r="B17" s="186" t="s">
        <v>31</v>
      </c>
      <c r="C17" s="187"/>
      <c r="D17" s="188"/>
      <c r="E17" s="188"/>
      <c r="F17" s="188"/>
      <c r="G17" s="188"/>
      <c r="H17" s="189"/>
      <c r="I17" s="1"/>
      <c r="K17" s="107">
        <f>SUM(H36,H37,H38,H40,H41)</f>
        <v>3979056.7401315789</v>
      </c>
    </row>
    <row r="18" spans="1:11" x14ac:dyDescent="0.25">
      <c r="A18" s="1"/>
      <c r="B18" s="15"/>
      <c r="C18" s="16"/>
      <c r="D18" s="17" t="s">
        <v>32</v>
      </c>
      <c r="E18" s="17"/>
      <c r="F18" s="17"/>
      <c r="G18" s="18"/>
      <c r="H18" s="19">
        <f>H15*0.5</f>
        <v>8330807.5</v>
      </c>
      <c r="I18" s="1"/>
    </row>
    <row r="19" spans="1:11" x14ac:dyDescent="0.25">
      <c r="A19" s="1"/>
      <c r="B19" s="201" t="s">
        <v>33</v>
      </c>
      <c r="C19" s="202"/>
      <c r="D19" s="203"/>
      <c r="E19" s="203"/>
      <c r="F19" s="203"/>
      <c r="G19" s="203"/>
      <c r="H19" s="205">
        <f>SUM(H18:H18)</f>
        <v>8330807.5</v>
      </c>
      <c r="I19" s="1"/>
    </row>
    <row r="20" spans="1:11" x14ac:dyDescent="0.25">
      <c r="A20" s="1"/>
      <c r="B20" s="201"/>
      <c r="C20" s="202"/>
      <c r="D20" s="203"/>
      <c r="E20" s="203"/>
      <c r="F20" s="203"/>
      <c r="G20" s="203"/>
      <c r="H20" s="206"/>
      <c r="I20" s="1"/>
    </row>
    <row r="21" spans="1:11" x14ac:dyDescent="0.25">
      <c r="A21" s="1"/>
      <c r="B21" s="186" t="s">
        <v>34</v>
      </c>
      <c r="C21" s="187"/>
      <c r="D21" s="188"/>
      <c r="E21" s="188"/>
      <c r="F21" s="188"/>
      <c r="G21" s="188"/>
      <c r="H21" s="189"/>
      <c r="I21" s="1"/>
    </row>
    <row r="22" spans="1:11" x14ac:dyDescent="0.25">
      <c r="A22" s="1"/>
      <c r="B22" s="20"/>
      <c r="C22" s="21"/>
      <c r="D22" s="27" t="s">
        <v>108</v>
      </c>
      <c r="E22" s="21"/>
      <c r="F22" s="21"/>
      <c r="G22" s="22"/>
      <c r="H22" s="19">
        <f>'Bridge Estimate'!G19</f>
        <v>47411925</v>
      </c>
      <c r="I22" s="1"/>
    </row>
    <row r="23" spans="1:11" x14ac:dyDescent="0.25">
      <c r="A23" s="1"/>
      <c r="B23" s="20"/>
      <c r="C23" s="21"/>
      <c r="D23" s="27" t="s">
        <v>109</v>
      </c>
      <c r="E23" s="21"/>
      <c r="F23" s="21"/>
      <c r="G23" s="22"/>
      <c r="H23" s="19">
        <f>'Bridge Estimate'!G37</f>
        <v>33894245</v>
      </c>
      <c r="I23" s="1"/>
    </row>
    <row r="24" spans="1:11" x14ac:dyDescent="0.25">
      <c r="A24" s="1"/>
      <c r="B24" s="20"/>
      <c r="C24" s="21"/>
      <c r="D24" s="27" t="s">
        <v>110</v>
      </c>
      <c r="E24" s="21"/>
      <c r="F24" s="21"/>
      <c r="G24" s="22"/>
      <c r="H24" s="19">
        <f>'Bridge Estimate'!G55</f>
        <v>20704695</v>
      </c>
      <c r="I24" s="1"/>
    </row>
    <row r="25" spans="1:11" x14ac:dyDescent="0.25">
      <c r="A25" s="1"/>
      <c r="B25" s="20"/>
      <c r="C25" s="21"/>
      <c r="D25" s="27" t="s">
        <v>111</v>
      </c>
      <c r="E25" s="21"/>
      <c r="F25" s="21"/>
      <c r="G25" s="22"/>
      <c r="H25" s="19">
        <f>'Ped Bridge'!G33</f>
        <v>20020720</v>
      </c>
      <c r="I25" s="1"/>
    </row>
    <row r="26" spans="1:11" x14ac:dyDescent="0.25">
      <c r="A26" s="1"/>
      <c r="B26" s="20"/>
      <c r="C26" s="21"/>
      <c r="D26" s="27" t="s">
        <v>136</v>
      </c>
      <c r="E26" s="21"/>
      <c r="F26" s="21"/>
      <c r="G26" s="22"/>
      <c r="H26" s="174">
        <v>2800000</v>
      </c>
      <c r="I26" s="1"/>
    </row>
    <row r="27" spans="1:11" x14ac:dyDescent="0.25">
      <c r="A27" s="1"/>
      <c r="B27" s="201" t="s">
        <v>35</v>
      </c>
      <c r="C27" s="202"/>
      <c r="D27" s="203"/>
      <c r="E27" s="203"/>
      <c r="F27" s="203"/>
      <c r="G27" s="203"/>
      <c r="H27" s="204">
        <f>SUM(H22:H26)</f>
        <v>124831585</v>
      </c>
      <c r="I27" s="1"/>
    </row>
    <row r="28" spans="1:11" x14ac:dyDescent="0.25">
      <c r="A28" s="1"/>
      <c r="B28" s="201"/>
      <c r="C28" s="202"/>
      <c r="D28" s="203"/>
      <c r="E28" s="203"/>
      <c r="F28" s="203"/>
      <c r="G28" s="203"/>
      <c r="H28" s="204"/>
      <c r="I28" s="1"/>
    </row>
    <row r="29" spans="1:11" x14ac:dyDescent="0.25">
      <c r="A29" s="1"/>
      <c r="B29" s="201" t="s">
        <v>36</v>
      </c>
      <c r="C29" s="202"/>
      <c r="D29" s="203"/>
      <c r="E29" s="203"/>
      <c r="F29" s="203"/>
      <c r="G29" s="203"/>
      <c r="H29" s="210">
        <f>H15+H19+H27</f>
        <v>149824007.5</v>
      </c>
      <c r="I29" s="1"/>
    </row>
    <row r="30" spans="1:11" x14ac:dyDescent="0.25">
      <c r="A30" s="1"/>
      <c r="B30" s="207"/>
      <c r="C30" s="208"/>
      <c r="D30" s="209"/>
      <c r="E30" s="209"/>
      <c r="F30" s="209"/>
      <c r="G30" s="209"/>
      <c r="H30" s="211"/>
      <c r="I30" s="1"/>
    </row>
    <row r="31" spans="1:11" ht="15.75" thickBot="1" x14ac:dyDescent="0.3">
      <c r="A31" s="1"/>
      <c r="B31" s="23"/>
      <c r="C31" s="24"/>
      <c r="D31" s="24"/>
      <c r="E31" s="24"/>
      <c r="F31" s="24"/>
      <c r="G31" s="24"/>
      <c r="H31" s="82">
        <f>H15+H19</f>
        <v>24992422.5</v>
      </c>
      <c r="I31" s="1"/>
    </row>
    <row r="32" spans="1:11" x14ac:dyDescent="0.25">
      <c r="A32" s="1"/>
      <c r="B32" s="212" t="s">
        <v>37</v>
      </c>
      <c r="C32" s="213"/>
      <c r="D32" s="213"/>
      <c r="E32" s="214"/>
      <c r="F32" s="213"/>
      <c r="G32" s="213"/>
      <c r="H32" s="215"/>
      <c r="I32" s="1"/>
    </row>
    <row r="33" spans="1:9" x14ac:dyDescent="0.25">
      <c r="A33" s="1"/>
      <c r="B33" s="20"/>
      <c r="C33" s="21"/>
      <c r="D33" s="25" t="s">
        <v>38</v>
      </c>
      <c r="E33" s="17"/>
      <c r="F33" s="17"/>
      <c r="G33" s="26"/>
      <c r="H33" s="19">
        <f>0.014*((H31/0.76))</f>
        <v>460386.73026315792</v>
      </c>
      <c r="I33" s="1"/>
    </row>
    <row r="34" spans="1:9" x14ac:dyDescent="0.25">
      <c r="A34" s="1"/>
      <c r="B34" s="15"/>
      <c r="C34" s="21"/>
      <c r="D34" s="27" t="s">
        <v>39</v>
      </c>
      <c r="E34" s="17"/>
      <c r="F34" s="21"/>
      <c r="G34" s="22"/>
      <c r="H34" s="19">
        <f>0.013*((H31/0.76))</f>
        <v>427501.96381578944</v>
      </c>
      <c r="I34" s="1"/>
    </row>
    <row r="35" spans="1:9" x14ac:dyDescent="0.25">
      <c r="A35" s="1"/>
      <c r="B35" s="15"/>
      <c r="C35" s="17"/>
      <c r="D35" s="25" t="s">
        <v>40</v>
      </c>
      <c r="E35" s="17"/>
      <c r="F35" s="17"/>
      <c r="G35" s="26"/>
      <c r="H35" s="19">
        <f>0.01*((H31/0.76))</f>
        <v>328847.66447368421</v>
      </c>
      <c r="I35" s="1"/>
    </row>
    <row r="36" spans="1:9" x14ac:dyDescent="0.25">
      <c r="A36" s="1"/>
      <c r="B36" s="15"/>
      <c r="C36" s="17"/>
      <c r="D36" s="25" t="s">
        <v>41</v>
      </c>
      <c r="E36" s="17"/>
      <c r="F36" s="17"/>
      <c r="G36" s="26"/>
      <c r="H36" s="19">
        <f>0.036*((H31/0.76))</f>
        <v>1183851.5921052631</v>
      </c>
      <c r="I36" s="1"/>
    </row>
    <row r="37" spans="1:9" x14ac:dyDescent="0.25">
      <c r="A37" s="1"/>
      <c r="B37" s="15"/>
      <c r="C37" s="17"/>
      <c r="D37" s="25" t="s">
        <v>42</v>
      </c>
      <c r="E37" s="17"/>
      <c r="F37" s="17"/>
      <c r="G37" s="26"/>
      <c r="H37" s="19">
        <f>0.006*((H31/0.76))</f>
        <v>197308.59868421053</v>
      </c>
      <c r="I37" s="1"/>
    </row>
    <row r="38" spans="1:9" x14ac:dyDescent="0.25">
      <c r="A38" s="1"/>
      <c r="B38" s="15"/>
      <c r="C38" s="17"/>
      <c r="D38" s="25" t="s">
        <v>43</v>
      </c>
      <c r="E38" s="17"/>
      <c r="F38" s="17"/>
      <c r="G38" s="26"/>
      <c r="H38" s="19">
        <f>0.038*((H31/0.76))</f>
        <v>1249621.125</v>
      </c>
      <c r="I38" s="1"/>
    </row>
    <row r="39" spans="1:9" x14ac:dyDescent="0.25">
      <c r="A39" s="1"/>
      <c r="B39" s="15"/>
      <c r="C39" s="17"/>
      <c r="D39" s="25" t="s">
        <v>44</v>
      </c>
      <c r="E39" s="17"/>
      <c r="F39" s="17"/>
      <c r="G39" s="26"/>
      <c r="H39" s="19">
        <f>0.04*((H31/0.76))</f>
        <v>1315390.6578947369</v>
      </c>
      <c r="I39" s="1"/>
    </row>
    <row r="40" spans="1:9" x14ac:dyDescent="0.25">
      <c r="A40" s="1"/>
      <c r="B40" s="15"/>
      <c r="C40" s="17"/>
      <c r="D40" s="25" t="s">
        <v>45</v>
      </c>
      <c r="E40" s="17"/>
      <c r="F40" s="17"/>
      <c r="G40" s="26"/>
      <c r="H40" s="19">
        <f>0.021*((H31/0.76))</f>
        <v>690580.09539473685</v>
      </c>
      <c r="I40" s="1"/>
    </row>
    <row r="41" spans="1:9" ht="15.75" thickBot="1" x14ac:dyDescent="0.3">
      <c r="A41" s="1"/>
      <c r="B41" s="28"/>
      <c r="C41" s="29"/>
      <c r="D41" s="30" t="s">
        <v>46</v>
      </c>
      <c r="E41" s="29"/>
      <c r="F41" s="29"/>
      <c r="G41" s="31"/>
      <c r="H41" s="32">
        <f>0.02*((H31/0.76))</f>
        <v>657695.32894736843</v>
      </c>
      <c r="I41" s="1"/>
    </row>
    <row r="42" spans="1:9" x14ac:dyDescent="0.25">
      <c r="A42" s="1"/>
      <c r="B42" s="193" t="s">
        <v>47</v>
      </c>
      <c r="C42" s="194"/>
      <c r="D42" s="194"/>
      <c r="E42" s="194"/>
      <c r="F42" s="194"/>
      <c r="G42" s="195"/>
      <c r="H42" s="199">
        <f>SUM(H33:H41)</f>
        <v>6511183.7565789474</v>
      </c>
      <c r="I42" s="1"/>
    </row>
    <row r="43" spans="1:9" ht="15.75" thickBot="1" x14ac:dyDescent="0.3">
      <c r="A43" s="1"/>
      <c r="B43" s="196"/>
      <c r="C43" s="197"/>
      <c r="D43" s="197"/>
      <c r="E43" s="197"/>
      <c r="F43" s="197"/>
      <c r="G43" s="198"/>
      <c r="H43" s="200"/>
      <c r="I43" s="1"/>
    </row>
    <row r="44" spans="1:9" x14ac:dyDescent="0.25">
      <c r="A44" s="1"/>
      <c r="B44" s="216" t="s">
        <v>48</v>
      </c>
      <c r="C44" s="217"/>
      <c r="D44" s="217"/>
      <c r="E44" s="217"/>
      <c r="F44" s="217"/>
      <c r="G44" s="217"/>
      <c r="H44" s="218">
        <f>H29+H42</f>
        <v>156335191.25657895</v>
      </c>
      <c r="I44" s="1"/>
    </row>
    <row r="45" spans="1:9" ht="15.75" thickBot="1" x14ac:dyDescent="0.3">
      <c r="A45" s="1"/>
      <c r="B45" s="196"/>
      <c r="C45" s="197"/>
      <c r="D45" s="197"/>
      <c r="E45" s="197"/>
      <c r="F45" s="197"/>
      <c r="G45" s="197"/>
      <c r="H45" s="219"/>
      <c r="I45" s="1"/>
    </row>
    <row r="46" spans="1:9" x14ac:dyDescent="0.25">
      <c r="A46" s="1"/>
      <c r="B46" s="220" t="s">
        <v>49</v>
      </c>
      <c r="C46" s="217"/>
      <c r="D46" s="217"/>
      <c r="E46" s="217"/>
      <c r="F46" s="217"/>
      <c r="G46" s="217"/>
      <c r="H46" s="221">
        <f>0.3*(H44-H27)</f>
        <v>9451081.8769736849</v>
      </c>
      <c r="I46" s="1"/>
    </row>
    <row r="47" spans="1:9" ht="15.75" thickBot="1" x14ac:dyDescent="0.3">
      <c r="A47" s="1"/>
      <c r="B47" s="196"/>
      <c r="C47" s="197"/>
      <c r="D47" s="197"/>
      <c r="E47" s="197"/>
      <c r="F47" s="197"/>
      <c r="G47" s="197"/>
      <c r="H47" s="222"/>
      <c r="I47" s="1"/>
    </row>
    <row r="48" spans="1:9" x14ac:dyDescent="0.25">
      <c r="A48" s="1"/>
      <c r="B48" s="216" t="s">
        <v>50</v>
      </c>
      <c r="C48" s="217"/>
      <c r="D48" s="217"/>
      <c r="E48" s="217"/>
      <c r="F48" s="217"/>
      <c r="G48" s="217"/>
      <c r="H48" s="218">
        <f>H44+H46</f>
        <v>165786273.13355264</v>
      </c>
      <c r="I48" s="1"/>
    </row>
    <row r="49" spans="1:9" ht="15.75" thickBot="1" x14ac:dyDescent="0.3">
      <c r="A49" s="1"/>
      <c r="B49" s="196"/>
      <c r="C49" s="197"/>
      <c r="D49" s="197"/>
      <c r="E49" s="197"/>
      <c r="F49" s="197"/>
      <c r="G49" s="197"/>
      <c r="H49" s="219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mergeCells count="25">
    <mergeCell ref="B44:G45"/>
    <mergeCell ref="H44:H45"/>
    <mergeCell ref="B46:G47"/>
    <mergeCell ref="H46:H47"/>
    <mergeCell ref="B48:G49"/>
    <mergeCell ref="H48:H49"/>
    <mergeCell ref="B42:G43"/>
    <mergeCell ref="H42:H43"/>
    <mergeCell ref="B15:G16"/>
    <mergeCell ref="H15:H16"/>
    <mergeCell ref="B17:H17"/>
    <mergeCell ref="B19:G20"/>
    <mergeCell ref="H19:H20"/>
    <mergeCell ref="B21:H21"/>
    <mergeCell ref="B27:G28"/>
    <mergeCell ref="H27:H28"/>
    <mergeCell ref="B29:G30"/>
    <mergeCell ref="H29:H30"/>
    <mergeCell ref="B32:H32"/>
    <mergeCell ref="B2:H2"/>
    <mergeCell ref="B3:H3"/>
    <mergeCell ref="B4:H4"/>
    <mergeCell ref="B5:H5"/>
    <mergeCell ref="B6:D6"/>
    <mergeCell ref="E6:F6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250E7-2735-4AC7-BD2A-99987D4E20E8}">
  <sheetPr>
    <pageSetUpPr fitToPage="1"/>
  </sheetPr>
  <dimension ref="A1:J73"/>
  <sheetViews>
    <sheetView workbookViewId="0">
      <selection activeCell="F11" sqref="F11"/>
    </sheetView>
  </sheetViews>
  <sheetFormatPr defaultRowHeight="15" x14ac:dyDescent="0.25"/>
  <cols>
    <col min="3" max="3" width="38.85546875" customWidth="1"/>
    <col min="6" max="7" width="12.42578125" customWidth="1"/>
    <col min="8" max="8" width="3.5703125" customWidth="1"/>
  </cols>
  <sheetData>
    <row r="1" spans="1:10" ht="18.75" x14ac:dyDescent="0.3">
      <c r="A1" s="1"/>
      <c r="B1" s="1"/>
      <c r="C1" s="224" t="s">
        <v>97</v>
      </c>
      <c r="D1" s="224"/>
      <c r="E1" s="224"/>
      <c r="F1" s="224"/>
      <c r="G1" s="1"/>
      <c r="H1" s="1"/>
    </row>
    <row r="2" spans="1:10" ht="15.75" thickBot="1" x14ac:dyDescent="0.3">
      <c r="A2" s="1"/>
      <c r="B2" s="1"/>
      <c r="C2" s="1"/>
      <c r="D2" s="1"/>
      <c r="E2" s="83"/>
      <c r="F2" s="1"/>
      <c r="G2" s="1"/>
      <c r="H2" s="1"/>
    </row>
    <row r="3" spans="1:10" ht="15.75" thickBot="1" x14ac:dyDescent="0.3">
      <c r="A3" s="1"/>
      <c r="B3" s="225" t="s">
        <v>52</v>
      </c>
      <c r="C3" s="226"/>
      <c r="D3" s="226"/>
      <c r="E3" s="226"/>
      <c r="F3" s="226"/>
      <c r="G3" s="227"/>
      <c r="H3" s="1"/>
    </row>
    <row r="4" spans="1:10" x14ac:dyDescent="0.25">
      <c r="A4" s="1"/>
      <c r="B4" s="228" t="s">
        <v>53</v>
      </c>
      <c r="C4" s="230" t="s">
        <v>54</v>
      </c>
      <c r="D4" s="230" t="s">
        <v>55</v>
      </c>
      <c r="E4" s="232" t="s">
        <v>56</v>
      </c>
      <c r="F4" s="234" t="s">
        <v>57</v>
      </c>
      <c r="G4" s="236" t="s">
        <v>58</v>
      </c>
      <c r="H4" s="1"/>
    </row>
    <row r="5" spans="1:10" ht="15.75" thickBot="1" x14ac:dyDescent="0.3">
      <c r="A5" s="1"/>
      <c r="B5" s="229"/>
      <c r="C5" s="231"/>
      <c r="D5" s="231"/>
      <c r="E5" s="233"/>
      <c r="F5" s="235"/>
      <c r="G5" s="237"/>
      <c r="H5" s="1"/>
    </row>
    <row r="6" spans="1:10" ht="15.75" thickBot="1" x14ac:dyDescent="0.3">
      <c r="A6" s="1"/>
      <c r="B6" s="73" t="s">
        <v>59</v>
      </c>
      <c r="C6" s="74" t="s">
        <v>60</v>
      </c>
      <c r="D6" s="75" t="s">
        <v>16</v>
      </c>
      <c r="E6" s="87">
        <v>660</v>
      </c>
      <c r="F6" s="77">
        <v>290</v>
      </c>
      <c r="G6" s="77">
        <f>F6*E6</f>
        <v>191400</v>
      </c>
      <c r="H6" s="1"/>
      <c r="J6" s="60">
        <f>740-J60</f>
        <v>740</v>
      </c>
    </row>
    <row r="7" spans="1:10" ht="15.75" thickBot="1" x14ac:dyDescent="0.3">
      <c r="A7" s="1"/>
      <c r="B7" s="73" t="s">
        <v>61</v>
      </c>
      <c r="C7" s="74" t="s">
        <v>62</v>
      </c>
      <c r="D7" s="75" t="s">
        <v>63</v>
      </c>
      <c r="E7" s="87">
        <v>1700</v>
      </c>
      <c r="F7" s="77">
        <v>118</v>
      </c>
      <c r="G7" s="77">
        <f>F7*E7</f>
        <v>200600</v>
      </c>
      <c r="H7" s="1"/>
      <c r="J7" s="60"/>
    </row>
    <row r="8" spans="1:10" ht="15.75" thickBot="1" x14ac:dyDescent="0.3">
      <c r="A8" s="1"/>
      <c r="B8" s="73" t="s">
        <v>64</v>
      </c>
      <c r="C8" s="74" t="s">
        <v>65</v>
      </c>
      <c r="D8" s="75" t="s">
        <v>66</v>
      </c>
      <c r="E8" s="87">
        <v>12500000</v>
      </c>
      <c r="F8" s="77">
        <v>3</v>
      </c>
      <c r="G8" s="77">
        <f>F8*E8</f>
        <v>37500000</v>
      </c>
      <c r="H8" s="1"/>
      <c r="J8" s="60"/>
    </row>
    <row r="9" spans="1:10" ht="15.75" thickBot="1" x14ac:dyDescent="0.3">
      <c r="A9" s="1"/>
      <c r="B9" s="73" t="s">
        <v>67</v>
      </c>
      <c r="C9" s="74" t="s">
        <v>68</v>
      </c>
      <c r="D9" s="75" t="s">
        <v>69</v>
      </c>
      <c r="E9" s="238">
        <v>55</v>
      </c>
      <c r="F9" s="240">
        <v>2250</v>
      </c>
      <c r="G9" s="240">
        <f>F9*E9</f>
        <v>123750</v>
      </c>
      <c r="H9" s="1"/>
      <c r="J9" s="223">
        <f>65-J63</f>
        <v>65</v>
      </c>
    </row>
    <row r="10" spans="1:10" ht="15.75" thickBot="1" x14ac:dyDescent="0.3">
      <c r="A10" s="1"/>
      <c r="B10" s="73" t="s">
        <v>70</v>
      </c>
      <c r="C10" s="74" t="s">
        <v>71</v>
      </c>
      <c r="D10" s="75" t="s">
        <v>69</v>
      </c>
      <c r="E10" s="239"/>
      <c r="F10" s="241"/>
      <c r="G10" s="241"/>
      <c r="H10" s="1"/>
      <c r="J10" s="223"/>
    </row>
    <row r="11" spans="1:10" ht="15.75" thickBot="1" x14ac:dyDescent="0.3">
      <c r="A11" s="1"/>
      <c r="B11" s="73" t="s">
        <v>72</v>
      </c>
      <c r="C11" s="74" t="s">
        <v>73</v>
      </c>
      <c r="D11" s="75" t="s">
        <v>9</v>
      </c>
      <c r="E11" s="87">
        <v>2350</v>
      </c>
      <c r="F11" s="77">
        <v>700</v>
      </c>
      <c r="G11" s="77">
        <f>F11*E11</f>
        <v>1645000</v>
      </c>
      <c r="H11" s="1"/>
      <c r="J11" s="60"/>
    </row>
    <row r="12" spans="1:10" ht="15.75" thickBot="1" x14ac:dyDescent="0.3">
      <c r="A12" s="1"/>
      <c r="B12" s="73" t="s">
        <v>74</v>
      </c>
      <c r="C12" s="74" t="s">
        <v>75</v>
      </c>
      <c r="D12" s="75" t="s">
        <v>9</v>
      </c>
      <c r="E12" s="87">
        <v>1300</v>
      </c>
      <c r="F12" s="77">
        <v>770</v>
      </c>
      <c r="G12" s="77">
        <f>F12*E12</f>
        <v>1001000</v>
      </c>
      <c r="H12" s="1"/>
      <c r="J12" s="60">
        <v>1000</v>
      </c>
    </row>
    <row r="13" spans="1:10" ht="15.75" thickBot="1" x14ac:dyDescent="0.3">
      <c r="A13" s="1"/>
      <c r="B13" s="73" t="s">
        <v>76</v>
      </c>
      <c r="C13" s="74" t="s">
        <v>77</v>
      </c>
      <c r="D13" s="75" t="s">
        <v>66</v>
      </c>
      <c r="E13" s="87">
        <v>800000</v>
      </c>
      <c r="F13" s="77">
        <v>1.9</v>
      </c>
      <c r="G13" s="77">
        <f>F13*E13</f>
        <v>1520000</v>
      </c>
      <c r="H13" s="1"/>
      <c r="J13" s="60"/>
    </row>
    <row r="14" spans="1:10" ht="15.75" thickBot="1" x14ac:dyDescent="0.3">
      <c r="A14" s="1"/>
      <c r="B14" s="73" t="s">
        <v>78</v>
      </c>
      <c r="C14" s="74" t="s">
        <v>79</v>
      </c>
      <c r="D14" s="75" t="s">
        <v>63</v>
      </c>
      <c r="E14" s="87">
        <v>400</v>
      </c>
      <c r="F14" s="77">
        <v>2000</v>
      </c>
      <c r="G14" s="77">
        <f>F14*E14</f>
        <v>800000</v>
      </c>
      <c r="H14" s="1"/>
      <c r="J14" s="60">
        <v>500</v>
      </c>
    </row>
    <row r="15" spans="1:10" ht="15.75" thickBot="1" x14ac:dyDescent="0.3">
      <c r="A15" s="1"/>
      <c r="B15" s="73" t="s">
        <v>80</v>
      </c>
      <c r="C15" s="74" t="s">
        <v>81</v>
      </c>
      <c r="D15" s="75" t="s">
        <v>82</v>
      </c>
      <c r="E15" s="78">
        <v>1500</v>
      </c>
      <c r="F15" s="77">
        <v>80</v>
      </c>
      <c r="G15" s="77">
        <f>F15*E15</f>
        <v>120000</v>
      </c>
      <c r="H15" s="1"/>
      <c r="J15" s="62"/>
    </row>
    <row r="16" spans="1:10" ht="15.75" thickBot="1" x14ac:dyDescent="0.3">
      <c r="A16" s="1"/>
      <c r="B16" s="73"/>
      <c r="C16" s="74"/>
      <c r="D16" s="75"/>
      <c r="E16" s="76"/>
      <c r="F16" s="77"/>
      <c r="G16" s="79"/>
      <c r="H16" s="1"/>
    </row>
    <row r="17" spans="1:8" ht="15.75" thickBot="1" x14ac:dyDescent="0.3">
      <c r="A17" s="1"/>
      <c r="B17" s="73"/>
      <c r="C17" s="74" t="s">
        <v>83</v>
      </c>
      <c r="D17" s="75"/>
      <c r="E17" s="76"/>
      <c r="F17" s="77"/>
      <c r="G17" s="80">
        <f>SUM(G6:G15)</f>
        <v>43101750</v>
      </c>
      <c r="H17" s="1"/>
    </row>
    <row r="18" spans="1:8" ht="15.75" thickBot="1" x14ac:dyDescent="0.3">
      <c r="A18" s="1"/>
      <c r="B18" s="73"/>
      <c r="C18" s="74" t="s">
        <v>84</v>
      </c>
      <c r="D18" s="75"/>
      <c r="E18" s="76"/>
      <c r="F18" s="77"/>
      <c r="G18" s="80">
        <f>0.1*G17</f>
        <v>4310175</v>
      </c>
      <c r="H18" s="1"/>
    </row>
    <row r="19" spans="1:8" ht="15.75" thickBot="1" x14ac:dyDescent="0.3">
      <c r="A19" s="1"/>
      <c r="B19" s="73"/>
      <c r="C19" s="74" t="s">
        <v>85</v>
      </c>
      <c r="D19" s="75"/>
      <c r="E19" s="76"/>
      <c r="F19" s="77"/>
      <c r="G19" s="81">
        <f>G18+G17</f>
        <v>47411925</v>
      </c>
      <c r="H19" s="1"/>
    </row>
    <row r="20" spans="1:8" ht="15.75" thickBot="1" x14ac:dyDescent="0.3">
      <c r="A20" s="1"/>
      <c r="B20" s="1"/>
      <c r="C20" s="1"/>
      <c r="D20" s="1"/>
      <c r="E20" s="83"/>
      <c r="F20" s="1"/>
      <c r="G20" s="1"/>
      <c r="H20" s="1"/>
    </row>
    <row r="21" spans="1:8" ht="15.75" thickBot="1" x14ac:dyDescent="0.3">
      <c r="A21" s="1"/>
      <c r="B21" s="225" t="s">
        <v>86</v>
      </c>
      <c r="C21" s="226"/>
      <c r="D21" s="226"/>
      <c r="E21" s="226"/>
      <c r="F21" s="226"/>
      <c r="G21" s="227"/>
      <c r="H21" s="1"/>
    </row>
    <row r="22" spans="1:8" x14ac:dyDescent="0.25">
      <c r="A22" s="1"/>
      <c r="B22" s="228" t="s">
        <v>53</v>
      </c>
      <c r="C22" s="230" t="s">
        <v>54</v>
      </c>
      <c r="D22" s="230" t="s">
        <v>55</v>
      </c>
      <c r="E22" s="232" t="s">
        <v>56</v>
      </c>
      <c r="F22" s="234" t="s">
        <v>57</v>
      </c>
      <c r="G22" s="236" t="s">
        <v>58</v>
      </c>
      <c r="H22" s="1"/>
    </row>
    <row r="23" spans="1:8" ht="15.75" thickBot="1" x14ac:dyDescent="0.3">
      <c r="A23" s="1"/>
      <c r="B23" s="229"/>
      <c r="C23" s="231"/>
      <c r="D23" s="231"/>
      <c r="E23" s="233"/>
      <c r="F23" s="235"/>
      <c r="G23" s="237"/>
      <c r="H23" s="1"/>
    </row>
    <row r="24" spans="1:8" ht="15.75" thickBot="1" x14ac:dyDescent="0.3">
      <c r="A24" s="1"/>
      <c r="B24" s="73" t="s">
        <v>59</v>
      </c>
      <c r="C24" s="74" t="s">
        <v>60</v>
      </c>
      <c r="D24" s="75" t="s">
        <v>16</v>
      </c>
      <c r="E24" s="76">
        <v>650</v>
      </c>
      <c r="F24" s="77">
        <v>290</v>
      </c>
      <c r="G24" s="77">
        <f t="shared" ref="G24:G33" si="0">F24*E24</f>
        <v>188500</v>
      </c>
      <c r="H24" s="1"/>
    </row>
    <row r="25" spans="1:8" ht="15.75" thickBot="1" x14ac:dyDescent="0.3">
      <c r="A25" s="1"/>
      <c r="B25" s="73" t="s">
        <v>61</v>
      </c>
      <c r="C25" s="74" t="s">
        <v>62</v>
      </c>
      <c r="D25" s="75" t="s">
        <v>63</v>
      </c>
      <c r="E25" s="76">
        <v>1650</v>
      </c>
      <c r="F25" s="77">
        <v>118</v>
      </c>
      <c r="G25" s="77">
        <f t="shared" si="0"/>
        <v>194700</v>
      </c>
      <c r="H25" s="1"/>
    </row>
    <row r="26" spans="1:8" ht="15.75" thickBot="1" x14ac:dyDescent="0.3">
      <c r="A26" s="1"/>
      <c r="B26" s="73" t="s">
        <v>64</v>
      </c>
      <c r="C26" s="74" t="s">
        <v>65</v>
      </c>
      <c r="D26" s="75" t="s">
        <v>66</v>
      </c>
      <c r="E26" s="76">
        <v>8750000</v>
      </c>
      <c r="F26" s="77">
        <v>3</v>
      </c>
      <c r="G26" s="77">
        <f t="shared" si="0"/>
        <v>26250000</v>
      </c>
      <c r="H26" s="1"/>
    </row>
    <row r="27" spans="1:8" ht="15.75" thickBot="1" x14ac:dyDescent="0.3">
      <c r="A27" s="1"/>
      <c r="B27" s="73" t="s">
        <v>67</v>
      </c>
      <c r="C27" s="74" t="s">
        <v>68</v>
      </c>
      <c r="D27" s="75" t="s">
        <v>69</v>
      </c>
      <c r="E27" s="242">
        <v>45</v>
      </c>
      <c r="F27" s="240">
        <v>2250</v>
      </c>
      <c r="G27" s="240">
        <f>F27*E27</f>
        <v>101250</v>
      </c>
      <c r="H27" s="1"/>
    </row>
    <row r="28" spans="1:8" ht="15.75" thickBot="1" x14ac:dyDescent="0.3">
      <c r="A28" s="1"/>
      <c r="B28" s="73" t="s">
        <v>70</v>
      </c>
      <c r="C28" s="74" t="s">
        <v>71</v>
      </c>
      <c r="D28" s="75" t="s">
        <v>69</v>
      </c>
      <c r="E28" s="243"/>
      <c r="F28" s="241"/>
      <c r="G28" s="241"/>
      <c r="H28" s="1"/>
    </row>
    <row r="29" spans="1:8" ht="15.75" thickBot="1" x14ac:dyDescent="0.3">
      <c r="A29" s="1"/>
      <c r="B29" s="73" t="s">
        <v>72</v>
      </c>
      <c r="C29" s="74" t="s">
        <v>73</v>
      </c>
      <c r="D29" s="75" t="s">
        <v>9</v>
      </c>
      <c r="E29" s="76">
        <v>2000</v>
      </c>
      <c r="F29" s="77">
        <v>700</v>
      </c>
      <c r="G29" s="77">
        <f t="shared" si="0"/>
        <v>1400000</v>
      </c>
      <c r="H29" s="1"/>
    </row>
    <row r="30" spans="1:8" ht="15.75" thickBot="1" x14ac:dyDescent="0.3">
      <c r="A30" s="1"/>
      <c r="B30" s="73" t="s">
        <v>74</v>
      </c>
      <c r="C30" s="74" t="s">
        <v>75</v>
      </c>
      <c r="D30" s="75" t="s">
        <v>9</v>
      </c>
      <c r="E30" s="76">
        <v>950</v>
      </c>
      <c r="F30" s="77">
        <v>770</v>
      </c>
      <c r="G30" s="77">
        <f t="shared" si="0"/>
        <v>731500</v>
      </c>
      <c r="H30" s="1"/>
    </row>
    <row r="31" spans="1:8" ht="15.75" thickBot="1" x14ac:dyDescent="0.3">
      <c r="A31" s="1"/>
      <c r="B31" s="73" t="s">
        <v>76</v>
      </c>
      <c r="C31" s="74" t="s">
        <v>77</v>
      </c>
      <c r="D31" s="75" t="s">
        <v>66</v>
      </c>
      <c r="E31" s="76">
        <v>650000</v>
      </c>
      <c r="F31" s="77">
        <v>1.9</v>
      </c>
      <c r="G31" s="77">
        <f t="shared" si="0"/>
        <v>1235000</v>
      </c>
      <c r="H31" s="1"/>
    </row>
    <row r="32" spans="1:8" ht="15.75" thickBot="1" x14ac:dyDescent="0.3">
      <c r="A32" s="1"/>
      <c r="B32" s="73" t="s">
        <v>78</v>
      </c>
      <c r="C32" s="74" t="s">
        <v>79</v>
      </c>
      <c r="D32" s="75" t="s">
        <v>63</v>
      </c>
      <c r="E32" s="76">
        <v>300</v>
      </c>
      <c r="F32" s="77">
        <v>2000</v>
      </c>
      <c r="G32" s="77">
        <f t="shared" si="0"/>
        <v>600000</v>
      </c>
      <c r="H32" s="1"/>
    </row>
    <row r="33" spans="1:8" ht="15.75" thickBot="1" x14ac:dyDescent="0.3">
      <c r="A33" s="1"/>
      <c r="B33" s="73" t="s">
        <v>80</v>
      </c>
      <c r="C33" s="74" t="s">
        <v>81</v>
      </c>
      <c r="D33" s="75" t="s">
        <v>82</v>
      </c>
      <c r="E33" s="78">
        <v>1400</v>
      </c>
      <c r="F33" s="77">
        <v>80</v>
      </c>
      <c r="G33" s="77">
        <f t="shared" si="0"/>
        <v>112000</v>
      </c>
      <c r="H33" s="1"/>
    </row>
    <row r="34" spans="1:8" ht="15.75" thickBot="1" x14ac:dyDescent="0.3">
      <c r="A34" s="1"/>
      <c r="B34" s="73"/>
      <c r="C34" s="74"/>
      <c r="D34" s="75"/>
      <c r="E34" s="76"/>
      <c r="F34" s="77"/>
      <c r="G34" s="79"/>
      <c r="H34" s="1"/>
    </row>
    <row r="35" spans="1:8" ht="15.75" thickBot="1" x14ac:dyDescent="0.3">
      <c r="A35" s="1"/>
      <c r="B35" s="73"/>
      <c r="C35" s="74" t="s">
        <v>83</v>
      </c>
      <c r="D35" s="75"/>
      <c r="E35" s="76"/>
      <c r="F35" s="77"/>
      <c r="G35" s="80">
        <f>SUM(G24:G33)</f>
        <v>30812950</v>
      </c>
      <c r="H35" s="1"/>
    </row>
    <row r="36" spans="1:8" ht="15.75" thickBot="1" x14ac:dyDescent="0.3">
      <c r="A36" s="1"/>
      <c r="B36" s="73"/>
      <c r="C36" s="74" t="s">
        <v>84</v>
      </c>
      <c r="D36" s="75"/>
      <c r="E36" s="76"/>
      <c r="F36" s="77"/>
      <c r="G36" s="80">
        <f>0.1*G35</f>
        <v>3081295</v>
      </c>
      <c r="H36" s="1"/>
    </row>
    <row r="37" spans="1:8" ht="15.75" thickBot="1" x14ac:dyDescent="0.3">
      <c r="A37" s="1"/>
      <c r="B37" s="73"/>
      <c r="C37" s="74" t="s">
        <v>85</v>
      </c>
      <c r="D37" s="75"/>
      <c r="E37" s="76"/>
      <c r="F37" s="77"/>
      <c r="G37" s="81">
        <f>G36+G35</f>
        <v>33894245</v>
      </c>
      <c r="H37" s="1"/>
    </row>
    <row r="38" spans="1:8" ht="15.75" thickBot="1" x14ac:dyDescent="0.3">
      <c r="A38" s="1"/>
      <c r="B38" s="1"/>
      <c r="C38" s="1"/>
      <c r="D38" s="1"/>
      <c r="E38" s="83"/>
      <c r="F38" s="1"/>
      <c r="G38" s="1"/>
      <c r="H38" s="1"/>
    </row>
    <row r="39" spans="1:8" ht="15.75" thickBot="1" x14ac:dyDescent="0.3">
      <c r="A39" s="1"/>
      <c r="B39" s="225" t="s">
        <v>87</v>
      </c>
      <c r="C39" s="226"/>
      <c r="D39" s="226"/>
      <c r="E39" s="226"/>
      <c r="F39" s="226"/>
      <c r="G39" s="227"/>
      <c r="H39" s="1"/>
    </row>
    <row r="40" spans="1:8" x14ac:dyDescent="0.25">
      <c r="A40" s="1"/>
      <c r="B40" s="228" t="s">
        <v>53</v>
      </c>
      <c r="C40" s="230" t="s">
        <v>54</v>
      </c>
      <c r="D40" s="230" t="s">
        <v>55</v>
      </c>
      <c r="E40" s="232" t="s">
        <v>56</v>
      </c>
      <c r="F40" s="234" t="s">
        <v>57</v>
      </c>
      <c r="G40" s="236" t="s">
        <v>58</v>
      </c>
      <c r="H40" s="1"/>
    </row>
    <row r="41" spans="1:8" ht="15.75" thickBot="1" x14ac:dyDescent="0.3">
      <c r="A41" s="1"/>
      <c r="B41" s="229"/>
      <c r="C41" s="231"/>
      <c r="D41" s="231"/>
      <c r="E41" s="233"/>
      <c r="F41" s="235"/>
      <c r="G41" s="237"/>
      <c r="H41" s="1"/>
    </row>
    <row r="42" spans="1:8" ht="15.75" thickBot="1" x14ac:dyDescent="0.3">
      <c r="A42" s="1"/>
      <c r="B42" s="73" t="s">
        <v>59</v>
      </c>
      <c r="C42" s="74" t="s">
        <v>60</v>
      </c>
      <c r="D42" s="75" t="s">
        <v>16</v>
      </c>
      <c r="E42" s="76">
        <v>300</v>
      </c>
      <c r="F42" s="77">
        <v>290</v>
      </c>
      <c r="G42" s="77">
        <f t="shared" ref="G42:G51" si="1">F42*E42</f>
        <v>87000</v>
      </c>
      <c r="H42" s="1"/>
    </row>
    <row r="43" spans="1:8" ht="15.75" thickBot="1" x14ac:dyDescent="0.3">
      <c r="A43" s="1"/>
      <c r="B43" s="73" t="s">
        <v>61</v>
      </c>
      <c r="C43" s="74" t="s">
        <v>62</v>
      </c>
      <c r="D43" s="75" t="s">
        <v>63</v>
      </c>
      <c r="E43" s="76">
        <v>1650</v>
      </c>
      <c r="F43" s="77">
        <v>118</v>
      </c>
      <c r="G43" s="77">
        <f t="shared" si="1"/>
        <v>194700</v>
      </c>
      <c r="H43" s="1"/>
    </row>
    <row r="44" spans="1:8" ht="15.75" thickBot="1" x14ac:dyDescent="0.3">
      <c r="A44" s="1"/>
      <c r="B44" s="73" t="s">
        <v>64</v>
      </c>
      <c r="C44" s="74" t="s">
        <v>65</v>
      </c>
      <c r="D44" s="75" t="s">
        <v>66</v>
      </c>
      <c r="E44" s="76">
        <v>5400000</v>
      </c>
      <c r="F44" s="77">
        <v>3</v>
      </c>
      <c r="G44" s="77">
        <f t="shared" si="1"/>
        <v>16200000</v>
      </c>
      <c r="H44" s="1"/>
    </row>
    <row r="45" spans="1:8" ht="15.75" thickBot="1" x14ac:dyDescent="0.3">
      <c r="A45" s="1"/>
      <c r="B45" s="73" t="s">
        <v>67</v>
      </c>
      <c r="C45" s="74" t="s">
        <v>68</v>
      </c>
      <c r="D45" s="75" t="s">
        <v>69</v>
      </c>
      <c r="E45" s="242">
        <v>25</v>
      </c>
      <c r="F45" s="240">
        <v>2250</v>
      </c>
      <c r="G45" s="240">
        <f>F45*E45</f>
        <v>56250</v>
      </c>
      <c r="H45" s="1"/>
    </row>
    <row r="46" spans="1:8" ht="15.75" thickBot="1" x14ac:dyDescent="0.3">
      <c r="A46" s="1"/>
      <c r="B46" s="73" t="s">
        <v>70</v>
      </c>
      <c r="C46" s="74" t="s">
        <v>71</v>
      </c>
      <c r="D46" s="75" t="s">
        <v>69</v>
      </c>
      <c r="E46" s="243"/>
      <c r="F46" s="241"/>
      <c r="G46" s="241"/>
      <c r="H46" s="1"/>
    </row>
    <row r="47" spans="1:8" ht="15.75" thickBot="1" x14ac:dyDescent="0.3">
      <c r="A47" s="1"/>
      <c r="B47" s="73" t="s">
        <v>72</v>
      </c>
      <c r="C47" s="74" t="s">
        <v>73</v>
      </c>
      <c r="D47" s="75" t="s">
        <v>9</v>
      </c>
      <c r="E47" s="76">
        <v>1000</v>
      </c>
      <c r="F47" s="77">
        <v>700</v>
      </c>
      <c r="G47" s="77">
        <f t="shared" si="1"/>
        <v>700000</v>
      </c>
      <c r="H47" s="1"/>
    </row>
    <row r="48" spans="1:8" ht="15.75" thickBot="1" x14ac:dyDescent="0.3">
      <c r="A48" s="1"/>
      <c r="B48" s="73" t="s">
        <v>74</v>
      </c>
      <c r="C48" s="74" t="s">
        <v>75</v>
      </c>
      <c r="D48" s="75" t="s">
        <v>9</v>
      </c>
      <c r="E48" s="76">
        <v>550</v>
      </c>
      <c r="F48" s="77">
        <v>770</v>
      </c>
      <c r="G48" s="77">
        <f t="shared" si="1"/>
        <v>423500</v>
      </c>
      <c r="H48" s="1"/>
    </row>
    <row r="49" spans="1:8" ht="15.75" thickBot="1" x14ac:dyDescent="0.3">
      <c r="A49" s="1"/>
      <c r="B49" s="73" t="s">
        <v>76</v>
      </c>
      <c r="C49" s="74" t="s">
        <v>77</v>
      </c>
      <c r="D49" s="75" t="s">
        <v>66</v>
      </c>
      <c r="E49" s="76">
        <v>350000</v>
      </c>
      <c r="F49" s="77">
        <v>1.9</v>
      </c>
      <c r="G49" s="77">
        <f t="shared" si="1"/>
        <v>665000</v>
      </c>
      <c r="H49" s="1"/>
    </row>
    <row r="50" spans="1:8" ht="15.75" thickBot="1" x14ac:dyDescent="0.3">
      <c r="A50" s="1"/>
      <c r="B50" s="73" t="s">
        <v>78</v>
      </c>
      <c r="C50" s="74" t="s">
        <v>79</v>
      </c>
      <c r="D50" s="75" t="s">
        <v>63</v>
      </c>
      <c r="E50" s="76">
        <v>200</v>
      </c>
      <c r="F50" s="77">
        <v>2000</v>
      </c>
      <c r="G50" s="77">
        <f t="shared" si="1"/>
        <v>400000</v>
      </c>
      <c r="H50" s="1"/>
    </row>
    <row r="51" spans="1:8" ht="15.75" thickBot="1" x14ac:dyDescent="0.3">
      <c r="A51" s="1"/>
      <c r="B51" s="73" t="s">
        <v>80</v>
      </c>
      <c r="C51" s="74" t="s">
        <v>81</v>
      </c>
      <c r="D51" s="75" t="s">
        <v>82</v>
      </c>
      <c r="E51" s="78">
        <v>1200</v>
      </c>
      <c r="F51" s="77">
        <v>80</v>
      </c>
      <c r="G51" s="77">
        <f t="shared" si="1"/>
        <v>96000</v>
      </c>
      <c r="H51" s="1"/>
    </row>
    <row r="52" spans="1:8" ht="15.75" thickBot="1" x14ac:dyDescent="0.3">
      <c r="A52" s="1"/>
      <c r="B52" s="73"/>
      <c r="C52" s="74"/>
      <c r="D52" s="75"/>
      <c r="E52" s="76"/>
      <c r="F52" s="77"/>
      <c r="G52" s="79"/>
      <c r="H52" s="1"/>
    </row>
    <row r="53" spans="1:8" ht="15.75" thickBot="1" x14ac:dyDescent="0.3">
      <c r="A53" s="1"/>
      <c r="B53" s="73"/>
      <c r="C53" s="74" t="s">
        <v>83</v>
      </c>
      <c r="D53" s="75"/>
      <c r="E53" s="76"/>
      <c r="F53" s="77"/>
      <c r="G53" s="80">
        <f>SUM(G42:G51)</f>
        <v>18822450</v>
      </c>
      <c r="H53" s="1"/>
    </row>
    <row r="54" spans="1:8" ht="15.75" thickBot="1" x14ac:dyDescent="0.3">
      <c r="A54" s="1"/>
      <c r="B54" s="73"/>
      <c r="C54" s="74" t="s">
        <v>84</v>
      </c>
      <c r="D54" s="75"/>
      <c r="E54" s="76"/>
      <c r="F54" s="77"/>
      <c r="G54" s="80">
        <f>0.1*G53</f>
        <v>1882245</v>
      </c>
      <c r="H54" s="1"/>
    </row>
    <row r="55" spans="1:8" ht="15.75" thickBot="1" x14ac:dyDescent="0.3">
      <c r="A55" s="1"/>
      <c r="B55" s="73"/>
      <c r="C55" s="74" t="s">
        <v>85</v>
      </c>
      <c r="D55" s="75"/>
      <c r="E55" s="76"/>
      <c r="F55" s="77"/>
      <c r="G55" s="81">
        <f>G54+G53</f>
        <v>20704695</v>
      </c>
      <c r="H55" s="1"/>
    </row>
    <row r="56" spans="1:8" x14ac:dyDescent="0.25">
      <c r="A56" s="1"/>
      <c r="B56" s="1"/>
      <c r="C56" s="1"/>
      <c r="D56" s="1"/>
      <c r="E56" s="83"/>
      <c r="F56" s="1"/>
      <c r="G56" s="1"/>
      <c r="H56" s="1"/>
    </row>
    <row r="57" spans="1:8" x14ac:dyDescent="0.25">
      <c r="B57" s="68"/>
      <c r="C57" s="68"/>
      <c r="D57" s="68"/>
      <c r="E57" s="68"/>
      <c r="F57" s="68"/>
      <c r="G57" s="68"/>
    </row>
    <row r="58" spans="1:8" x14ac:dyDescent="0.25">
      <c r="B58" s="69"/>
      <c r="C58" s="70"/>
      <c r="D58" s="70"/>
      <c r="E58" s="71"/>
      <c r="F58" s="72"/>
      <c r="G58" s="69"/>
    </row>
    <row r="59" spans="1:8" x14ac:dyDescent="0.25">
      <c r="B59" s="69"/>
      <c r="C59" s="70"/>
      <c r="D59" s="70"/>
      <c r="E59" s="71"/>
      <c r="F59" s="72"/>
      <c r="G59" s="69"/>
    </row>
    <row r="60" spans="1:8" x14ac:dyDescent="0.25">
      <c r="B60" s="57"/>
      <c r="C60" s="58"/>
      <c r="D60" s="59"/>
      <c r="E60" s="60"/>
      <c r="F60" s="61"/>
      <c r="G60" s="61"/>
    </row>
    <row r="61" spans="1:8" x14ac:dyDescent="0.25">
      <c r="B61" s="57"/>
      <c r="C61" s="58"/>
      <c r="D61" s="59"/>
      <c r="E61" s="60"/>
      <c r="F61" s="61"/>
      <c r="G61" s="61"/>
    </row>
    <row r="62" spans="1:8" x14ac:dyDescent="0.25">
      <c r="B62" s="57"/>
      <c r="C62" s="58"/>
      <c r="D62" s="59"/>
      <c r="E62" s="60"/>
      <c r="F62" s="61"/>
      <c r="G62" s="61"/>
    </row>
    <row r="63" spans="1:8" x14ac:dyDescent="0.25">
      <c r="B63" s="57"/>
      <c r="C63" s="58"/>
      <c r="D63" s="59"/>
      <c r="E63" s="66"/>
      <c r="F63" s="67"/>
      <c r="G63" s="67"/>
    </row>
    <row r="64" spans="1:8" x14ac:dyDescent="0.25">
      <c r="B64" s="57"/>
      <c r="C64" s="58"/>
      <c r="D64" s="59"/>
      <c r="E64" s="66"/>
      <c r="F64" s="67"/>
      <c r="G64" s="67"/>
    </row>
    <row r="65" spans="2:7" x14ac:dyDescent="0.25">
      <c r="B65" s="57"/>
      <c r="C65" s="58"/>
      <c r="D65" s="59"/>
      <c r="E65" s="60"/>
      <c r="F65" s="61"/>
      <c r="G65" s="61"/>
    </row>
    <row r="66" spans="2:7" x14ac:dyDescent="0.25">
      <c r="B66" s="57"/>
      <c r="C66" s="58"/>
      <c r="D66" s="59"/>
      <c r="E66" s="60"/>
      <c r="F66" s="61"/>
      <c r="G66" s="61"/>
    </row>
    <row r="67" spans="2:7" x14ac:dyDescent="0.25">
      <c r="B67" s="57"/>
      <c r="C67" s="58"/>
      <c r="D67" s="59"/>
      <c r="E67" s="60"/>
      <c r="F67" s="61"/>
      <c r="G67" s="61"/>
    </row>
    <row r="68" spans="2:7" x14ac:dyDescent="0.25">
      <c r="B68" s="57"/>
      <c r="C68" s="58"/>
      <c r="D68" s="59"/>
      <c r="E68" s="62"/>
      <c r="F68" s="61"/>
      <c r="G68" s="61"/>
    </row>
    <row r="69" spans="2:7" x14ac:dyDescent="0.25">
      <c r="B69" s="57"/>
      <c r="C69" s="58"/>
      <c r="D69" s="59"/>
      <c r="E69" s="60"/>
      <c r="F69" s="61"/>
      <c r="G69" s="63"/>
    </row>
    <row r="70" spans="2:7" x14ac:dyDescent="0.25">
      <c r="B70" s="57"/>
      <c r="C70" s="58"/>
      <c r="D70" s="59"/>
      <c r="E70" s="60"/>
      <c r="F70" s="61"/>
      <c r="G70" s="64"/>
    </row>
    <row r="71" spans="2:7" x14ac:dyDescent="0.25">
      <c r="B71" s="57"/>
      <c r="C71" s="58"/>
      <c r="D71" s="59"/>
      <c r="E71" s="60"/>
      <c r="F71" s="61"/>
      <c r="G71" s="64"/>
    </row>
    <row r="72" spans="2:7" x14ac:dyDescent="0.25">
      <c r="B72" s="57"/>
      <c r="C72" s="58"/>
      <c r="D72" s="59"/>
      <c r="E72" s="60"/>
      <c r="F72" s="61"/>
      <c r="G72" s="65"/>
    </row>
    <row r="73" spans="2:7" x14ac:dyDescent="0.25">
      <c r="E73" s="33"/>
    </row>
  </sheetData>
  <mergeCells count="32">
    <mergeCell ref="E45:E46"/>
    <mergeCell ref="F45:F46"/>
    <mergeCell ref="G45:G46"/>
    <mergeCell ref="E27:E28"/>
    <mergeCell ref="F27:F28"/>
    <mergeCell ref="G27:G28"/>
    <mergeCell ref="B39:G39"/>
    <mergeCell ref="B40:B41"/>
    <mergeCell ref="C40:C41"/>
    <mergeCell ref="D40:D41"/>
    <mergeCell ref="E40:E41"/>
    <mergeCell ref="F40:F41"/>
    <mergeCell ref="G40:G41"/>
    <mergeCell ref="B21:G21"/>
    <mergeCell ref="B22:B23"/>
    <mergeCell ref="C22:C23"/>
    <mergeCell ref="D22:D23"/>
    <mergeCell ref="E22:E23"/>
    <mergeCell ref="F22:F23"/>
    <mergeCell ref="G22:G23"/>
    <mergeCell ref="J9:J10"/>
    <mergeCell ref="C1:F1"/>
    <mergeCell ref="B3:G3"/>
    <mergeCell ref="B4:B5"/>
    <mergeCell ref="C4:C5"/>
    <mergeCell ref="D4:D5"/>
    <mergeCell ref="E4:E5"/>
    <mergeCell ref="F4:F5"/>
    <mergeCell ref="G4:G5"/>
    <mergeCell ref="E9:E10"/>
    <mergeCell ref="F9:F10"/>
    <mergeCell ref="G9:G10"/>
  </mergeCells>
  <pageMargins left="0.7" right="0.7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0CA2-572B-4359-9220-D20703317AE3}">
  <sheetPr>
    <pageSetUpPr fitToPage="1"/>
  </sheetPr>
  <dimension ref="A1:J35"/>
  <sheetViews>
    <sheetView workbookViewId="0">
      <selection activeCell="L24" sqref="L24"/>
    </sheetView>
  </sheetViews>
  <sheetFormatPr defaultRowHeight="15" x14ac:dyDescent="0.25"/>
  <cols>
    <col min="3" max="3" width="41.42578125" bestFit="1" customWidth="1"/>
    <col min="6" max="7" width="12.42578125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1"/>
      <c r="H1" s="1"/>
    </row>
    <row r="2" spans="1:10" ht="15.75" thickBot="1" x14ac:dyDescent="0.3">
      <c r="A2" s="1"/>
      <c r="B2" s="225" t="s">
        <v>88</v>
      </c>
      <c r="C2" s="226"/>
      <c r="D2" s="226"/>
      <c r="E2" s="226"/>
      <c r="F2" s="226"/>
      <c r="G2" s="227"/>
      <c r="H2" s="1"/>
    </row>
    <row r="3" spans="1:10" x14ac:dyDescent="0.25">
      <c r="A3" s="1"/>
      <c r="B3" s="228" t="s">
        <v>53</v>
      </c>
      <c r="C3" s="230" t="s">
        <v>54</v>
      </c>
      <c r="D3" s="230" t="s">
        <v>55</v>
      </c>
      <c r="E3" s="232" t="s">
        <v>56</v>
      </c>
      <c r="F3" s="234" t="s">
        <v>57</v>
      </c>
      <c r="G3" s="236" t="s">
        <v>58</v>
      </c>
      <c r="H3" s="1"/>
    </row>
    <row r="4" spans="1:10" ht="15.75" thickBot="1" x14ac:dyDescent="0.3">
      <c r="A4" s="1"/>
      <c r="B4" s="229"/>
      <c r="C4" s="231"/>
      <c r="D4" s="231"/>
      <c r="E4" s="233"/>
      <c r="F4" s="235"/>
      <c r="G4" s="237"/>
      <c r="H4" s="1"/>
    </row>
    <row r="5" spans="1:10" ht="15.75" thickBot="1" x14ac:dyDescent="0.3">
      <c r="A5" s="1"/>
      <c r="B5" s="73" t="s">
        <v>59</v>
      </c>
      <c r="C5" s="74" t="s">
        <v>60</v>
      </c>
      <c r="D5" s="75" t="s">
        <v>16</v>
      </c>
      <c r="E5" s="87">
        <v>150</v>
      </c>
      <c r="F5" s="77">
        <v>290</v>
      </c>
      <c r="G5" s="77">
        <f>F5*E5</f>
        <v>43500</v>
      </c>
      <c r="H5" s="1"/>
      <c r="J5" s="84">
        <f>12*30*2/9</f>
        <v>80</v>
      </c>
    </row>
    <row r="6" spans="1:10" ht="15.75" thickBot="1" x14ac:dyDescent="0.3">
      <c r="A6" s="1"/>
      <c r="B6" s="73" t="s">
        <v>61</v>
      </c>
      <c r="C6" s="74" t="s">
        <v>115</v>
      </c>
      <c r="D6" s="75" t="s">
        <v>63</v>
      </c>
      <c r="E6" s="87">
        <v>1700</v>
      </c>
      <c r="F6" s="77">
        <v>105</v>
      </c>
      <c r="G6" s="77">
        <f>F6*E6</f>
        <v>178500</v>
      </c>
      <c r="H6" s="1"/>
      <c r="J6" s="60"/>
    </row>
    <row r="7" spans="1:10" ht="15.75" thickBot="1" x14ac:dyDescent="0.3">
      <c r="A7" s="1"/>
      <c r="B7" s="73" t="s">
        <v>64</v>
      </c>
      <c r="C7" s="74" t="s">
        <v>65</v>
      </c>
      <c r="D7" s="75" t="s">
        <v>66</v>
      </c>
      <c r="E7" s="87">
        <v>2300000</v>
      </c>
      <c r="F7" s="77">
        <v>3</v>
      </c>
      <c r="G7" s="77">
        <f>F7*E7</f>
        <v>6900000</v>
      </c>
      <c r="H7" s="1"/>
      <c r="J7" s="60"/>
    </row>
    <row r="8" spans="1:10" ht="15.75" thickBot="1" x14ac:dyDescent="0.3">
      <c r="A8" s="1"/>
      <c r="B8" s="73" t="s">
        <v>67</v>
      </c>
      <c r="C8" s="74" t="s">
        <v>68</v>
      </c>
      <c r="D8" s="75" t="s">
        <v>69</v>
      </c>
      <c r="E8" s="238">
        <f>2*5</f>
        <v>10</v>
      </c>
      <c r="F8" s="240">
        <v>2250</v>
      </c>
      <c r="G8" s="240">
        <f>F8*E8</f>
        <v>22500</v>
      </c>
      <c r="H8" s="1"/>
      <c r="J8" s="223"/>
    </row>
    <row r="9" spans="1:10" ht="15.75" thickBot="1" x14ac:dyDescent="0.3">
      <c r="A9" s="1"/>
      <c r="B9" s="73" t="s">
        <v>70</v>
      </c>
      <c r="C9" s="74" t="s">
        <v>71</v>
      </c>
      <c r="D9" s="75" t="s">
        <v>69</v>
      </c>
      <c r="E9" s="239"/>
      <c r="F9" s="241"/>
      <c r="G9" s="241"/>
      <c r="H9" s="1"/>
      <c r="J9" s="223"/>
    </row>
    <row r="10" spans="1:10" ht="15.75" thickBot="1" x14ac:dyDescent="0.3">
      <c r="A10" s="1"/>
      <c r="B10" s="73" t="s">
        <v>72</v>
      </c>
      <c r="C10" s="74" t="s">
        <v>73</v>
      </c>
      <c r="D10" s="75" t="s">
        <v>9</v>
      </c>
      <c r="E10" s="87">
        <v>520</v>
      </c>
      <c r="F10" s="77">
        <v>700</v>
      </c>
      <c r="G10" s="77">
        <f>F10*E10</f>
        <v>364000</v>
      </c>
      <c r="H10" s="1"/>
      <c r="J10" s="84">
        <v>300</v>
      </c>
    </row>
    <row r="11" spans="1:10" ht="15.75" thickBot="1" x14ac:dyDescent="0.3">
      <c r="A11" s="1"/>
      <c r="B11" s="73" t="s">
        <v>74</v>
      </c>
      <c r="C11" s="74" t="s">
        <v>75</v>
      </c>
      <c r="D11" s="75" t="s">
        <v>9</v>
      </c>
      <c r="E11" s="87">
        <v>300</v>
      </c>
      <c r="F11" s="77">
        <v>770</v>
      </c>
      <c r="G11" s="77">
        <f>F11*E11</f>
        <v>231000</v>
      </c>
      <c r="H11" s="1"/>
      <c r="J11" s="84">
        <v>60</v>
      </c>
    </row>
    <row r="12" spans="1:10" ht="15.75" thickBot="1" x14ac:dyDescent="0.3">
      <c r="A12" s="1"/>
      <c r="B12" s="73" t="s">
        <v>76</v>
      </c>
      <c r="C12" s="74" t="s">
        <v>77</v>
      </c>
      <c r="D12" s="75" t="s">
        <v>66</v>
      </c>
      <c r="E12" s="87">
        <f>ROUNDUP((E10+E11)*250,-1)</f>
        <v>205000</v>
      </c>
      <c r="F12" s="77">
        <v>1.9</v>
      </c>
      <c r="G12" s="77">
        <f>F12*E12</f>
        <v>389500</v>
      </c>
      <c r="H12" s="1"/>
      <c r="J12" s="84">
        <f>ROUNDUP((J10+J11)*250,-1)</f>
        <v>90000</v>
      </c>
    </row>
    <row r="13" spans="1:10" ht="15.75" thickBot="1" x14ac:dyDescent="0.3">
      <c r="A13" s="1"/>
      <c r="B13" s="73" t="s">
        <v>78</v>
      </c>
      <c r="C13" s="74" t="s">
        <v>79</v>
      </c>
      <c r="D13" s="75" t="s">
        <v>63</v>
      </c>
      <c r="E13" s="87">
        <v>100</v>
      </c>
      <c r="F13" s="77">
        <v>2000</v>
      </c>
      <c r="G13" s="77">
        <f>F13*E13</f>
        <v>200000</v>
      </c>
      <c r="H13" s="1"/>
      <c r="J13" s="84">
        <v>0</v>
      </c>
    </row>
    <row r="14" spans="1:10" ht="15.75" thickBot="1" x14ac:dyDescent="0.3">
      <c r="A14" s="1"/>
      <c r="B14" s="73" t="s">
        <v>80</v>
      </c>
      <c r="C14" s="74" t="s">
        <v>81</v>
      </c>
      <c r="D14" s="75" t="s">
        <v>82</v>
      </c>
      <c r="E14" s="86">
        <v>600</v>
      </c>
      <c r="F14" s="77">
        <v>80</v>
      </c>
      <c r="G14" s="77">
        <f>F14*E14</f>
        <v>48000</v>
      </c>
      <c r="H14" s="1"/>
      <c r="J14" s="85">
        <f>ROUNDUP((12*30)*2*2*3.16/3/27*1.5,-1)</f>
        <v>90</v>
      </c>
    </row>
    <row r="15" spans="1:10" ht="15.75" thickBot="1" x14ac:dyDescent="0.3">
      <c r="A15" s="1"/>
      <c r="B15" s="73"/>
      <c r="C15" s="74"/>
      <c r="D15" s="75"/>
      <c r="E15" s="86"/>
      <c r="F15" s="77"/>
      <c r="G15" s="77"/>
      <c r="H15" s="1"/>
      <c r="J15" s="85"/>
    </row>
    <row r="16" spans="1:10" ht="15.75" thickBot="1" x14ac:dyDescent="0.3">
      <c r="A16" s="1"/>
      <c r="B16" s="73"/>
      <c r="C16" s="74" t="s">
        <v>83</v>
      </c>
      <c r="D16" s="75"/>
      <c r="E16" s="76"/>
      <c r="F16" s="77"/>
      <c r="G16" s="80">
        <f>SUM(G5:G14)</f>
        <v>8377000</v>
      </c>
      <c r="H16" s="1"/>
      <c r="J16" s="85"/>
    </row>
    <row r="17" spans="1:10" ht="15.75" thickBot="1" x14ac:dyDescent="0.3">
      <c r="A17" s="1"/>
      <c r="B17" s="73"/>
      <c r="C17" s="74" t="s">
        <v>84</v>
      </c>
      <c r="D17" s="75"/>
      <c r="E17" s="76"/>
      <c r="F17" s="77"/>
      <c r="G17" s="80">
        <f>0.1*G16</f>
        <v>837700</v>
      </c>
      <c r="H17" s="1"/>
    </row>
    <row r="18" spans="1:10" ht="15.75" thickBot="1" x14ac:dyDescent="0.3">
      <c r="A18" s="1"/>
      <c r="B18" s="73"/>
      <c r="C18" s="74" t="s">
        <v>135</v>
      </c>
      <c r="D18" s="75"/>
      <c r="E18" s="76"/>
      <c r="F18" s="77"/>
      <c r="G18" s="80">
        <v>4000000</v>
      </c>
      <c r="H18" s="1"/>
      <c r="J18" s="85"/>
    </row>
    <row r="19" spans="1:10" ht="15.75" thickBot="1" x14ac:dyDescent="0.3">
      <c r="A19" s="1"/>
      <c r="B19" s="73"/>
      <c r="C19" s="74" t="s">
        <v>85</v>
      </c>
      <c r="D19" s="75"/>
      <c r="E19" s="76"/>
      <c r="F19" s="77"/>
      <c r="G19" s="81">
        <f>SUM(G16:G18)</f>
        <v>13214700</v>
      </c>
      <c r="H19" s="1"/>
    </row>
    <row r="20" spans="1:10" ht="15.75" thickBot="1" x14ac:dyDescent="0.3">
      <c r="A20" s="1"/>
      <c r="B20" s="244"/>
      <c r="C20" s="245"/>
      <c r="D20" s="245"/>
      <c r="E20" s="245"/>
      <c r="F20" s="245"/>
      <c r="G20" s="246"/>
      <c r="H20" s="1"/>
      <c r="J20" s="85"/>
    </row>
    <row r="21" spans="1:10" ht="15.75" thickBot="1" x14ac:dyDescent="0.3">
      <c r="A21" s="1"/>
      <c r="B21" s="73" t="s">
        <v>106</v>
      </c>
      <c r="C21" s="74" t="s">
        <v>107</v>
      </c>
      <c r="D21" s="75" t="s">
        <v>16</v>
      </c>
      <c r="E21" s="78">
        <f>20*300*6/9</f>
        <v>4000</v>
      </c>
      <c r="F21" s="77">
        <v>850</v>
      </c>
      <c r="G21" s="77">
        <f t="shared" ref="G21:G27" si="0">F21*E21</f>
        <v>3400000</v>
      </c>
      <c r="H21" s="1"/>
      <c r="J21" s="85"/>
    </row>
    <row r="22" spans="1:10" ht="15.75" thickBot="1" x14ac:dyDescent="0.3">
      <c r="A22" s="1"/>
      <c r="B22" s="73"/>
      <c r="C22" s="74" t="s">
        <v>99</v>
      </c>
      <c r="D22" s="75" t="s">
        <v>63</v>
      </c>
      <c r="E22" s="78">
        <v>2000</v>
      </c>
      <c r="F22" s="77">
        <v>122</v>
      </c>
      <c r="G22" s="77">
        <f t="shared" si="0"/>
        <v>244000</v>
      </c>
      <c r="H22" s="1"/>
      <c r="J22" s="85"/>
    </row>
    <row r="23" spans="1:10" ht="15.75" thickBot="1" x14ac:dyDescent="0.3">
      <c r="A23" s="1"/>
      <c r="B23" s="73"/>
      <c r="C23" s="74" t="s">
        <v>104</v>
      </c>
      <c r="D23" s="75" t="s">
        <v>63</v>
      </c>
      <c r="E23" s="78">
        <v>500</v>
      </c>
      <c r="F23" s="77">
        <v>1300</v>
      </c>
      <c r="G23" s="77">
        <f t="shared" si="0"/>
        <v>650000</v>
      </c>
      <c r="H23" s="1"/>
      <c r="J23" s="85"/>
    </row>
    <row r="24" spans="1:10" ht="15.75" thickBot="1" x14ac:dyDescent="0.3">
      <c r="A24" s="1"/>
      <c r="B24" s="73"/>
      <c r="C24" s="74" t="s">
        <v>100</v>
      </c>
      <c r="D24" s="75" t="s">
        <v>63</v>
      </c>
      <c r="E24" s="78">
        <v>800</v>
      </c>
      <c r="F24" s="77">
        <v>122</v>
      </c>
      <c r="G24" s="77">
        <f t="shared" si="0"/>
        <v>97600</v>
      </c>
      <c r="H24" s="1"/>
      <c r="J24" s="85"/>
    </row>
    <row r="25" spans="1:10" ht="15.75" thickBot="1" x14ac:dyDescent="0.3">
      <c r="A25" s="1"/>
      <c r="B25" s="73"/>
      <c r="C25" s="74" t="s">
        <v>105</v>
      </c>
      <c r="D25" s="75" t="s">
        <v>63</v>
      </c>
      <c r="E25" s="78">
        <v>500</v>
      </c>
      <c r="F25" s="77">
        <v>1300</v>
      </c>
      <c r="G25" s="77">
        <f t="shared" si="0"/>
        <v>650000</v>
      </c>
      <c r="H25" s="1"/>
      <c r="J25" s="85"/>
    </row>
    <row r="26" spans="1:10" ht="15.75" thickBot="1" x14ac:dyDescent="0.3">
      <c r="A26" s="1"/>
      <c r="B26" s="73"/>
      <c r="C26" s="74" t="s">
        <v>101</v>
      </c>
      <c r="D26" s="75" t="s">
        <v>63</v>
      </c>
      <c r="E26" s="78">
        <v>900</v>
      </c>
      <c r="F26" s="77">
        <v>122</v>
      </c>
      <c r="G26" s="77">
        <f t="shared" si="0"/>
        <v>109800</v>
      </c>
      <c r="H26" s="1"/>
      <c r="J26" s="85"/>
    </row>
    <row r="27" spans="1:10" ht="15.75" thickBot="1" x14ac:dyDescent="0.3">
      <c r="A27" s="1"/>
      <c r="B27" s="73" t="s">
        <v>102</v>
      </c>
      <c r="C27" s="74" t="s">
        <v>103</v>
      </c>
      <c r="D27" s="75" t="s">
        <v>63</v>
      </c>
      <c r="E27" s="78">
        <f>E22+E24</f>
        <v>2800</v>
      </c>
      <c r="F27" s="77">
        <v>30</v>
      </c>
      <c r="G27" s="77">
        <f t="shared" si="0"/>
        <v>84000</v>
      </c>
      <c r="H27" s="1"/>
      <c r="J27" s="85"/>
    </row>
    <row r="28" spans="1:10" ht="15.75" thickBot="1" x14ac:dyDescent="0.3">
      <c r="A28" s="1"/>
      <c r="B28" s="73"/>
      <c r="C28" s="74"/>
      <c r="D28" s="75"/>
      <c r="E28" s="76"/>
      <c r="F28" s="77"/>
      <c r="G28" s="79"/>
      <c r="H28" s="1"/>
    </row>
    <row r="29" spans="1:10" ht="15.75" thickBot="1" x14ac:dyDescent="0.3">
      <c r="A29" s="1"/>
      <c r="B29" s="73"/>
      <c r="C29" s="74" t="s">
        <v>83</v>
      </c>
      <c r="D29" s="75"/>
      <c r="E29" s="76"/>
      <c r="F29" s="77"/>
      <c r="G29" s="80">
        <f>SUM(G21:G27)</f>
        <v>5235400</v>
      </c>
      <c r="H29" s="1"/>
    </row>
    <row r="30" spans="1:10" ht="15.75" thickBot="1" x14ac:dyDescent="0.3">
      <c r="A30" s="1"/>
      <c r="B30" s="73"/>
      <c r="C30" s="74" t="s">
        <v>98</v>
      </c>
      <c r="D30" s="75"/>
      <c r="E30" s="76"/>
      <c r="F30" s="77"/>
      <c r="G30" s="80">
        <f>0.3*G29</f>
        <v>1570620</v>
      </c>
      <c r="H30" s="1"/>
    </row>
    <row r="31" spans="1:10" ht="15.75" thickBot="1" x14ac:dyDescent="0.3">
      <c r="A31" s="1"/>
      <c r="B31" s="73"/>
      <c r="C31" s="74" t="s">
        <v>113</v>
      </c>
      <c r="D31" s="75"/>
      <c r="E31" s="76"/>
      <c r="F31" s="77"/>
      <c r="G31" s="81">
        <f>G30+G29</f>
        <v>6806020</v>
      </c>
      <c r="H31" s="1"/>
    </row>
    <row r="32" spans="1:10" ht="15.75" thickBot="1" x14ac:dyDescent="0.3">
      <c r="A32" s="1"/>
      <c r="B32" s="127"/>
      <c r="C32" s="128"/>
      <c r="D32" s="88"/>
      <c r="E32" s="129"/>
      <c r="F32" s="130"/>
      <c r="G32" s="131"/>
      <c r="H32" s="1"/>
    </row>
    <row r="33" spans="1:8" ht="15.75" thickBot="1" x14ac:dyDescent="0.3">
      <c r="A33" s="1"/>
      <c r="B33" s="73"/>
      <c r="C33" s="74" t="s">
        <v>114</v>
      </c>
      <c r="D33" s="75"/>
      <c r="E33" s="76"/>
      <c r="F33" s="77"/>
      <c r="G33" s="81">
        <f>G31+G19</f>
        <v>20020720</v>
      </c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</sheetData>
  <mergeCells count="12">
    <mergeCell ref="B2:G2"/>
    <mergeCell ref="B3:B4"/>
    <mergeCell ref="C3:C4"/>
    <mergeCell ref="D3:D4"/>
    <mergeCell ref="E3:E4"/>
    <mergeCell ref="F3:F4"/>
    <mergeCell ref="G3:G4"/>
    <mergeCell ref="J8:J9"/>
    <mergeCell ref="B20:G20"/>
    <mergeCell ref="E8:E9"/>
    <mergeCell ref="F8:F9"/>
    <mergeCell ref="G8:G9"/>
  </mergeCells>
  <pageMargins left="0.7" right="0.7" top="0.75" bottom="0.7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7454-1705-49AB-8989-F2688ED08438}">
  <dimension ref="A1:AJ17"/>
  <sheetViews>
    <sheetView workbookViewId="0">
      <selection activeCell="AH27" sqref="AH27"/>
    </sheetView>
  </sheetViews>
  <sheetFormatPr defaultRowHeight="15" x14ac:dyDescent="0.25"/>
  <cols>
    <col min="2" max="2" width="35.140625" bestFit="1" customWidth="1"/>
    <col min="3" max="31" width="2.7109375" customWidth="1"/>
    <col min="33" max="33" width="29.28515625" customWidth="1"/>
    <col min="34" max="34" width="23.28515625" customWidth="1"/>
    <col min="35" max="35" width="47.42578125" customWidth="1"/>
  </cols>
  <sheetData>
    <row r="1" spans="1:36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54"/>
      <c r="AI1" s="1"/>
      <c r="AJ1" s="1"/>
    </row>
    <row r="2" spans="1:36" ht="15.75" thickBot="1" x14ac:dyDescent="0.3">
      <c r="A2" s="1"/>
      <c r="B2" s="92" t="s">
        <v>116</v>
      </c>
      <c r="C2" s="256">
        <v>2023</v>
      </c>
      <c r="D2" s="256"/>
      <c r="E2" s="256"/>
      <c r="F2" s="256"/>
      <c r="G2" s="256">
        <v>2024</v>
      </c>
      <c r="H2" s="256"/>
      <c r="I2" s="256"/>
      <c r="J2" s="256"/>
      <c r="K2" s="256">
        <v>2025</v>
      </c>
      <c r="L2" s="256"/>
      <c r="M2" s="256"/>
      <c r="N2" s="256"/>
      <c r="O2" s="256">
        <v>2026</v>
      </c>
      <c r="P2" s="256"/>
      <c r="Q2" s="256"/>
      <c r="R2" s="256"/>
      <c r="S2" s="256">
        <v>2027</v>
      </c>
      <c r="T2" s="256"/>
      <c r="U2" s="256"/>
      <c r="V2" s="256"/>
      <c r="W2" s="256">
        <v>2028</v>
      </c>
      <c r="X2" s="256"/>
      <c r="Y2" s="256"/>
      <c r="Z2" s="256"/>
      <c r="AA2" s="253">
        <v>2029</v>
      </c>
      <c r="AB2" s="253"/>
      <c r="AC2" s="253"/>
      <c r="AD2" s="253"/>
      <c r="AE2" s="89"/>
      <c r="AF2" s="1"/>
      <c r="AG2" s="247" t="s">
        <v>91</v>
      </c>
      <c r="AH2" s="248"/>
      <c r="AI2" s="249"/>
      <c r="AJ2" s="1"/>
    </row>
    <row r="3" spans="1:36" ht="15.75" thickBot="1" x14ac:dyDescent="0.3">
      <c r="A3" s="1"/>
      <c r="B3" s="254" t="s">
        <v>120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138"/>
      <c r="AF3" s="1"/>
      <c r="AG3" s="38" t="s">
        <v>92</v>
      </c>
      <c r="AH3" s="39" t="s">
        <v>89</v>
      </c>
      <c r="AI3" s="40" t="s">
        <v>90</v>
      </c>
      <c r="AJ3" s="1"/>
    </row>
    <row r="4" spans="1:36" x14ac:dyDescent="0.25">
      <c r="A4" s="1"/>
      <c r="B4" s="93" t="s">
        <v>117</v>
      </c>
      <c r="C4" s="104"/>
      <c r="D4" s="105"/>
      <c r="E4" s="105"/>
      <c r="F4" s="95"/>
      <c r="G4" s="151"/>
      <c r="H4" s="152"/>
      <c r="I4" s="152"/>
      <c r="J4" s="153"/>
      <c r="K4" s="151"/>
      <c r="L4" s="152"/>
      <c r="M4" s="152"/>
      <c r="N4" s="153"/>
      <c r="O4" s="151"/>
      <c r="P4" s="152"/>
      <c r="Q4" s="152"/>
      <c r="R4" s="153"/>
      <c r="S4" s="151"/>
      <c r="T4" s="152"/>
      <c r="U4" s="152"/>
      <c r="V4" s="153"/>
      <c r="W4" s="151"/>
      <c r="X4" s="152"/>
      <c r="Y4" s="152"/>
      <c r="Z4" s="153"/>
      <c r="AA4" s="151"/>
      <c r="AB4" s="152"/>
      <c r="AC4" s="164"/>
      <c r="AD4" s="162"/>
      <c r="AE4" s="108"/>
      <c r="AF4" s="1"/>
      <c r="AG4" s="34" t="s">
        <v>93</v>
      </c>
      <c r="AH4" s="41">
        <v>45444</v>
      </c>
      <c r="AI4" s="35"/>
      <c r="AJ4" s="1"/>
    </row>
    <row r="5" spans="1:36" x14ac:dyDescent="0.25">
      <c r="A5" s="1"/>
      <c r="B5" s="90" t="s">
        <v>118</v>
      </c>
      <c r="C5" s="145"/>
      <c r="D5" s="146"/>
      <c r="E5" s="147"/>
      <c r="F5" s="103"/>
      <c r="G5" s="101"/>
      <c r="H5" s="102"/>
      <c r="I5" s="154"/>
      <c r="J5" s="141"/>
      <c r="K5" s="139"/>
      <c r="L5" s="140"/>
      <c r="M5" s="140"/>
      <c r="N5" s="141"/>
      <c r="O5" s="139"/>
      <c r="P5" s="140"/>
      <c r="Q5" s="140"/>
      <c r="R5" s="141"/>
      <c r="S5" s="139"/>
      <c r="T5" s="140"/>
      <c r="U5" s="140"/>
      <c r="V5" s="141"/>
      <c r="W5" s="139"/>
      <c r="X5" s="140"/>
      <c r="Y5" s="140"/>
      <c r="Z5" s="141"/>
      <c r="AA5" s="139"/>
      <c r="AB5" s="140"/>
      <c r="AC5" s="165"/>
      <c r="AD5" s="133"/>
      <c r="AE5" s="108"/>
      <c r="AF5" s="1"/>
      <c r="AG5" s="42" t="s">
        <v>141</v>
      </c>
      <c r="AH5" s="43" t="s">
        <v>140</v>
      </c>
      <c r="AI5" s="44"/>
      <c r="AJ5" s="1"/>
    </row>
    <row r="6" spans="1:36" x14ac:dyDescent="0.25">
      <c r="A6" s="1"/>
      <c r="B6" s="90" t="s">
        <v>137</v>
      </c>
      <c r="C6" s="139"/>
      <c r="D6" s="140"/>
      <c r="E6" s="140"/>
      <c r="F6" s="141"/>
      <c r="G6" s="145"/>
      <c r="H6" s="147"/>
      <c r="I6" s="102"/>
      <c r="J6" s="103"/>
      <c r="K6" s="101"/>
      <c r="L6" s="102"/>
      <c r="M6" s="154"/>
      <c r="N6" s="141"/>
      <c r="O6" s="139"/>
      <c r="P6" s="140"/>
      <c r="Q6" s="140"/>
      <c r="R6" s="141"/>
      <c r="S6" s="139"/>
      <c r="T6" s="140"/>
      <c r="U6" s="140"/>
      <c r="V6" s="141"/>
      <c r="W6" s="139"/>
      <c r="X6" s="140"/>
      <c r="Y6" s="140"/>
      <c r="Z6" s="141"/>
      <c r="AA6" s="139"/>
      <c r="AB6" s="140"/>
      <c r="AC6" s="165"/>
      <c r="AD6" s="133"/>
      <c r="AE6" s="108"/>
      <c r="AF6" s="1"/>
      <c r="AG6" s="36" t="s">
        <v>142</v>
      </c>
      <c r="AH6" s="45" t="s">
        <v>143</v>
      </c>
      <c r="AI6" s="37" t="s">
        <v>144</v>
      </c>
      <c r="AJ6" s="1"/>
    </row>
    <row r="7" spans="1:36" x14ac:dyDescent="0.25">
      <c r="A7" s="1"/>
      <c r="B7" s="90" t="s">
        <v>119</v>
      </c>
      <c r="C7" s="139"/>
      <c r="D7" s="140"/>
      <c r="E7" s="140"/>
      <c r="F7" s="141"/>
      <c r="G7" s="101"/>
      <c r="H7" s="102"/>
      <c r="I7" s="102"/>
      <c r="J7" s="103"/>
      <c r="K7" s="101"/>
      <c r="L7" s="102"/>
      <c r="M7" s="154"/>
      <c r="N7" s="141"/>
      <c r="O7" s="139"/>
      <c r="P7" s="140"/>
      <c r="Q7" s="140"/>
      <c r="R7" s="141"/>
      <c r="S7" s="139"/>
      <c r="T7" s="140"/>
      <c r="U7" s="140"/>
      <c r="V7" s="141"/>
      <c r="W7" s="139"/>
      <c r="X7" s="140"/>
      <c r="Y7" s="140"/>
      <c r="Z7" s="141"/>
      <c r="AA7" s="139"/>
      <c r="AB7" s="140"/>
      <c r="AC7" s="165"/>
      <c r="AD7" s="133"/>
      <c r="AE7" s="108"/>
      <c r="AF7" s="1"/>
      <c r="AG7" s="42" t="s">
        <v>133</v>
      </c>
      <c r="AH7" s="43" t="s">
        <v>140</v>
      </c>
      <c r="AI7" s="44" t="s">
        <v>144</v>
      </c>
      <c r="AJ7" s="1"/>
    </row>
    <row r="8" spans="1:36" x14ac:dyDescent="0.25">
      <c r="A8" s="1"/>
      <c r="B8" s="90" t="s">
        <v>133</v>
      </c>
      <c r="C8" s="139"/>
      <c r="D8" s="140"/>
      <c r="E8" s="140"/>
      <c r="F8" s="141"/>
      <c r="G8" s="139"/>
      <c r="H8" s="155"/>
      <c r="I8" s="102"/>
      <c r="J8" s="103"/>
      <c r="K8" s="101"/>
      <c r="L8" s="102"/>
      <c r="M8" s="154"/>
      <c r="N8" s="141"/>
      <c r="O8" s="139"/>
      <c r="P8" s="140"/>
      <c r="Q8" s="140"/>
      <c r="R8" s="141"/>
      <c r="S8" s="139"/>
      <c r="T8" s="140"/>
      <c r="U8" s="140"/>
      <c r="V8" s="141"/>
      <c r="W8" s="139"/>
      <c r="X8" s="140"/>
      <c r="Y8" s="140"/>
      <c r="Z8" s="141"/>
      <c r="AA8" s="139"/>
      <c r="AB8" s="140"/>
      <c r="AC8" s="165"/>
      <c r="AD8" s="133"/>
      <c r="AE8" s="108"/>
      <c r="AF8" s="1"/>
      <c r="AG8" s="36" t="s">
        <v>145</v>
      </c>
      <c r="AH8" s="45" t="s">
        <v>146</v>
      </c>
      <c r="AI8" s="37"/>
      <c r="AJ8" s="1"/>
    </row>
    <row r="9" spans="1:36" x14ac:dyDescent="0.25">
      <c r="A9" s="1"/>
      <c r="B9" s="90" t="s">
        <v>138</v>
      </c>
      <c r="C9" s="139"/>
      <c r="D9" s="140"/>
      <c r="E9" s="140"/>
      <c r="F9" s="141"/>
      <c r="G9" s="139"/>
      <c r="H9" s="140"/>
      <c r="I9" s="146"/>
      <c r="J9" s="156"/>
      <c r="K9" s="145"/>
      <c r="L9" s="147"/>
      <c r="M9" s="102"/>
      <c r="N9" s="103"/>
      <c r="O9" s="139"/>
      <c r="P9" s="140"/>
      <c r="Q9" s="140"/>
      <c r="R9" s="141"/>
      <c r="S9" s="139"/>
      <c r="T9" s="140"/>
      <c r="U9" s="140"/>
      <c r="V9" s="141"/>
      <c r="W9" s="139"/>
      <c r="X9" s="140"/>
      <c r="Y9" s="140"/>
      <c r="Z9" s="141"/>
      <c r="AA9" s="139"/>
      <c r="AB9" s="140"/>
      <c r="AC9" s="165"/>
      <c r="AD9" s="133"/>
      <c r="AE9" s="108"/>
      <c r="AF9" s="1"/>
      <c r="AG9" s="42" t="s">
        <v>121</v>
      </c>
      <c r="AH9" s="43" t="s">
        <v>147</v>
      </c>
      <c r="AI9" s="44"/>
      <c r="AJ9" s="1"/>
    </row>
    <row r="10" spans="1:36" x14ac:dyDescent="0.25">
      <c r="A10" s="1"/>
      <c r="B10" s="90" t="s">
        <v>121</v>
      </c>
      <c r="C10" s="139"/>
      <c r="D10" s="140"/>
      <c r="E10" s="140"/>
      <c r="F10" s="141"/>
      <c r="G10" s="139"/>
      <c r="H10" s="140"/>
      <c r="I10" s="140"/>
      <c r="J10" s="141"/>
      <c r="K10" s="139"/>
      <c r="L10" s="155"/>
      <c r="M10" s="102"/>
      <c r="N10" s="103"/>
      <c r="O10" s="101"/>
      <c r="P10" s="102"/>
      <c r="Q10" s="154"/>
      <c r="R10" s="141"/>
      <c r="S10" s="139"/>
      <c r="T10" s="140"/>
      <c r="U10" s="140"/>
      <c r="V10" s="141"/>
      <c r="W10" s="139"/>
      <c r="X10" s="140"/>
      <c r="Y10" s="140"/>
      <c r="Z10" s="141"/>
      <c r="AA10" s="139"/>
      <c r="AB10" s="140"/>
      <c r="AC10" s="165"/>
      <c r="AD10" s="133"/>
      <c r="AE10" s="108"/>
      <c r="AF10" s="1"/>
      <c r="AG10" s="36" t="s">
        <v>148</v>
      </c>
      <c r="AH10" s="45" t="s">
        <v>149</v>
      </c>
      <c r="AI10" s="37"/>
      <c r="AJ10" s="1"/>
    </row>
    <row r="11" spans="1:36" ht="15.75" thickBot="1" x14ac:dyDescent="0.3">
      <c r="A11" s="1"/>
      <c r="B11" s="90" t="s">
        <v>122</v>
      </c>
      <c r="C11" s="139"/>
      <c r="D11" s="140"/>
      <c r="E11" s="140"/>
      <c r="F11" s="141"/>
      <c r="G11" s="139"/>
      <c r="H11" s="140"/>
      <c r="I11" s="140"/>
      <c r="J11" s="141"/>
      <c r="K11" s="139"/>
      <c r="L11" s="155"/>
      <c r="M11" s="102"/>
      <c r="N11" s="103"/>
      <c r="O11" s="101"/>
      <c r="P11" s="168"/>
      <c r="Q11" s="169"/>
      <c r="R11" s="141"/>
      <c r="S11" s="139"/>
      <c r="T11" s="140"/>
      <c r="U11" s="140"/>
      <c r="V11" s="141"/>
      <c r="W11" s="139"/>
      <c r="X11" s="140"/>
      <c r="Y11" s="140"/>
      <c r="Z11" s="141"/>
      <c r="AA11" s="139"/>
      <c r="AB11" s="140"/>
      <c r="AC11" s="165"/>
      <c r="AD11" s="133"/>
      <c r="AE11" s="108"/>
      <c r="AF11" s="1"/>
      <c r="AG11" s="46" t="s">
        <v>150</v>
      </c>
      <c r="AH11" s="47" t="s">
        <v>151</v>
      </c>
      <c r="AI11" s="48"/>
      <c r="AJ11" s="1"/>
    </row>
    <row r="12" spans="1:36" ht="15.75" thickBot="1" x14ac:dyDescent="0.3">
      <c r="A12" s="1"/>
      <c r="B12" s="94" t="s">
        <v>123</v>
      </c>
      <c r="C12" s="142"/>
      <c r="D12" s="143"/>
      <c r="E12" s="143"/>
      <c r="F12" s="144"/>
      <c r="G12" s="142"/>
      <c r="H12" s="143"/>
      <c r="I12" s="143"/>
      <c r="J12" s="144"/>
      <c r="K12" s="142"/>
      <c r="L12" s="170"/>
      <c r="M12" s="171"/>
      <c r="N12" s="172"/>
      <c r="O12" s="96"/>
      <c r="P12" s="100"/>
      <c r="Q12" s="167"/>
      <c r="R12" s="144"/>
      <c r="S12" s="142"/>
      <c r="T12" s="143"/>
      <c r="U12" s="160"/>
      <c r="V12" s="161"/>
      <c r="W12" s="142"/>
      <c r="X12" s="143"/>
      <c r="Y12" s="160"/>
      <c r="Z12" s="161"/>
      <c r="AA12" s="142"/>
      <c r="AB12" s="143"/>
      <c r="AC12" s="166"/>
      <c r="AD12" s="163"/>
      <c r="AE12" s="108"/>
      <c r="AF12" s="1"/>
      <c r="AG12" s="1"/>
      <c r="AH12" s="54"/>
      <c r="AI12" s="1"/>
      <c r="AJ12" s="1"/>
    </row>
    <row r="13" spans="1:36" ht="15.75" thickBot="1" x14ac:dyDescent="0.3">
      <c r="A13" s="1"/>
      <c r="B13" s="254" t="s">
        <v>124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138"/>
      <c r="AF13" s="1"/>
      <c r="AG13" s="250" t="s">
        <v>94</v>
      </c>
      <c r="AH13" s="251"/>
      <c r="AI13" s="252"/>
      <c r="AJ13" s="1"/>
    </row>
    <row r="14" spans="1:36" ht="15.75" thickBot="1" x14ac:dyDescent="0.3">
      <c r="A14" s="1"/>
      <c r="B14" s="91" t="s">
        <v>125</v>
      </c>
      <c r="C14" s="148"/>
      <c r="D14" s="149"/>
      <c r="E14" s="149"/>
      <c r="F14" s="150"/>
      <c r="G14" s="148"/>
      <c r="H14" s="149"/>
      <c r="I14" s="149"/>
      <c r="J14" s="150"/>
      <c r="K14" s="148"/>
      <c r="L14" s="149"/>
      <c r="M14" s="149"/>
      <c r="N14" s="150"/>
      <c r="O14" s="148"/>
      <c r="P14" s="157"/>
      <c r="Q14" s="98"/>
      <c r="R14" s="99"/>
      <c r="S14" s="97"/>
      <c r="T14" s="98"/>
      <c r="U14" s="98"/>
      <c r="V14" s="99"/>
      <c r="W14" s="97"/>
      <c r="X14" s="98"/>
      <c r="Y14" s="98"/>
      <c r="Z14" s="99"/>
      <c r="AA14" s="97"/>
      <c r="AB14" s="98"/>
      <c r="AC14" s="158"/>
      <c r="AD14" s="159"/>
      <c r="AE14" s="108"/>
      <c r="AF14" s="1"/>
      <c r="AG14" s="49" t="s">
        <v>92</v>
      </c>
      <c r="AH14" s="50" t="s">
        <v>89</v>
      </c>
      <c r="AI14" s="51" t="s">
        <v>90</v>
      </c>
      <c r="AJ14" s="1"/>
    </row>
    <row r="15" spans="1:3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34" t="s">
        <v>95</v>
      </c>
      <c r="AH15" s="55">
        <v>2026</v>
      </c>
      <c r="AI15" s="35"/>
      <c r="AJ15" s="1"/>
    </row>
    <row r="16" spans="1:36" ht="15.75" thickBot="1" x14ac:dyDescent="0.3">
      <c r="AF16" s="1"/>
      <c r="AG16" s="52" t="s">
        <v>96</v>
      </c>
      <c r="AH16" s="56">
        <v>2029</v>
      </c>
      <c r="AI16" s="53"/>
      <c r="AJ16" s="1"/>
    </row>
    <row r="17" spans="32:36" x14ac:dyDescent="0.25">
      <c r="AF17" s="1"/>
      <c r="AG17" s="1"/>
      <c r="AH17" s="54"/>
      <c r="AI17" s="1"/>
      <c r="AJ17" s="1"/>
    </row>
  </sheetData>
  <mergeCells count="11">
    <mergeCell ref="AG2:AI2"/>
    <mergeCell ref="AG13:AI13"/>
    <mergeCell ref="AA2:AD2"/>
    <mergeCell ref="B3:AD3"/>
    <mergeCell ref="B13:AD13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49EA-52C9-451F-823C-327FB29E320D}">
  <dimension ref="B1:D19"/>
  <sheetViews>
    <sheetView workbookViewId="0">
      <selection activeCell="G22" sqref="G22"/>
    </sheetView>
  </sheetViews>
  <sheetFormatPr defaultRowHeight="15" x14ac:dyDescent="0.25"/>
  <cols>
    <col min="2" max="2" width="9.7109375" bestFit="1" customWidth="1"/>
    <col min="3" max="3" width="39" bestFit="1" customWidth="1"/>
    <col min="4" max="4" width="14.5703125" style="106" bestFit="1" customWidth="1"/>
  </cols>
  <sheetData>
    <row r="1" spans="2:4" x14ac:dyDescent="0.25">
      <c r="C1" s="175" t="s">
        <v>139</v>
      </c>
    </row>
    <row r="2" spans="2:4" ht="15.75" thickBot="1" x14ac:dyDescent="0.3"/>
    <row r="3" spans="2:4" ht="18.75" x14ac:dyDescent="0.3">
      <c r="B3" s="257" t="s">
        <v>126</v>
      </c>
      <c r="C3" s="258"/>
      <c r="D3" s="259"/>
    </row>
    <row r="4" spans="2:4" ht="12.75" customHeight="1" thickBot="1" x14ac:dyDescent="0.3">
      <c r="B4" s="260" t="s">
        <v>127</v>
      </c>
      <c r="C4" s="261"/>
      <c r="D4" s="262"/>
    </row>
    <row r="5" spans="2:4" ht="15.75" thickBot="1" x14ac:dyDescent="0.3">
      <c r="B5" s="263" t="s">
        <v>128</v>
      </c>
      <c r="C5" s="264"/>
      <c r="D5" s="112" t="s">
        <v>129</v>
      </c>
    </row>
    <row r="6" spans="2:4" x14ac:dyDescent="0.25">
      <c r="B6" s="113" t="s">
        <v>1</v>
      </c>
      <c r="C6" s="114"/>
      <c r="D6" s="115"/>
    </row>
    <row r="7" spans="2:4" x14ac:dyDescent="0.25">
      <c r="B7" s="116"/>
      <c r="C7" s="117" t="s">
        <v>124</v>
      </c>
      <c r="D7" s="118">
        <f>ROUND('Cost Estimate'!K16,-5)</f>
        <v>27500000</v>
      </c>
    </row>
    <row r="8" spans="2:4" x14ac:dyDescent="0.25">
      <c r="B8" s="109"/>
      <c r="C8" s="110" t="s">
        <v>134</v>
      </c>
      <c r="D8" s="111">
        <f>ROUND('Cost Estimate'!K17,-5)</f>
        <v>4000000</v>
      </c>
    </row>
    <row r="9" spans="2:4" x14ac:dyDescent="0.25">
      <c r="B9" s="119" t="s">
        <v>34</v>
      </c>
      <c r="C9" s="120"/>
      <c r="D9" s="121"/>
    </row>
    <row r="10" spans="2:4" x14ac:dyDescent="0.25">
      <c r="B10" s="116"/>
      <c r="C10" s="122" t="s">
        <v>108</v>
      </c>
      <c r="D10" s="118">
        <f>ROUND('Bridge Estimate'!G19,-5)</f>
        <v>47400000</v>
      </c>
    </row>
    <row r="11" spans="2:4" x14ac:dyDescent="0.25">
      <c r="B11" s="109"/>
      <c r="C11" s="17" t="s">
        <v>109</v>
      </c>
      <c r="D11" s="111">
        <f>ROUND('Bridge Estimate'!G37,-5)</f>
        <v>33900000</v>
      </c>
    </row>
    <row r="12" spans="2:4" x14ac:dyDescent="0.25">
      <c r="B12" s="123"/>
      <c r="C12" s="124" t="s">
        <v>110</v>
      </c>
      <c r="D12" s="125">
        <f>ROUND('Bridge Estimate'!G55,-5)</f>
        <v>20700000</v>
      </c>
    </row>
    <row r="13" spans="2:4" x14ac:dyDescent="0.25">
      <c r="B13" s="109"/>
      <c r="C13" s="17" t="s">
        <v>111</v>
      </c>
      <c r="D13" s="111">
        <f>ROUND('Ped Bridge'!G19,-5)</f>
        <v>13200000</v>
      </c>
    </row>
    <row r="14" spans="2:4" x14ac:dyDescent="0.25">
      <c r="B14" s="123"/>
      <c r="C14" s="124" t="s">
        <v>136</v>
      </c>
      <c r="D14" s="173">
        <f>'Cost Estimate'!H26</f>
        <v>2800000</v>
      </c>
    </row>
    <row r="15" spans="2:4" x14ac:dyDescent="0.25">
      <c r="B15" s="132" t="s">
        <v>130</v>
      </c>
      <c r="C15" s="133"/>
      <c r="D15" s="134">
        <f>ROUND('Ped Bridge'!G29,-5)</f>
        <v>5200000</v>
      </c>
    </row>
    <row r="16" spans="2:4" x14ac:dyDescent="0.25">
      <c r="B16" s="123"/>
      <c r="C16" s="126"/>
      <c r="D16" s="125"/>
    </row>
    <row r="17" spans="2:4" x14ac:dyDescent="0.25">
      <c r="B17" s="90"/>
      <c r="C17" s="133" t="s">
        <v>5</v>
      </c>
      <c r="D17" s="134">
        <f>SUM(D6:D15)</f>
        <v>154700000</v>
      </c>
    </row>
    <row r="18" spans="2:4" x14ac:dyDescent="0.25">
      <c r="B18" s="123"/>
      <c r="C18" s="126" t="s">
        <v>132</v>
      </c>
      <c r="D18" s="125">
        <f>SUM(D6:D8,D15)*0.3</f>
        <v>11010000</v>
      </c>
    </row>
    <row r="19" spans="2:4" ht="15.75" thickBot="1" x14ac:dyDescent="0.3">
      <c r="B19" s="135"/>
      <c r="C19" s="136" t="s">
        <v>131</v>
      </c>
      <c r="D19" s="137">
        <f>SUM(D17:D18)</f>
        <v>165710000</v>
      </c>
    </row>
  </sheetData>
  <mergeCells count="3">
    <mergeCell ref="B3:D3"/>
    <mergeCell ref="B4:D4"/>
    <mergeCell ref="B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EC2B4E5301104E93F4699810BBBBF9" ma:contentTypeVersion="18" ma:contentTypeDescription="Create a new document." ma:contentTypeScope="" ma:versionID="d6693958830e04eaecded991684a3afd">
  <xsd:schema xmlns:xsd="http://www.w3.org/2001/XMLSchema" xmlns:xs="http://www.w3.org/2001/XMLSchema" xmlns:p="http://schemas.microsoft.com/office/2006/metadata/properties" xmlns:ns2="a5060e13-48ab-4f65-89d9-584b8a076273" xmlns:ns3="10195425-0631-417d-9576-672d1304af43" targetNamespace="http://schemas.microsoft.com/office/2006/metadata/properties" ma:root="true" ma:fieldsID="24e6518201d8910a423ec3cde12fc710" ns2:_="" ns3:_="">
    <xsd:import namespace="a5060e13-48ab-4f65-89d9-584b8a076273"/>
    <xsd:import namespace="10195425-0631-417d-9576-672d1304a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60e13-48ab-4f65-89d9-584b8a076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95425-0631-417d-9576-672d1304af4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0435a4b-f4c4-4eea-81a5-09f5cecfe90d}" ma:internalName="TaxCatchAll" ma:showField="CatchAllData" ma:web="10195425-0631-417d-9576-672d1304a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060e13-48ab-4f65-89d9-584b8a076273">
      <Terms xmlns="http://schemas.microsoft.com/office/infopath/2007/PartnerControls"/>
    </lcf76f155ced4ddcb4097134ff3c332f>
    <TaxCatchAll xmlns="10195425-0631-417d-9576-672d1304af43" xsi:nil="true"/>
  </documentManagement>
</p:properties>
</file>

<file path=customXml/itemProps1.xml><?xml version="1.0" encoding="utf-8"?>
<ds:datastoreItem xmlns:ds="http://schemas.openxmlformats.org/officeDocument/2006/customXml" ds:itemID="{16AF633C-C767-4429-B887-7A98D4A05822}"/>
</file>

<file path=customXml/itemProps2.xml><?xml version="1.0" encoding="utf-8"?>
<ds:datastoreItem xmlns:ds="http://schemas.openxmlformats.org/officeDocument/2006/customXml" ds:itemID="{AACFD479-6375-4659-85BD-456E8ED42E27}"/>
</file>

<file path=customXml/itemProps3.xml><?xml version="1.0" encoding="utf-8"?>
<ds:datastoreItem xmlns:ds="http://schemas.openxmlformats.org/officeDocument/2006/customXml" ds:itemID="{CF8FF56F-1CA8-4418-986D-05E89F770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 Estimate</vt:lpstr>
      <vt:lpstr>Bridge Estimate</vt:lpstr>
      <vt:lpstr>Ped Bridge</vt:lpstr>
      <vt:lpstr>Granular Schedule</vt:lpstr>
      <vt:lpstr>Granular Cost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Heinrich</dc:creator>
  <cp:lastModifiedBy>Michael Flynn</cp:lastModifiedBy>
  <cp:lastPrinted>2023-07-27T16:40:59Z</cp:lastPrinted>
  <dcterms:created xsi:type="dcterms:W3CDTF">2023-01-27T15:32:01Z</dcterms:created>
  <dcterms:modified xsi:type="dcterms:W3CDTF">2023-11-30T22:22:18Z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0x01010022EC2B4E5301104E93F4699810BBBBF9</vt:lpwstr>
  </property>
  <property fmtid="{D5CDD505-2E9C-101B-9397-08002B2CF9AE}" pid="3" name="MediaServiceImageTags">
    <vt:lpwstr/>
  </property>
</Properties>
</file>